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codeName="{3D1A710C-6663-3D7B-7F91-EC182F24A4BC}"/>
  <workbookPr codeName="ThisWorkbook" defaultThemeVersion="124226"/>
  <mc:AlternateContent xmlns:mc="http://schemas.openxmlformats.org/markup-compatibility/2006">
    <mc:Choice Requires="x15">
      <x15ac:absPath xmlns:x15ac="http://schemas.microsoft.com/office/spreadsheetml/2010/11/ac" url="\\iowa.gov.state.ia.us\data\DNR_AQ_Shared\Emissions Inventory\Minor Sources\IAEAP\Calculators_ADACompliant_Updated_December2018\"/>
    </mc:Choice>
  </mc:AlternateContent>
  <xr:revisionPtr revIDLastSave="0" documentId="8_{FDBE2BED-8F71-4D10-BB85-A078503D980E}" xr6:coauthVersionLast="36" xr6:coauthVersionMax="36" xr10:uidLastSave="{00000000-0000-0000-0000-000000000000}"/>
  <bookViews>
    <workbookView xWindow="0" yWindow="0" windowWidth="19200" windowHeight="10560" tabRatio="803" xr2:uid="{00000000-000D-0000-FFFF-FFFF00000000}"/>
  </bookViews>
  <sheets>
    <sheet name="Facility Information" sheetId="1" r:id="rId1"/>
    <sheet name="Asphalt Plant (AP-1)" sheetId="8" r:id="rId2"/>
    <sheet name="Asphalt Plant (AP-2)" sheetId="10" state="hidden" r:id="rId3"/>
    <sheet name="Asphalt Plant (AP-3)" sheetId="11" state="hidden" r:id="rId4"/>
    <sheet name="Asphalt Plant (AP-4)" sheetId="12" state="hidden" r:id="rId5"/>
    <sheet name="Asphalt Plant (AP-5)" sheetId="13" state="hidden" r:id="rId6"/>
    <sheet name="Asphalt Plant (AP-6)" sheetId="14" state="hidden" r:id="rId7"/>
    <sheet name="Asphalt Plant (AP-7)" sheetId="15" state="hidden" r:id="rId8"/>
    <sheet name="Asphalt Plant (AP-8)" sheetId="16" state="hidden" r:id="rId9"/>
    <sheet name="Asphalt Plant (AP-9)" sheetId="17" state="hidden" r:id="rId10"/>
    <sheet name="Asphalt Plant (AP-10)" sheetId="18" state="hidden" r:id="rId11"/>
    <sheet name="Haul Roads" sheetId="9" r:id="rId12"/>
    <sheet name="Permitted Diesel Engines" sheetId="7" r:id="rId13"/>
    <sheet name="Emission Calculations" sheetId="4" r:id="rId14"/>
    <sheet name="Facility Wide Emissions" sheetId="5" r:id="rId15"/>
    <sheet name="Emission Factors" sheetId="6" r:id="rId16"/>
  </sheets>
  <externalReferences>
    <externalReference r:id="rId17"/>
  </externalReferences>
  <definedNames>
    <definedName name="apptype">'Facility Information'!$L$4:$L$5</definedName>
    <definedName name="aptype">'Facility Information'!$L$8:$L$9</definedName>
    <definedName name="CHECK" localSheetId="10">'Asphalt Plant (AP-10)'!$A$21:$A$22</definedName>
    <definedName name="CHECK" localSheetId="2">'Asphalt Plant (AP-2)'!$A$21:$A$22</definedName>
    <definedName name="CHECK" localSheetId="3">'Asphalt Plant (AP-3)'!$A$21:$A$22</definedName>
    <definedName name="CHECK" localSheetId="4">'Asphalt Plant (AP-4)'!$A$21:$A$22</definedName>
    <definedName name="CHECK" localSheetId="5">'Asphalt Plant (AP-5)'!$A$21:$A$22</definedName>
    <definedName name="CHECK" localSheetId="6">'Asphalt Plant (AP-6)'!$A$21:$A$22</definedName>
    <definedName name="CHECK" localSheetId="7">'Asphalt Plant (AP-7)'!$A$21:$A$22</definedName>
    <definedName name="CHECK" localSheetId="8">'Asphalt Plant (AP-8)'!$A$21:$A$22</definedName>
    <definedName name="CHECK" localSheetId="9">'Asphalt Plant (AP-9)'!$A$21:$A$22</definedName>
    <definedName name="CHECK">'Asphalt Plant (AP-1)'!$A$20:$A$21</definedName>
    <definedName name="CHS" localSheetId="10">#REF!</definedName>
    <definedName name="CHS" localSheetId="2">#REF!</definedName>
    <definedName name="CHS" localSheetId="3">#REF!</definedName>
    <definedName name="CHS" localSheetId="4">#REF!</definedName>
    <definedName name="CHS" localSheetId="5">#REF!</definedName>
    <definedName name="CHS" localSheetId="6">#REF!</definedName>
    <definedName name="CHS" localSheetId="7">#REF!</definedName>
    <definedName name="CHS" localSheetId="8">#REF!</definedName>
    <definedName name="CHS" localSheetId="9">#REF!</definedName>
    <definedName name="CHS">#REF!</definedName>
    <definedName name="CHSCon" localSheetId="10">#REF!</definedName>
    <definedName name="CHSCon" localSheetId="2">#REF!</definedName>
    <definedName name="CHSCon" localSheetId="3">#REF!</definedName>
    <definedName name="CHSCon" localSheetId="4">#REF!</definedName>
    <definedName name="CHSCon" localSheetId="5">#REF!</definedName>
    <definedName name="CHSCon" localSheetId="6">#REF!</definedName>
    <definedName name="CHSCon" localSheetId="7">#REF!</definedName>
    <definedName name="CHSCon" localSheetId="8">#REF!</definedName>
    <definedName name="CHSCon" localSheetId="9">#REF!</definedName>
    <definedName name="CHSCon">#REF!</definedName>
    <definedName name="CHSControl" localSheetId="10">#REF!</definedName>
    <definedName name="CHSControl" localSheetId="2">#REF!</definedName>
    <definedName name="CHSControl" localSheetId="3">#REF!</definedName>
    <definedName name="CHSControl" localSheetId="4">#REF!</definedName>
    <definedName name="CHSControl" localSheetId="5">#REF!</definedName>
    <definedName name="CHSControl" localSheetId="6">#REF!</definedName>
    <definedName name="CHSControl" localSheetId="7">#REF!</definedName>
    <definedName name="CHSControl" localSheetId="8">#REF!</definedName>
    <definedName name="CHSControl" localSheetId="9">#REF!</definedName>
    <definedName name="CHSControl">#REF!</definedName>
    <definedName name="CleanHandleStore" localSheetId="10">#REF!</definedName>
    <definedName name="CleanHandleStore" localSheetId="2">#REF!</definedName>
    <definedName name="CleanHandleStore" localSheetId="3">#REF!</definedName>
    <definedName name="CleanHandleStore" localSheetId="4">#REF!</definedName>
    <definedName name="CleanHandleStore" localSheetId="5">#REF!</definedName>
    <definedName name="CleanHandleStore" localSheetId="6">#REF!</definedName>
    <definedName name="CleanHandleStore" localSheetId="7">#REF!</definedName>
    <definedName name="CleanHandleStore" localSheetId="8">#REF!</definedName>
    <definedName name="CleanHandleStore" localSheetId="9">#REF!</definedName>
    <definedName name="CleanHandleStore">#REF!</definedName>
    <definedName name="Combust" localSheetId="10">#REF!</definedName>
    <definedName name="Combust" localSheetId="2">#REF!</definedName>
    <definedName name="Combust" localSheetId="3">#REF!</definedName>
    <definedName name="Combust" localSheetId="4">#REF!</definedName>
    <definedName name="Combust" localSheetId="5">#REF!</definedName>
    <definedName name="Combust" localSheetId="6">#REF!</definedName>
    <definedName name="Combust" localSheetId="7">#REF!</definedName>
    <definedName name="Combust" localSheetId="8">#REF!</definedName>
    <definedName name="Combust" localSheetId="9">#REF!</definedName>
    <definedName name="Combust">#REF!</definedName>
    <definedName name="Combustion" localSheetId="10">#REF!</definedName>
    <definedName name="Combustion" localSheetId="2">#REF!</definedName>
    <definedName name="Combustion" localSheetId="3">#REF!</definedName>
    <definedName name="Combustion" localSheetId="4">#REF!</definedName>
    <definedName name="Combustion" localSheetId="5">#REF!</definedName>
    <definedName name="Combustion" localSheetId="6">#REF!</definedName>
    <definedName name="Combustion" localSheetId="7">#REF!</definedName>
    <definedName name="Combustion" localSheetId="8">#REF!</definedName>
    <definedName name="Combustion" localSheetId="9">#REF!</definedName>
    <definedName name="Combustion">#REF!</definedName>
    <definedName name="ConcreteProcesses" localSheetId="10">'Asphalt Plant (AP-10)'!$A$24:$A$33</definedName>
    <definedName name="ConcreteProcesses" localSheetId="2">'Asphalt Plant (AP-2)'!$A$24:$A$33</definedName>
    <definedName name="ConcreteProcesses" localSheetId="3">'Asphalt Plant (AP-3)'!$A$24:$A$33</definedName>
    <definedName name="ConcreteProcesses" localSheetId="4">'Asphalt Plant (AP-4)'!$A$24:$A$33</definedName>
    <definedName name="ConcreteProcesses" localSheetId="5">'Asphalt Plant (AP-5)'!$A$24:$A$33</definedName>
    <definedName name="ConcreteProcesses" localSheetId="6">'Asphalt Plant (AP-6)'!$A$24:$A$33</definedName>
    <definedName name="ConcreteProcesses" localSheetId="7">'Asphalt Plant (AP-7)'!$A$24:$A$33</definedName>
    <definedName name="ConcreteProcesses" localSheetId="8">'Asphalt Plant (AP-8)'!$A$24:$A$33</definedName>
    <definedName name="ConcreteProcesses" localSheetId="9">'Asphalt Plant (AP-9)'!$A$24:$A$33</definedName>
    <definedName name="ConcreteProcesses">'Asphalt Plant (AP-1)'!$A$23:$A$32</definedName>
    <definedName name="control">'Haul Roads'!$A$9:$A$10</definedName>
    <definedName name="Crushing" localSheetId="10">#REF!</definedName>
    <definedName name="Crushing" localSheetId="2">#REF!</definedName>
    <definedName name="Crushing" localSheetId="3">#REF!</definedName>
    <definedName name="Crushing" localSheetId="4">#REF!</definedName>
    <definedName name="Crushing" localSheetId="5">#REF!</definedName>
    <definedName name="Crushing" localSheetId="6">#REF!</definedName>
    <definedName name="Crushing" localSheetId="7">#REF!</definedName>
    <definedName name="Crushing" localSheetId="8">#REF!</definedName>
    <definedName name="Crushing" localSheetId="9">#REF!</definedName>
    <definedName name="Crushing">#REF!</definedName>
    <definedName name="Dryer" localSheetId="10">#REF!</definedName>
    <definedName name="Dryer" localSheetId="2">#REF!</definedName>
    <definedName name="Dryer" localSheetId="3">#REF!</definedName>
    <definedName name="Dryer" localSheetId="4">#REF!</definedName>
    <definedName name="Dryer" localSheetId="5">#REF!</definedName>
    <definedName name="Dryer" localSheetId="6">#REF!</definedName>
    <definedName name="Dryer" localSheetId="7">#REF!</definedName>
    <definedName name="Dryer" localSheetId="8">#REF!</definedName>
    <definedName name="Dryer" localSheetId="9">#REF!</definedName>
    <definedName name="Dryer">#REF!</definedName>
    <definedName name="Drying" localSheetId="10">#REF!</definedName>
    <definedName name="Drying" localSheetId="2">#REF!</definedName>
    <definedName name="Drying" localSheetId="3">#REF!</definedName>
    <definedName name="Drying" localSheetId="4">#REF!</definedName>
    <definedName name="Drying" localSheetId="5">#REF!</definedName>
    <definedName name="Drying" localSheetId="6">#REF!</definedName>
    <definedName name="Drying" localSheetId="7">#REF!</definedName>
    <definedName name="Drying" localSheetId="8">#REF!</definedName>
    <definedName name="Drying" localSheetId="9">#REF!</definedName>
    <definedName name="Drying">#REF!</definedName>
    <definedName name="DynPrint1" localSheetId="1">OFFSET('Asphalt Plant (AP-1)'!$B$1,0,0,SUM('Asphalt Plant (AP-1)'!$C$4*15+18),9)</definedName>
    <definedName name="DynPrint10" localSheetId="10">OFFSET('Asphalt Plant (AP-10)'!$B$1,0,0,SUM('Asphalt Plant (AP-10)'!$C$4*15+18),9)</definedName>
    <definedName name="DynPrint2" localSheetId="2">OFFSET('Asphalt Plant (AP-2)'!$B$1,0,0,SUM('Asphalt Plant (AP-2)'!$C$4*15+19),9)</definedName>
    <definedName name="DynPrint3" localSheetId="3">OFFSET('Asphalt Plant (AP-3)'!$B$1,0,0,SUM('Asphalt Plant (AP-3)'!$C$4*15+18),9)</definedName>
    <definedName name="DynPrint4" localSheetId="4">OFFSET('Asphalt Plant (AP-4)'!$B$1,0,0,SUM('Asphalt Plant (AP-4)'!$C$4*15+18),9)</definedName>
    <definedName name="DynPrint5" localSheetId="5">OFFSET('Asphalt Plant (AP-5)'!$B$1,0,0,SUM('Asphalt Plant (AP-5)'!$C$4*15+18),9)</definedName>
    <definedName name="DynPrint6" localSheetId="6">OFFSET('Asphalt Plant (AP-6)'!$B$1,0,0,SUM('Asphalt Plant (AP-6)'!$C$4*15+18),9)</definedName>
    <definedName name="DynPrint7" localSheetId="7">OFFSET('Asphalt Plant (AP-7)'!$B$1,0,0,SUM('Asphalt Plant (AP-7)'!$C$4*15+18),9)</definedName>
    <definedName name="DynPrint8" localSheetId="8">OFFSET('Asphalt Plant (AP-8)'!$B$1,0,0,SUM('Asphalt Plant (AP-8)'!$C$4*15+18),9)</definedName>
    <definedName name="DynPrint9" localSheetId="9">OFFSET('Asphalt Plant (AP-9)'!$B$1,0,0,SUM('Asphalt Plant (AP-9)'!$C$4*15+18),9)</definedName>
    <definedName name="Employ" localSheetId="10">'Facility Information'!#REF!</definedName>
    <definedName name="Employ" localSheetId="2">'Facility Information'!#REF!</definedName>
    <definedName name="Employ" localSheetId="3">'Facility Information'!#REF!</definedName>
    <definedName name="Employ" localSheetId="4">'Facility Information'!#REF!</definedName>
    <definedName name="Employ" localSheetId="5">'Facility Information'!#REF!</definedName>
    <definedName name="Employ" localSheetId="6">'Facility Information'!#REF!</definedName>
    <definedName name="Employ" localSheetId="7">'Facility Information'!#REF!</definedName>
    <definedName name="Employ" localSheetId="8">'Facility Information'!#REF!</definedName>
    <definedName name="Employ" localSheetId="9">'Facility Information'!#REF!</definedName>
    <definedName name="Employ">'Facility Information'!#REF!</definedName>
    <definedName name="Fuel" localSheetId="10">'Asphalt Plant (AP-10)'!$A$13:$A$15</definedName>
    <definedName name="Fuel" localSheetId="2">'Asphalt Plant (AP-2)'!$A$13:$A$15</definedName>
    <definedName name="Fuel" localSheetId="3">'Asphalt Plant (AP-3)'!$A$13:$A$15</definedName>
    <definedName name="Fuel" localSheetId="4">'Asphalt Plant (AP-4)'!$A$13:$A$15</definedName>
    <definedName name="Fuel" localSheetId="5">'Asphalt Plant (AP-5)'!$A$13:$A$15</definedName>
    <definedName name="Fuel" localSheetId="6">'Asphalt Plant (AP-6)'!$A$13:$A$15</definedName>
    <definedName name="Fuel" localSheetId="7">'Asphalt Plant (AP-7)'!$A$13:$A$15</definedName>
    <definedName name="Fuel" localSheetId="8">'Asphalt Plant (AP-8)'!$A$13:$A$15</definedName>
    <definedName name="Fuel" localSheetId="9">'Asphalt Plant (AP-9)'!$A$13:$A$15</definedName>
    <definedName name="Fuel">'Asphalt Plant (AP-1)'!$A$13:$A$15</definedName>
    <definedName name="Gen">'Permitted Diesel Engines'!$U$8:$U$8</definedName>
    <definedName name="Gen_1">'Permitted Diesel Engines'!$U$7:$U$8</definedName>
    <definedName name="Generator" localSheetId="10">#REF!</definedName>
    <definedName name="Generator" localSheetId="2">#REF!</definedName>
    <definedName name="Generator" localSheetId="3">#REF!</definedName>
    <definedName name="Generator" localSheetId="4">#REF!</definedName>
    <definedName name="Generator" localSheetId="5">#REF!</definedName>
    <definedName name="Generator" localSheetId="6">#REF!</definedName>
    <definedName name="Generator" localSheetId="7">#REF!</definedName>
    <definedName name="Generator" localSheetId="8">#REF!</definedName>
    <definedName name="Generator" localSheetId="9">#REF!</definedName>
    <definedName name="Generator">#REF!</definedName>
    <definedName name="idontknow" localSheetId="10">#REF!</definedName>
    <definedName name="idontknow" localSheetId="2">#REF!</definedName>
    <definedName name="idontknow" localSheetId="3">#REF!</definedName>
    <definedName name="idontknow" localSheetId="4">#REF!</definedName>
    <definedName name="idontknow" localSheetId="5">#REF!</definedName>
    <definedName name="idontknow" localSheetId="6">#REF!</definedName>
    <definedName name="idontknow" localSheetId="7">#REF!</definedName>
    <definedName name="idontknow" localSheetId="8">#REF!</definedName>
    <definedName name="idontknow" localSheetId="9">#REF!</definedName>
    <definedName name="idontknow">#REF!</definedName>
    <definedName name="Load" localSheetId="10">#REF!</definedName>
    <definedName name="Load" localSheetId="2">#REF!</definedName>
    <definedName name="Load" localSheetId="3">#REF!</definedName>
    <definedName name="Load" localSheetId="4">#REF!</definedName>
    <definedName name="Load" localSheetId="5">#REF!</definedName>
    <definedName name="Load" localSheetId="6">#REF!</definedName>
    <definedName name="Load" localSheetId="7">#REF!</definedName>
    <definedName name="Load" localSheetId="8">#REF!</definedName>
    <definedName name="Load" localSheetId="9">#REF!</definedName>
    <definedName name="Load">#REF!</definedName>
    <definedName name="LoadCon" localSheetId="10">#REF!</definedName>
    <definedName name="LoadCon" localSheetId="2">#REF!</definedName>
    <definedName name="LoadCon" localSheetId="3">#REF!</definedName>
    <definedName name="LoadCon" localSheetId="4">#REF!</definedName>
    <definedName name="LoadCon" localSheetId="5">#REF!</definedName>
    <definedName name="LoadCon" localSheetId="6">#REF!</definedName>
    <definedName name="LoadCon" localSheetId="7">#REF!</definedName>
    <definedName name="LoadCon" localSheetId="8">#REF!</definedName>
    <definedName name="LoadCon" localSheetId="9">#REF!</definedName>
    <definedName name="LoadCon">#REF!</definedName>
    <definedName name="Loading" localSheetId="10">#REF!</definedName>
    <definedName name="Loading" localSheetId="2">#REF!</definedName>
    <definedName name="Loading" localSheetId="3">#REF!</definedName>
    <definedName name="Loading" localSheetId="4">#REF!</definedName>
    <definedName name="Loading" localSheetId="5">#REF!</definedName>
    <definedName name="Loading" localSheetId="6">#REF!</definedName>
    <definedName name="Loading" localSheetId="7">#REF!</definedName>
    <definedName name="Loading" localSheetId="8">#REF!</definedName>
    <definedName name="Loading" localSheetId="9">#REF!</definedName>
    <definedName name="Loading">#REF!</definedName>
    <definedName name="Loadout" localSheetId="10">#REF!</definedName>
    <definedName name="Loadout" localSheetId="2">#REF!</definedName>
    <definedName name="Loadout" localSheetId="3">#REF!</definedName>
    <definedName name="Loadout" localSheetId="4">#REF!</definedName>
    <definedName name="Loadout" localSheetId="5">#REF!</definedName>
    <definedName name="Loadout" localSheetId="6">#REF!</definedName>
    <definedName name="Loadout" localSheetId="7">#REF!</definedName>
    <definedName name="Loadout" localSheetId="8">#REF!</definedName>
    <definedName name="Loadout" localSheetId="9">#REF!</definedName>
    <definedName name="Loadout">#REF!</definedName>
    <definedName name="LoadoutControl" localSheetId="10">#REF!</definedName>
    <definedName name="LoadoutControl" localSheetId="2">#REF!</definedName>
    <definedName name="LoadoutControl" localSheetId="3">#REF!</definedName>
    <definedName name="LoadoutControl" localSheetId="4">#REF!</definedName>
    <definedName name="LoadoutControl" localSheetId="5">#REF!</definedName>
    <definedName name="LoadoutControl" localSheetId="6">#REF!</definedName>
    <definedName name="LoadoutControl" localSheetId="7">#REF!</definedName>
    <definedName name="LoadoutControl" localSheetId="8">#REF!</definedName>
    <definedName name="LoadoutControl" localSheetId="9">#REF!</definedName>
    <definedName name="LoadoutControl">#REF!</definedName>
    <definedName name="LP_1">OFFSET('Haul Roads'!$A$12,0,0,MATCH("x",'Haul Roads'!$A$12:$A$21,-1),1)</definedName>
    <definedName name="NoEmploy">'Facility Information'!$K$13:$K$14</definedName>
    <definedName name="plantnames">OFFSET('Permitted Diesel Engines'!$A$10,0,0,MATCH("*",'Permitted Diesel Engines'!$A$10:$A$19,-1),1)</definedName>
    <definedName name="PlantNumber">OFFSET('Haul Roads'!$A$12,0,0,MATCH("*",'Haul Roads'!$A$12:$A$21,-1),1)</definedName>
    <definedName name="PlantType" localSheetId="10">'Asphalt Plant (AP-10)'!$A$17:$A$18</definedName>
    <definedName name="PlantType" localSheetId="2">'Asphalt Plant (AP-2)'!$A$17:$A$18</definedName>
    <definedName name="PlantType" localSheetId="3">'Asphalt Plant (AP-3)'!$A$17:$A$18</definedName>
    <definedName name="PlantType" localSheetId="4">'Asphalt Plant (AP-4)'!$A$17:$A$18</definedName>
    <definedName name="PlantType" localSheetId="5">'Asphalt Plant (AP-5)'!$A$17:$A$18</definedName>
    <definedName name="PlantType" localSheetId="6">'Asphalt Plant (AP-6)'!$A$17:$A$18</definedName>
    <definedName name="PlantType" localSheetId="7">'Asphalt Plant (AP-7)'!$A$17:$A$18</definedName>
    <definedName name="PlantType" localSheetId="8">'Asphalt Plant (AP-8)'!$A$17:$A$18</definedName>
    <definedName name="PlantType" localSheetId="9">'Asphalt Plant (AP-9)'!$A$17:$A$18</definedName>
    <definedName name="PlantType">'Asphalt Plant (AP-1)'!$A$17:$A$18</definedName>
    <definedName name="_xlnm.Print_Area" localSheetId="1">'Asphalt Plant (AP-1)'!DynPrint1,'Asphalt Plant (AP-1)'!$M$1:$T$94</definedName>
    <definedName name="_xlnm.Print_Area" localSheetId="10">'Asphalt Plant (AP-10)'!DynPrint10,'Asphalt Plant (AP-10)'!$M$1:$T$94</definedName>
    <definedName name="_xlnm.Print_Area" localSheetId="2">'Asphalt Plant (AP-2)'!DynPrint2,'Asphalt Plant (AP-2)'!$M$1:$T$95</definedName>
    <definedName name="_xlnm.Print_Area" localSheetId="3">'Asphalt Plant (AP-3)'!DynPrint3,'Asphalt Plant (AP-3)'!$M$1:$T$94</definedName>
    <definedName name="_xlnm.Print_Area" localSheetId="4">'Asphalt Plant (AP-4)'!DynPrint4,'Asphalt Plant (AP-4)'!$M$1:$T$94</definedName>
    <definedName name="_xlnm.Print_Area" localSheetId="5">'Asphalt Plant (AP-5)'!DynPrint5,'Asphalt Plant (AP-5)'!$M$1:$T$94</definedName>
    <definedName name="_xlnm.Print_Area" localSheetId="6">'Asphalt Plant (AP-6)'!DynPrint6,'Asphalt Plant (AP-6)'!$M$1:$T$94</definedName>
    <definedName name="_xlnm.Print_Area" localSheetId="7">'Asphalt Plant (AP-7)'!DynPrint7,'Asphalt Plant (AP-7)'!$M$1:$T$94</definedName>
    <definedName name="_xlnm.Print_Area" localSheetId="8">'Asphalt Plant (AP-8)'!DynPrint8,'Asphalt Plant (AP-8)'!$M$1:$T$94</definedName>
    <definedName name="_xlnm.Print_Area" localSheetId="9">'Asphalt Plant (AP-9)'!DynPrint9,'Asphalt Plant (AP-9)'!$M$1:$T$94</definedName>
    <definedName name="_xlnm.Print_Area" localSheetId="15">'Emission Factors'!$A$1:$AW$44</definedName>
    <definedName name="_xlnm.Print_Area" localSheetId="0">'Facility Information'!$A$1:$G$22</definedName>
    <definedName name="_xlnm.Print_Area" localSheetId="14">'Facility Wide Emissions'!$A$1:$J$301</definedName>
    <definedName name="_xlnm.Print_Area" localSheetId="12">'Permitted Diesel Engines'!$C$1:$BC$51,'Permitted Diesel Engines'!$Y$52:$AO$63</definedName>
    <definedName name="process" localSheetId="10">'Asphalt Plant (AP-10)'!$A$24:$A$31</definedName>
    <definedName name="process" localSheetId="2">'Asphalt Plant (AP-2)'!$A$24:$A$31</definedName>
    <definedName name="process" localSheetId="3">'Asphalt Plant (AP-3)'!$A$24:$A$31</definedName>
    <definedName name="process" localSheetId="4">'Asphalt Plant (AP-4)'!$A$24:$A$31</definedName>
    <definedName name="process" localSheetId="5">'Asphalt Plant (AP-5)'!$A$24:$A$31</definedName>
    <definedName name="process" localSheetId="6">'Asphalt Plant (AP-6)'!$A$24:$A$31</definedName>
    <definedName name="process" localSheetId="7">'Asphalt Plant (AP-7)'!$A$24:$A$31</definedName>
    <definedName name="process" localSheetId="8">'Asphalt Plant (AP-8)'!$A$24:$A$31</definedName>
    <definedName name="process" localSheetId="9">'Asphalt Plant (AP-9)'!$A$24:$A$31</definedName>
    <definedName name="process">'Asphalt Plant (AP-1)'!$A$23:$A$30</definedName>
    <definedName name="Receive" localSheetId="10">#REF!</definedName>
    <definedName name="Receive" localSheetId="2">#REF!</definedName>
    <definedName name="Receive" localSheetId="3">#REF!</definedName>
    <definedName name="Receive" localSheetId="4">#REF!</definedName>
    <definedName name="Receive" localSheetId="5">#REF!</definedName>
    <definedName name="Receive" localSheetId="6">#REF!</definedName>
    <definedName name="Receive" localSheetId="7">#REF!</definedName>
    <definedName name="Receive" localSheetId="8">#REF!</definedName>
    <definedName name="Receive" localSheetId="9">#REF!</definedName>
    <definedName name="Receive">#REF!</definedName>
    <definedName name="ReceiveCon" localSheetId="10">#REF!</definedName>
    <definedName name="ReceiveCon" localSheetId="2">#REF!</definedName>
    <definedName name="ReceiveCon" localSheetId="3">#REF!</definedName>
    <definedName name="ReceiveCon" localSheetId="4">#REF!</definedName>
    <definedName name="ReceiveCon" localSheetId="5">#REF!</definedName>
    <definedName name="ReceiveCon" localSheetId="6">#REF!</definedName>
    <definedName name="ReceiveCon" localSheetId="7">#REF!</definedName>
    <definedName name="ReceiveCon" localSheetId="8">#REF!</definedName>
    <definedName name="ReceiveCon" localSheetId="9">#REF!</definedName>
    <definedName name="ReceiveCon">#REF!</definedName>
    <definedName name="ReceiveControl" localSheetId="10">#REF!</definedName>
    <definedName name="ReceiveControl" localSheetId="2">#REF!</definedName>
    <definedName name="ReceiveControl" localSheetId="3">#REF!</definedName>
    <definedName name="ReceiveControl" localSheetId="4">#REF!</definedName>
    <definedName name="ReceiveControl" localSheetId="5">#REF!</definedName>
    <definedName name="ReceiveControl" localSheetId="6">#REF!</definedName>
    <definedName name="ReceiveControl" localSheetId="7">#REF!</definedName>
    <definedName name="ReceiveControl" localSheetId="8">#REF!</definedName>
    <definedName name="ReceiveControl" localSheetId="9">#REF!</definedName>
    <definedName name="ReceiveControl">#REF!</definedName>
    <definedName name="Receiving" localSheetId="10">#REF!</definedName>
    <definedName name="Receiving" localSheetId="2">#REF!</definedName>
    <definedName name="Receiving" localSheetId="3">#REF!</definedName>
    <definedName name="Receiving" localSheetId="4">#REF!</definedName>
    <definedName name="Receiving" localSheetId="5">#REF!</definedName>
    <definedName name="Receiving" localSheetId="6">#REF!</definedName>
    <definedName name="Receiving" localSheetId="7">#REF!</definedName>
    <definedName name="Receiving" localSheetId="8">#REF!</definedName>
    <definedName name="Receiving" localSheetId="9">#REF!</definedName>
    <definedName name="Receiving">#REF!</definedName>
    <definedName name="RoadCon" localSheetId="10">#REF!</definedName>
    <definedName name="RoadCon" localSheetId="2">#REF!</definedName>
    <definedName name="RoadCon" localSheetId="3">#REF!</definedName>
    <definedName name="RoadCon" localSheetId="4">#REF!</definedName>
    <definedName name="RoadCon" localSheetId="5">#REF!</definedName>
    <definedName name="RoadCon" localSheetId="6">#REF!</definedName>
    <definedName name="RoadCon" localSheetId="7">#REF!</definedName>
    <definedName name="RoadCon" localSheetId="8">#REF!</definedName>
    <definedName name="RoadCon" localSheetId="9">#REF!</definedName>
    <definedName name="RoadCon">#REF!</definedName>
    <definedName name="RoadType">'Haul Roads'!$A$6:$A$7</definedName>
    <definedName name="stack">'Permitted Diesel Engines'!$A$62:$A$65</definedName>
    <definedName name="Submit">'Facility Information'!$K$9:$K$10</definedName>
    <definedName name="YesNO" localSheetId="10">#REF!</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 localSheetId="8">#REF!</definedName>
    <definedName name="YesNO" localSheetId="9">#REF!</definedName>
    <definedName name="YesNO">#REF!</definedName>
    <definedName name="yn" localSheetId="10">'Facility Information'!#REF!</definedName>
    <definedName name="yn" localSheetId="2">'Facility Information'!#REF!</definedName>
    <definedName name="yn" localSheetId="3">'Facility Information'!#REF!</definedName>
    <definedName name="yn" localSheetId="4">'Facility Information'!#REF!</definedName>
    <definedName name="yn" localSheetId="5">'Facility Information'!#REF!</definedName>
    <definedName name="yn" localSheetId="6">'Facility Information'!#REF!</definedName>
    <definedName name="yn" localSheetId="7">'Facility Information'!#REF!</definedName>
    <definedName name="yn" localSheetId="8">'Facility Information'!#REF!</definedName>
    <definedName name="yn" localSheetId="9">'Facility Information'!#REF!</definedName>
    <definedName name="yn">'Facility Information'!#REF!</definedName>
  </definedNames>
  <calcPr calcId="191029"/>
</workbook>
</file>

<file path=xl/calcChain.xml><?xml version="1.0" encoding="utf-8"?>
<calcChain xmlns="http://schemas.openxmlformats.org/spreadsheetml/2006/main">
  <c r="AI9" i="7" l="1"/>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8" i="7"/>
  <c r="H136" i="4" l="1"/>
  <c r="G136" i="4"/>
  <c r="B135" i="4"/>
  <c r="A135" i="4"/>
  <c r="B133" i="4"/>
  <c r="A133" i="4"/>
  <c r="B131" i="4"/>
  <c r="A131" i="4"/>
  <c r="B129" i="4"/>
  <c r="A129" i="4"/>
  <c r="B127" i="4"/>
  <c r="A127" i="4"/>
  <c r="B126" i="4"/>
  <c r="H126" i="4" s="1"/>
  <c r="A126" i="4"/>
  <c r="H125" i="4"/>
  <c r="B121" i="4"/>
  <c r="A121" i="4"/>
  <c r="H120" i="4"/>
  <c r="B119" i="4"/>
  <c r="A119" i="4"/>
  <c r="B118" i="4"/>
  <c r="H118" i="4" s="1"/>
  <c r="A118" i="4"/>
  <c r="H117" i="4"/>
  <c r="B116" i="4"/>
  <c r="H116" i="4" s="1"/>
  <c r="A116" i="4"/>
  <c r="B114" i="4"/>
  <c r="A114" i="4"/>
  <c r="B112" i="4"/>
  <c r="A112" i="4"/>
  <c r="B110" i="4"/>
  <c r="A110" i="4"/>
  <c r="G109" i="4"/>
  <c r="G107" i="4"/>
  <c r="B103" i="4"/>
  <c r="H103" i="4" s="1"/>
  <c r="A103" i="4"/>
  <c r="B102" i="4"/>
  <c r="A102" i="4"/>
  <c r="B100" i="4"/>
  <c r="A100" i="4"/>
  <c r="B99" i="4"/>
  <c r="A99" i="4"/>
  <c r="G98" i="4"/>
  <c r="G97" i="4"/>
  <c r="B94" i="4"/>
  <c r="A94" i="4"/>
  <c r="B93" i="4"/>
  <c r="A93" i="4"/>
  <c r="H92" i="4"/>
  <c r="D92" i="4"/>
  <c r="B91" i="4"/>
  <c r="A91" i="4"/>
  <c r="B89" i="4"/>
  <c r="A89" i="4"/>
  <c r="B88" i="4"/>
  <c r="A88" i="4"/>
  <c r="B77" i="4"/>
  <c r="A77" i="4"/>
  <c r="B76" i="4"/>
  <c r="A76" i="4"/>
  <c r="F51" i="4"/>
  <c r="AN63" i="7"/>
  <c r="AM63" i="7"/>
  <c r="AJ63" i="7"/>
  <c r="AI63" i="7"/>
  <c r="AF63" i="7"/>
  <c r="AE63" i="7"/>
  <c r="AB63" i="7"/>
  <c r="AA63" i="7"/>
  <c r="AN62" i="7"/>
  <c r="AM62" i="7"/>
  <c r="AJ62" i="7"/>
  <c r="AI62" i="7"/>
  <c r="AF62" i="7"/>
  <c r="AE62" i="7"/>
  <c r="AB62" i="7"/>
  <c r="AA62" i="7"/>
  <c r="AN61" i="7"/>
  <c r="AM61" i="7"/>
  <c r="AJ61" i="7"/>
  <c r="AI61" i="7"/>
  <c r="AF61" i="7"/>
  <c r="AE61" i="7"/>
  <c r="AB61" i="7"/>
  <c r="AA61" i="7"/>
  <c r="AN60" i="7"/>
  <c r="AM60" i="7"/>
  <c r="AJ60" i="7"/>
  <c r="AI60" i="7"/>
  <c r="AF60" i="7"/>
  <c r="AE60" i="7"/>
  <c r="AB60" i="7"/>
  <c r="AA60" i="7"/>
  <c r="B60" i="7" a="1"/>
  <c r="B60" i="7" s="1"/>
  <c r="AN59" i="7"/>
  <c r="AM59" i="7"/>
  <c r="AJ59" i="7"/>
  <c r="AI59" i="7"/>
  <c r="AF59" i="7"/>
  <c r="AE59" i="7"/>
  <c r="AB59" i="7"/>
  <c r="AA59" i="7"/>
  <c r="B59" i="7" a="1"/>
  <c r="B59" i="7" s="1"/>
  <c r="AN58" i="7"/>
  <c r="AM58" i="7"/>
  <c r="AJ58" i="7"/>
  <c r="AI58" i="7"/>
  <c r="AF58" i="7"/>
  <c r="AE58" i="7"/>
  <c r="AB58" i="7"/>
  <c r="AA58" i="7"/>
  <c r="B58" i="7" a="1"/>
  <c r="B58" i="7" s="1"/>
  <c r="AN57" i="7"/>
  <c r="AM57" i="7"/>
  <c r="AJ57" i="7"/>
  <c r="AI57" i="7"/>
  <c r="AF57" i="7"/>
  <c r="AE57" i="7"/>
  <c r="AB57" i="7"/>
  <c r="AA57" i="7"/>
  <c r="B57" i="7" a="1"/>
  <c r="B57" i="7" s="1"/>
  <c r="AN56" i="7"/>
  <c r="AM56" i="7"/>
  <c r="AJ56" i="7"/>
  <c r="AI56" i="7"/>
  <c r="AF56" i="7"/>
  <c r="AE56" i="7"/>
  <c r="AB56" i="7"/>
  <c r="AA56" i="7"/>
  <c r="B56" i="7" a="1"/>
  <c r="B56" i="7" s="1"/>
  <c r="AN55" i="7"/>
  <c r="AM55" i="7"/>
  <c r="AJ55" i="7"/>
  <c r="AI55" i="7"/>
  <c r="AF55" i="7"/>
  <c r="AE55" i="7"/>
  <c r="AB55" i="7"/>
  <c r="AA55" i="7"/>
  <c r="B55" i="7" a="1"/>
  <c r="B55" i="7" s="1"/>
  <c r="AN54" i="7"/>
  <c r="AM54" i="7"/>
  <c r="AJ54" i="7"/>
  <c r="AI54" i="7"/>
  <c r="AF54" i="7"/>
  <c r="AE54" i="7"/>
  <c r="AB54" i="7"/>
  <c r="AA54" i="7"/>
  <c r="B54" i="7" a="1"/>
  <c r="B54" i="7" s="1"/>
  <c r="B53" i="7" a="1"/>
  <c r="B53" i="7" s="1"/>
  <c r="B52" i="7"/>
  <c r="B52" i="7" a="1"/>
  <c r="B51" i="7" a="1"/>
  <c r="B51" i="7" s="1"/>
  <c r="BC49" i="7"/>
  <c r="BB49" i="7"/>
  <c r="BA49" i="7"/>
  <c r="AZ49" i="7"/>
  <c r="AY49" i="7"/>
  <c r="AX49" i="7"/>
  <c r="AW49" i="7"/>
  <c r="AV49" i="7"/>
  <c r="AT49" i="7"/>
  <c r="AS49" i="7"/>
  <c r="AR49" i="7"/>
  <c r="AQ49" i="7"/>
  <c r="AP49" i="7"/>
  <c r="AO49" i="7"/>
  <c r="AN49" i="7"/>
  <c r="AM49" i="7"/>
  <c r="AL49" i="7"/>
  <c r="AK49" i="7"/>
  <c r="AJ49" i="7"/>
  <c r="AH49" i="7"/>
  <c r="AG49" i="7"/>
  <c r="AF49" i="7"/>
  <c r="AE49" i="7"/>
  <c r="AD49" i="7"/>
  <c r="AC49" i="7"/>
  <c r="AB49" i="7"/>
  <c r="AA49" i="7"/>
  <c r="Z49" i="7"/>
  <c r="Y49" i="7"/>
  <c r="X49" i="7"/>
  <c r="T49" i="7"/>
  <c r="R49" i="7"/>
  <c r="B49" i="7"/>
  <c r="K49" i="7" s="1"/>
  <c r="BC48" i="7"/>
  <c r="BB48" i="7"/>
  <c r="BA48" i="7"/>
  <c r="AZ48" i="7"/>
  <c r="AY48" i="7"/>
  <c r="AX48" i="7"/>
  <c r="AW48" i="7"/>
  <c r="AV48" i="7"/>
  <c r="AU48" i="7"/>
  <c r="AT48" i="7"/>
  <c r="AS48" i="7"/>
  <c r="AR48" i="7"/>
  <c r="AQ48" i="7"/>
  <c r="AP48" i="7"/>
  <c r="AO48" i="7"/>
  <c r="AN48" i="7"/>
  <c r="AM48" i="7"/>
  <c r="AL48" i="7"/>
  <c r="AK48" i="7"/>
  <c r="AJ48" i="7"/>
  <c r="AH48" i="7"/>
  <c r="AG48" i="7"/>
  <c r="AF48" i="7"/>
  <c r="AE48" i="7"/>
  <c r="AD48" i="7"/>
  <c r="AC48" i="7"/>
  <c r="AB48" i="7"/>
  <c r="AA48" i="7"/>
  <c r="Z48" i="7"/>
  <c r="Y48" i="7"/>
  <c r="X48" i="7"/>
  <c r="T48" i="7"/>
  <c r="R48" i="7"/>
  <c r="B48" i="7"/>
  <c r="K48" i="7" s="1"/>
  <c r="BC47" i="7"/>
  <c r="BB47" i="7"/>
  <c r="BA47" i="7"/>
  <c r="AZ47" i="7"/>
  <c r="AY47" i="7"/>
  <c r="AX47" i="7"/>
  <c r="AW47" i="7"/>
  <c r="AV47" i="7"/>
  <c r="AU47" i="7"/>
  <c r="AT47" i="7"/>
  <c r="AS47" i="7"/>
  <c r="AR47" i="7"/>
  <c r="AQ47" i="7"/>
  <c r="AP47" i="7"/>
  <c r="AO47" i="7"/>
  <c r="AN47" i="7"/>
  <c r="AM47" i="7"/>
  <c r="AL47" i="7"/>
  <c r="AK47" i="7"/>
  <c r="AJ47" i="7"/>
  <c r="AH47" i="7"/>
  <c r="AG47" i="7"/>
  <c r="AF47" i="7"/>
  <c r="AE47" i="7"/>
  <c r="AD47" i="7"/>
  <c r="AC47" i="7"/>
  <c r="AB47" i="7"/>
  <c r="AA47" i="7"/>
  <c r="Z47" i="7"/>
  <c r="Y47" i="7"/>
  <c r="X47" i="7"/>
  <c r="T47" i="7"/>
  <c r="R47" i="7"/>
  <c r="B47" i="7"/>
  <c r="K47" i="7" s="1"/>
  <c r="BC46" i="7"/>
  <c r="BB46" i="7"/>
  <c r="BA46" i="7"/>
  <c r="AZ46" i="7"/>
  <c r="AY46" i="7"/>
  <c r="AX46" i="7"/>
  <c r="AW46" i="7"/>
  <c r="AV46" i="7"/>
  <c r="AU46" i="7"/>
  <c r="AT46" i="7"/>
  <c r="AS46" i="7"/>
  <c r="AR46" i="7"/>
  <c r="AQ46" i="7"/>
  <c r="AP46" i="7"/>
  <c r="AO46" i="7"/>
  <c r="AN46" i="7"/>
  <c r="AM46" i="7"/>
  <c r="AL46" i="7"/>
  <c r="AK46" i="7"/>
  <c r="AJ46" i="7"/>
  <c r="AH46" i="7"/>
  <c r="AG46" i="7"/>
  <c r="AF46" i="7"/>
  <c r="AE46" i="7"/>
  <c r="AD46" i="7"/>
  <c r="AC46" i="7"/>
  <c r="AB46" i="7"/>
  <c r="AA46" i="7"/>
  <c r="Z46" i="7"/>
  <c r="Y46" i="7"/>
  <c r="X46" i="7"/>
  <c r="T46" i="7"/>
  <c r="R46" i="7"/>
  <c r="B46" i="7"/>
  <c r="K46" i="7" s="1"/>
  <c r="BC45" i="7"/>
  <c r="BB45" i="7"/>
  <c r="BA45" i="7"/>
  <c r="AZ45" i="7"/>
  <c r="AY45" i="7"/>
  <c r="AX45" i="7"/>
  <c r="AW45" i="7"/>
  <c r="AV45" i="7"/>
  <c r="AU45" i="7"/>
  <c r="AT45" i="7"/>
  <c r="AS45" i="7"/>
  <c r="AR45" i="7"/>
  <c r="AQ45" i="7"/>
  <c r="AP45" i="7"/>
  <c r="AO45" i="7"/>
  <c r="AN45" i="7"/>
  <c r="AM45" i="7"/>
  <c r="AL45" i="7"/>
  <c r="AK45" i="7"/>
  <c r="AJ45" i="7"/>
  <c r="AH45" i="7"/>
  <c r="AG45" i="7"/>
  <c r="AF45" i="7"/>
  <c r="AE45" i="7"/>
  <c r="AD45" i="7"/>
  <c r="AC45" i="7"/>
  <c r="AB45" i="7"/>
  <c r="AA45" i="7"/>
  <c r="Z45" i="7"/>
  <c r="Y45" i="7"/>
  <c r="X45" i="7"/>
  <c r="T45" i="7"/>
  <c r="R45" i="7"/>
  <c r="B45" i="7"/>
  <c r="K45" i="7" s="1"/>
  <c r="BC44" i="7"/>
  <c r="BB44" i="7"/>
  <c r="BA44" i="7"/>
  <c r="AZ44" i="7"/>
  <c r="AY44" i="7"/>
  <c r="AX44" i="7"/>
  <c r="AW44" i="7"/>
  <c r="AV44" i="7"/>
  <c r="AU44" i="7"/>
  <c r="AT44" i="7"/>
  <c r="AS44" i="7"/>
  <c r="AR44" i="7"/>
  <c r="AQ44" i="7"/>
  <c r="AP44" i="7"/>
  <c r="AO44" i="7"/>
  <c r="AN44" i="7"/>
  <c r="AM44" i="7"/>
  <c r="AL44" i="7"/>
  <c r="AK44" i="7"/>
  <c r="AJ44" i="7"/>
  <c r="AH44" i="7"/>
  <c r="AG44" i="7"/>
  <c r="AF44" i="7"/>
  <c r="AE44" i="7"/>
  <c r="AD44" i="7"/>
  <c r="AC44" i="7"/>
  <c r="AB44" i="7"/>
  <c r="AA44" i="7"/>
  <c r="Z44" i="7"/>
  <c r="Y44" i="7"/>
  <c r="X44" i="7"/>
  <c r="T44" i="7"/>
  <c r="R44" i="7"/>
  <c r="B44" i="7"/>
  <c r="K44" i="7" s="1"/>
  <c r="BC43" i="7"/>
  <c r="BB43" i="7"/>
  <c r="BA43" i="7"/>
  <c r="AZ43" i="7"/>
  <c r="AY43" i="7"/>
  <c r="AX43" i="7"/>
  <c r="AW43" i="7"/>
  <c r="AV43" i="7"/>
  <c r="AU43" i="7"/>
  <c r="AT43" i="7"/>
  <c r="AS43" i="7"/>
  <c r="AR43" i="7"/>
  <c r="AQ43" i="7"/>
  <c r="AP43" i="7"/>
  <c r="AO43" i="7"/>
  <c r="AN43" i="7"/>
  <c r="AM43" i="7"/>
  <c r="AL43" i="7"/>
  <c r="AK43" i="7"/>
  <c r="AJ43" i="7"/>
  <c r="AH43" i="7"/>
  <c r="AG43" i="7"/>
  <c r="AF43" i="7"/>
  <c r="AE43" i="7"/>
  <c r="AD43" i="7"/>
  <c r="AC43" i="7"/>
  <c r="AB43" i="7"/>
  <c r="AA43" i="7"/>
  <c r="Z43" i="7"/>
  <c r="Y43" i="7"/>
  <c r="X43" i="7"/>
  <c r="V43" i="7"/>
  <c r="T43" i="7"/>
  <c r="R43" i="7"/>
  <c r="B43" i="7"/>
  <c r="K43" i="7" s="1"/>
  <c r="BC42" i="7"/>
  <c r="BB42" i="7"/>
  <c r="BA42" i="7"/>
  <c r="AZ42" i="7"/>
  <c r="AY42" i="7"/>
  <c r="AX42" i="7"/>
  <c r="AW42" i="7"/>
  <c r="AV42" i="7"/>
  <c r="AU42" i="7"/>
  <c r="AT42" i="7"/>
  <c r="AS42" i="7"/>
  <c r="AR42" i="7"/>
  <c r="AQ42" i="7"/>
  <c r="AP42" i="7"/>
  <c r="AO42" i="7"/>
  <c r="AN42" i="7"/>
  <c r="AM42" i="7"/>
  <c r="AL42" i="7"/>
  <c r="AK42" i="7"/>
  <c r="AJ42" i="7"/>
  <c r="AH42" i="7"/>
  <c r="AG42" i="7"/>
  <c r="AF42" i="7"/>
  <c r="AE42" i="7"/>
  <c r="AD42" i="7"/>
  <c r="AC42" i="7"/>
  <c r="AB42" i="7"/>
  <c r="AA42" i="7"/>
  <c r="Z42" i="7"/>
  <c r="Y42" i="7"/>
  <c r="X42" i="7"/>
  <c r="T42" i="7"/>
  <c r="R42" i="7"/>
  <c r="B42" i="7"/>
  <c r="K42" i="7" s="1"/>
  <c r="BC41" i="7"/>
  <c r="BB41" i="7"/>
  <c r="BA41" i="7"/>
  <c r="AZ41" i="7"/>
  <c r="AY41" i="7"/>
  <c r="AX41" i="7"/>
  <c r="AW41" i="7"/>
  <c r="AV41" i="7"/>
  <c r="AU41" i="7"/>
  <c r="AT41" i="7"/>
  <c r="AS41" i="7"/>
  <c r="AR41" i="7"/>
  <c r="AQ41" i="7"/>
  <c r="AP41" i="7"/>
  <c r="AO41" i="7"/>
  <c r="AN41" i="7"/>
  <c r="AM41" i="7"/>
  <c r="AL41" i="7"/>
  <c r="AK41" i="7"/>
  <c r="AJ41" i="7"/>
  <c r="AH41" i="7"/>
  <c r="AG41" i="7"/>
  <c r="AF41" i="7"/>
  <c r="AE41" i="7"/>
  <c r="AD41" i="7"/>
  <c r="AC41" i="7"/>
  <c r="AB41" i="7"/>
  <c r="AA41" i="7"/>
  <c r="Z41" i="7"/>
  <c r="Y41" i="7"/>
  <c r="X41" i="7"/>
  <c r="T41" i="7"/>
  <c r="R41" i="7"/>
  <c r="B41" i="7"/>
  <c r="K41" i="7" s="1"/>
  <c r="BC40" i="7"/>
  <c r="BB40" i="7"/>
  <c r="BA40" i="7"/>
  <c r="AZ40" i="7"/>
  <c r="AY40" i="7"/>
  <c r="AX40" i="7"/>
  <c r="AW40" i="7"/>
  <c r="AV40" i="7"/>
  <c r="AU40" i="7"/>
  <c r="AT40" i="7"/>
  <c r="AS40" i="7"/>
  <c r="AR40" i="7"/>
  <c r="AQ40" i="7"/>
  <c r="AP40" i="7"/>
  <c r="AO40" i="7"/>
  <c r="AN40" i="7"/>
  <c r="AM40" i="7"/>
  <c r="AL40" i="7"/>
  <c r="AK40" i="7"/>
  <c r="AJ40" i="7"/>
  <c r="AH40" i="7"/>
  <c r="AG40" i="7"/>
  <c r="AF40" i="7"/>
  <c r="AE40" i="7"/>
  <c r="AD40" i="7"/>
  <c r="AC40" i="7"/>
  <c r="AB40" i="7"/>
  <c r="AA40" i="7"/>
  <c r="Z40" i="7"/>
  <c r="Y40" i="7"/>
  <c r="X40" i="7"/>
  <c r="T40" i="7"/>
  <c r="R40" i="7"/>
  <c r="B40" i="7"/>
  <c r="BC39" i="7"/>
  <c r="BB39" i="7"/>
  <c r="BA39" i="7"/>
  <c r="AZ39" i="7"/>
  <c r="AY39" i="7"/>
  <c r="AX39" i="7"/>
  <c r="AW39" i="7"/>
  <c r="AV39" i="7"/>
  <c r="AU39" i="7"/>
  <c r="AT39" i="7"/>
  <c r="AS39" i="7"/>
  <c r="AR39" i="7"/>
  <c r="AQ39" i="7"/>
  <c r="AP39" i="7"/>
  <c r="AO39" i="7"/>
  <c r="AN39" i="7"/>
  <c r="AM39" i="7"/>
  <c r="AL39" i="7"/>
  <c r="AK39" i="7"/>
  <c r="AJ39" i="7"/>
  <c r="AH39" i="7"/>
  <c r="AG39" i="7"/>
  <c r="AF39" i="7"/>
  <c r="AE39" i="7"/>
  <c r="AD39" i="7"/>
  <c r="AC39" i="7"/>
  <c r="AB39" i="7"/>
  <c r="AA39" i="7"/>
  <c r="Z39" i="7"/>
  <c r="Y39" i="7"/>
  <c r="X39" i="7"/>
  <c r="T39" i="7"/>
  <c r="R39" i="7"/>
  <c r="B39" i="7"/>
  <c r="K39" i="7" s="1"/>
  <c r="BC38" i="7"/>
  <c r="BB38" i="7"/>
  <c r="BA38" i="7"/>
  <c r="AZ38" i="7"/>
  <c r="AY38" i="7"/>
  <c r="AX38" i="7"/>
  <c r="AW38" i="7"/>
  <c r="AV38" i="7"/>
  <c r="AU38" i="7"/>
  <c r="AT38" i="7"/>
  <c r="AS38" i="7"/>
  <c r="AR38" i="7"/>
  <c r="AQ38" i="7"/>
  <c r="AP38" i="7"/>
  <c r="AO38" i="7"/>
  <c r="AN38" i="7"/>
  <c r="AM38" i="7"/>
  <c r="AL38" i="7"/>
  <c r="AK38" i="7"/>
  <c r="AJ38" i="7"/>
  <c r="AH38" i="7"/>
  <c r="AG38" i="7"/>
  <c r="AF38" i="7"/>
  <c r="AE38" i="7"/>
  <c r="AD38" i="7"/>
  <c r="AC38" i="7"/>
  <c r="AB38" i="7"/>
  <c r="AA38" i="7"/>
  <c r="Z38" i="7"/>
  <c r="Y38" i="7"/>
  <c r="X38" i="7"/>
  <c r="T38" i="7"/>
  <c r="R38" i="7"/>
  <c r="B38" i="7"/>
  <c r="K38" i="7" s="1"/>
  <c r="BC37" i="7"/>
  <c r="BB37" i="7"/>
  <c r="BA37" i="7"/>
  <c r="AZ37" i="7"/>
  <c r="AY37" i="7"/>
  <c r="AX37" i="7"/>
  <c r="AW37" i="7"/>
  <c r="AV37" i="7"/>
  <c r="AU37" i="7"/>
  <c r="AT37" i="7"/>
  <c r="AS37" i="7"/>
  <c r="AR37" i="7"/>
  <c r="AQ37" i="7"/>
  <c r="AP37" i="7"/>
  <c r="AO37" i="7"/>
  <c r="AN37" i="7"/>
  <c r="AM37" i="7"/>
  <c r="AL37" i="7"/>
  <c r="AK37" i="7"/>
  <c r="AJ37" i="7"/>
  <c r="AH37" i="7"/>
  <c r="AG37" i="7"/>
  <c r="AF37" i="7"/>
  <c r="AE37" i="7"/>
  <c r="AD37" i="7"/>
  <c r="AC37" i="7"/>
  <c r="AB37" i="7"/>
  <c r="AA37" i="7"/>
  <c r="Z37" i="7"/>
  <c r="Y37" i="7"/>
  <c r="X37" i="7"/>
  <c r="T37" i="7"/>
  <c r="R37" i="7"/>
  <c r="B37" i="7"/>
  <c r="K37" i="7" s="1"/>
  <c r="BC36" i="7"/>
  <c r="BB36" i="7"/>
  <c r="BA36" i="7"/>
  <c r="AZ36" i="7"/>
  <c r="AY36" i="7"/>
  <c r="AX36" i="7"/>
  <c r="AW36" i="7"/>
  <c r="AV36" i="7"/>
  <c r="AU36" i="7"/>
  <c r="AT36" i="7"/>
  <c r="AS36" i="7"/>
  <c r="AR36" i="7"/>
  <c r="AQ36" i="7"/>
  <c r="AP36" i="7"/>
  <c r="AO36" i="7"/>
  <c r="AN36" i="7"/>
  <c r="AM36" i="7"/>
  <c r="AL36" i="7"/>
  <c r="AK36" i="7"/>
  <c r="AJ36" i="7"/>
  <c r="AH36" i="7"/>
  <c r="AG36" i="7"/>
  <c r="AF36" i="7"/>
  <c r="AE36" i="7"/>
  <c r="AD36" i="7"/>
  <c r="AC36" i="7"/>
  <c r="AB36" i="7"/>
  <c r="AA36" i="7"/>
  <c r="Z36" i="7"/>
  <c r="Y36" i="7"/>
  <c r="X36" i="7"/>
  <c r="T36" i="7"/>
  <c r="R36" i="7"/>
  <c r="B36" i="7"/>
  <c r="K36" i="7" s="1"/>
  <c r="BC35" i="7"/>
  <c r="BB35" i="7"/>
  <c r="BA35" i="7"/>
  <c r="AZ35" i="7"/>
  <c r="AY35" i="7"/>
  <c r="AX35" i="7"/>
  <c r="AW35" i="7"/>
  <c r="AV35" i="7"/>
  <c r="AU35" i="7"/>
  <c r="AT35" i="7"/>
  <c r="AS35" i="7"/>
  <c r="AR35" i="7"/>
  <c r="AQ35" i="7"/>
  <c r="AP35" i="7"/>
  <c r="AO35" i="7"/>
  <c r="AN35" i="7"/>
  <c r="AM35" i="7"/>
  <c r="AL35" i="7"/>
  <c r="AK35" i="7"/>
  <c r="AJ35" i="7"/>
  <c r="AH35" i="7"/>
  <c r="AG35" i="7"/>
  <c r="AF35" i="7"/>
  <c r="AE35" i="7"/>
  <c r="AD35" i="7"/>
  <c r="AC35" i="7"/>
  <c r="AB35" i="7"/>
  <c r="AA35" i="7"/>
  <c r="Z35" i="7"/>
  <c r="Y35" i="7"/>
  <c r="X35" i="7"/>
  <c r="T35" i="7"/>
  <c r="R35" i="7"/>
  <c r="B35" i="7"/>
  <c r="K35" i="7" s="1"/>
  <c r="BC34" i="7"/>
  <c r="BB34" i="7"/>
  <c r="BA34" i="7"/>
  <c r="AZ34" i="7"/>
  <c r="AY34" i="7"/>
  <c r="AX34" i="7"/>
  <c r="AW34" i="7"/>
  <c r="AV34" i="7"/>
  <c r="AU34" i="7"/>
  <c r="AT34" i="7"/>
  <c r="AS34" i="7"/>
  <c r="AR34" i="7"/>
  <c r="AQ34" i="7"/>
  <c r="AP34" i="7"/>
  <c r="AO34" i="7"/>
  <c r="AN34" i="7"/>
  <c r="AM34" i="7"/>
  <c r="AL34" i="7"/>
  <c r="AK34" i="7"/>
  <c r="AJ34" i="7"/>
  <c r="AH34" i="7"/>
  <c r="AG34" i="7"/>
  <c r="AF34" i="7"/>
  <c r="AE34" i="7"/>
  <c r="AD34" i="7"/>
  <c r="AC34" i="7"/>
  <c r="AB34" i="7"/>
  <c r="AA34" i="7"/>
  <c r="Z34" i="7"/>
  <c r="Y34" i="7"/>
  <c r="X34" i="7"/>
  <c r="T34" i="7"/>
  <c r="R34" i="7"/>
  <c r="B34" i="7"/>
  <c r="K34" i="7" s="1"/>
  <c r="BC33" i="7"/>
  <c r="BB33" i="7"/>
  <c r="BA33" i="7"/>
  <c r="AZ33" i="7"/>
  <c r="AY33" i="7"/>
  <c r="AX33" i="7"/>
  <c r="AW33" i="7"/>
  <c r="AV33" i="7"/>
  <c r="AU33" i="7"/>
  <c r="AT33" i="7"/>
  <c r="AS33" i="7"/>
  <c r="AR33" i="7"/>
  <c r="AQ33" i="7"/>
  <c r="AP33" i="7"/>
  <c r="AO33" i="7"/>
  <c r="AN33" i="7"/>
  <c r="AM33" i="7"/>
  <c r="AL33" i="7"/>
  <c r="AK33" i="7"/>
  <c r="AJ33" i="7"/>
  <c r="AH33" i="7"/>
  <c r="AG33" i="7"/>
  <c r="AF33" i="7"/>
  <c r="AE33" i="7"/>
  <c r="AD33" i="7"/>
  <c r="AC33" i="7"/>
  <c r="AB33" i="7"/>
  <c r="AA33" i="7"/>
  <c r="Z33" i="7"/>
  <c r="Y33" i="7"/>
  <c r="X33" i="7"/>
  <c r="T33" i="7"/>
  <c r="R33" i="7"/>
  <c r="B33" i="7"/>
  <c r="K33" i="7" s="1"/>
  <c r="BC32" i="7"/>
  <c r="BB32" i="7"/>
  <c r="BA32" i="7"/>
  <c r="AZ32" i="7"/>
  <c r="AY32" i="7"/>
  <c r="AX32" i="7"/>
  <c r="AW32" i="7"/>
  <c r="AV32" i="7"/>
  <c r="AU32" i="7"/>
  <c r="AT32" i="7"/>
  <c r="AS32" i="7"/>
  <c r="AR32" i="7"/>
  <c r="AQ32" i="7"/>
  <c r="AP32" i="7"/>
  <c r="AO32" i="7"/>
  <c r="AN32" i="7"/>
  <c r="AM32" i="7"/>
  <c r="AL32" i="7"/>
  <c r="AK32" i="7"/>
  <c r="AJ32" i="7"/>
  <c r="AH32" i="7"/>
  <c r="AG32" i="7"/>
  <c r="AF32" i="7"/>
  <c r="AE32" i="7"/>
  <c r="AD32" i="7"/>
  <c r="AC32" i="7"/>
  <c r="AB32" i="7"/>
  <c r="AA32" i="7"/>
  <c r="Z32" i="7"/>
  <c r="Y32" i="7"/>
  <c r="X32" i="7"/>
  <c r="T32" i="7"/>
  <c r="R32" i="7"/>
  <c r="B32" i="7"/>
  <c r="K32" i="7" s="1"/>
  <c r="BC31" i="7"/>
  <c r="BB31" i="7"/>
  <c r="BA31" i="7"/>
  <c r="AZ31" i="7"/>
  <c r="AY31" i="7"/>
  <c r="AX31" i="7"/>
  <c r="AW31" i="7"/>
  <c r="AV31" i="7"/>
  <c r="AU31" i="7"/>
  <c r="AT31" i="7"/>
  <c r="AS31" i="7"/>
  <c r="AR31" i="7"/>
  <c r="AQ31" i="7"/>
  <c r="AP31" i="7"/>
  <c r="AO31" i="7"/>
  <c r="AN31" i="7"/>
  <c r="AM31" i="7"/>
  <c r="AL31" i="7"/>
  <c r="AK31" i="7"/>
  <c r="AJ31" i="7"/>
  <c r="AH31" i="7"/>
  <c r="AG31" i="7"/>
  <c r="AF31" i="7"/>
  <c r="AE31" i="7"/>
  <c r="AD31" i="7"/>
  <c r="AC31" i="7"/>
  <c r="AB31" i="7"/>
  <c r="AA31" i="7"/>
  <c r="Z31" i="7"/>
  <c r="Y31" i="7"/>
  <c r="X31" i="7"/>
  <c r="T31" i="7"/>
  <c r="R31" i="7"/>
  <c r="B31" i="7"/>
  <c r="K31" i="7" s="1"/>
  <c r="BC30" i="7"/>
  <c r="BB30" i="7"/>
  <c r="BA30" i="7"/>
  <c r="AZ30" i="7"/>
  <c r="AY30" i="7"/>
  <c r="AX30" i="7"/>
  <c r="AW30" i="7"/>
  <c r="AV30" i="7"/>
  <c r="AU30" i="7"/>
  <c r="AT30" i="7"/>
  <c r="AS30" i="7"/>
  <c r="AR30" i="7"/>
  <c r="AQ30" i="7"/>
  <c r="AP30" i="7"/>
  <c r="AO30" i="7"/>
  <c r="AN30" i="7"/>
  <c r="AM30" i="7"/>
  <c r="AL30" i="7"/>
  <c r="AK30" i="7"/>
  <c r="AJ30" i="7"/>
  <c r="AH30" i="7"/>
  <c r="AG30" i="7"/>
  <c r="AF30" i="7"/>
  <c r="AE30" i="7"/>
  <c r="AD30" i="7"/>
  <c r="AC30" i="7"/>
  <c r="AB30" i="7"/>
  <c r="AA30" i="7"/>
  <c r="Z30" i="7"/>
  <c r="Y30" i="7"/>
  <c r="X30" i="7"/>
  <c r="T30" i="7"/>
  <c r="R30" i="7"/>
  <c r="B30" i="7"/>
  <c r="K30" i="7" s="1"/>
  <c r="BC29" i="7"/>
  <c r="BB29" i="7"/>
  <c r="BA29" i="7"/>
  <c r="AZ29" i="7"/>
  <c r="AY29" i="7"/>
  <c r="AX29" i="7"/>
  <c r="AW29" i="7"/>
  <c r="AV29" i="7"/>
  <c r="AU29" i="7"/>
  <c r="AT29" i="7"/>
  <c r="AS29" i="7"/>
  <c r="AR29" i="7"/>
  <c r="AQ29" i="7"/>
  <c r="AP29" i="7"/>
  <c r="AO29" i="7"/>
  <c r="AN29" i="7"/>
  <c r="AM29" i="7"/>
  <c r="AL29" i="7"/>
  <c r="AK29" i="7"/>
  <c r="AJ29" i="7"/>
  <c r="AH29" i="7"/>
  <c r="AG29" i="7"/>
  <c r="AF29" i="7"/>
  <c r="AE29" i="7"/>
  <c r="AD29" i="7"/>
  <c r="AC29" i="7"/>
  <c r="AB29" i="7"/>
  <c r="AA29" i="7"/>
  <c r="Z29" i="7"/>
  <c r="Y29" i="7"/>
  <c r="X29" i="7"/>
  <c r="T29" i="7"/>
  <c r="R29" i="7"/>
  <c r="B29" i="7"/>
  <c r="K29" i="7" s="1"/>
  <c r="BC28" i="7"/>
  <c r="BB28" i="7"/>
  <c r="BA28" i="7"/>
  <c r="AZ28" i="7"/>
  <c r="AY28" i="7"/>
  <c r="AX28" i="7"/>
  <c r="AW28" i="7"/>
  <c r="AV28" i="7"/>
  <c r="AT28" i="7"/>
  <c r="AS28" i="7"/>
  <c r="AR28" i="7"/>
  <c r="AQ28" i="7"/>
  <c r="AP28" i="7"/>
  <c r="AO28" i="7"/>
  <c r="AN28" i="7"/>
  <c r="AM28" i="7"/>
  <c r="AL28" i="7"/>
  <c r="AK28" i="7"/>
  <c r="AJ28" i="7"/>
  <c r="AH28" i="7"/>
  <c r="AG28" i="7"/>
  <c r="AF28" i="7"/>
  <c r="AE28" i="7"/>
  <c r="AD28" i="7"/>
  <c r="AC28" i="7"/>
  <c r="AB28" i="7"/>
  <c r="AA28" i="7"/>
  <c r="Z28" i="7"/>
  <c r="Y28" i="7"/>
  <c r="X28" i="7"/>
  <c r="T28" i="7"/>
  <c r="R28" i="7"/>
  <c r="B28" i="7"/>
  <c r="K28" i="7" s="1"/>
  <c r="BC27" i="7"/>
  <c r="BB27" i="7"/>
  <c r="BA27" i="7"/>
  <c r="AZ27" i="7"/>
  <c r="AY27" i="7"/>
  <c r="AX27" i="7"/>
  <c r="AW27" i="7"/>
  <c r="AV27" i="7"/>
  <c r="AU27" i="7"/>
  <c r="AT27" i="7"/>
  <c r="AS27" i="7"/>
  <c r="AR27" i="7"/>
  <c r="AQ27" i="7"/>
  <c r="AP27" i="7"/>
  <c r="AO27" i="7"/>
  <c r="AN27" i="7"/>
  <c r="AM27" i="7"/>
  <c r="AL27" i="7"/>
  <c r="AK27" i="7"/>
  <c r="AJ27" i="7"/>
  <c r="AH27" i="7"/>
  <c r="AG27" i="7"/>
  <c r="AF27" i="7"/>
  <c r="AE27" i="7"/>
  <c r="AD27" i="7"/>
  <c r="AC27" i="7"/>
  <c r="AB27" i="7"/>
  <c r="AA27" i="7"/>
  <c r="Z27" i="7"/>
  <c r="Y27" i="7"/>
  <c r="X27" i="7"/>
  <c r="T27" i="7"/>
  <c r="R27" i="7"/>
  <c r="B27" i="7"/>
  <c r="K27" i="7" s="1"/>
  <c r="BC26" i="7"/>
  <c r="BB26" i="7"/>
  <c r="BA26" i="7"/>
  <c r="AZ26" i="7"/>
  <c r="AY26" i="7"/>
  <c r="AX26" i="7"/>
  <c r="AW26" i="7"/>
  <c r="AV26" i="7"/>
  <c r="AU26" i="7"/>
  <c r="AT26" i="7"/>
  <c r="AS26" i="7"/>
  <c r="AR26" i="7"/>
  <c r="AQ26" i="7"/>
  <c r="AP26" i="7"/>
  <c r="AO26" i="7"/>
  <c r="AN26" i="7"/>
  <c r="AM26" i="7"/>
  <c r="AL26" i="7"/>
  <c r="AK26" i="7"/>
  <c r="AJ26" i="7"/>
  <c r="AH26" i="7"/>
  <c r="AG26" i="7"/>
  <c r="AF26" i="7"/>
  <c r="AE26" i="7"/>
  <c r="AD26" i="7"/>
  <c r="AC26" i="7"/>
  <c r="AB26" i="7"/>
  <c r="AA26" i="7"/>
  <c r="Z26" i="7"/>
  <c r="Y26" i="7"/>
  <c r="X26" i="7"/>
  <c r="T26" i="7"/>
  <c r="R26" i="7"/>
  <c r="B26" i="7"/>
  <c r="K26" i="7" s="1"/>
  <c r="BC25" i="7"/>
  <c r="BB25" i="7"/>
  <c r="BA25" i="7"/>
  <c r="AZ25" i="7"/>
  <c r="AY25" i="7"/>
  <c r="AX25" i="7"/>
  <c r="AW25" i="7"/>
  <c r="AV25" i="7"/>
  <c r="AU25" i="7"/>
  <c r="AT25" i="7"/>
  <c r="AS25" i="7"/>
  <c r="AR25" i="7"/>
  <c r="AQ25" i="7"/>
  <c r="AP25" i="7"/>
  <c r="AO25" i="7"/>
  <c r="AN25" i="7"/>
  <c r="AM25" i="7"/>
  <c r="AL25" i="7"/>
  <c r="AK25" i="7"/>
  <c r="AJ25" i="7"/>
  <c r="AH25" i="7"/>
  <c r="AG25" i="7"/>
  <c r="AF25" i="7"/>
  <c r="AE25" i="7"/>
  <c r="AD25" i="7"/>
  <c r="AC25" i="7"/>
  <c r="AB25" i="7"/>
  <c r="AA25" i="7"/>
  <c r="Z25" i="7"/>
  <c r="Y25" i="7"/>
  <c r="X25" i="7"/>
  <c r="T25" i="7"/>
  <c r="R25" i="7"/>
  <c r="B25" i="7"/>
  <c r="K25" i="7" s="1"/>
  <c r="BC24" i="7"/>
  <c r="BB24" i="7"/>
  <c r="BA24" i="7"/>
  <c r="AZ24" i="7"/>
  <c r="AY24" i="7"/>
  <c r="AX24" i="7"/>
  <c r="AW24" i="7"/>
  <c r="AV24" i="7"/>
  <c r="AU24" i="7"/>
  <c r="AT24" i="7"/>
  <c r="AS24" i="7"/>
  <c r="AR24" i="7"/>
  <c r="AQ24" i="7"/>
  <c r="AP24" i="7"/>
  <c r="AO24" i="7"/>
  <c r="AN24" i="7"/>
  <c r="AM24" i="7"/>
  <c r="AL24" i="7"/>
  <c r="AK24" i="7"/>
  <c r="AJ24" i="7"/>
  <c r="AH24" i="7"/>
  <c r="AG24" i="7"/>
  <c r="AF24" i="7"/>
  <c r="AE24" i="7"/>
  <c r="AD24" i="7"/>
  <c r="AC24" i="7"/>
  <c r="AB24" i="7"/>
  <c r="AA24" i="7"/>
  <c r="Z24" i="7"/>
  <c r="Y24" i="7"/>
  <c r="X24" i="7"/>
  <c r="T24" i="7"/>
  <c r="R24" i="7"/>
  <c r="B24" i="7"/>
  <c r="K24" i="7" s="1"/>
  <c r="BC23" i="7"/>
  <c r="BB23" i="7"/>
  <c r="BA23" i="7"/>
  <c r="AZ23" i="7"/>
  <c r="AY23" i="7"/>
  <c r="AX23" i="7"/>
  <c r="AW23" i="7"/>
  <c r="AV23" i="7"/>
  <c r="AU23" i="7"/>
  <c r="AT23" i="7"/>
  <c r="AS23" i="7"/>
  <c r="AR23" i="7"/>
  <c r="AQ23" i="7"/>
  <c r="AP23" i="7"/>
  <c r="AO23" i="7"/>
  <c r="AN23" i="7"/>
  <c r="AM23" i="7"/>
  <c r="AL23" i="7"/>
  <c r="AK23" i="7"/>
  <c r="AJ23" i="7"/>
  <c r="AH23" i="7"/>
  <c r="AG23" i="7"/>
  <c r="AF23" i="7"/>
  <c r="AE23" i="7"/>
  <c r="AD23" i="7"/>
  <c r="AC23" i="7"/>
  <c r="AB23" i="7"/>
  <c r="AA23" i="7"/>
  <c r="Z23" i="7"/>
  <c r="Y23" i="7"/>
  <c r="X23" i="7"/>
  <c r="T23" i="7"/>
  <c r="R23" i="7"/>
  <c r="B23" i="7"/>
  <c r="K23" i="7" s="1"/>
  <c r="BC22" i="7"/>
  <c r="BB22" i="7"/>
  <c r="BA22" i="7"/>
  <c r="AZ22" i="7"/>
  <c r="AY22" i="7"/>
  <c r="AX22" i="7"/>
  <c r="AW22" i="7"/>
  <c r="AV22" i="7"/>
  <c r="AU22" i="7"/>
  <c r="AT22" i="7"/>
  <c r="AS22" i="7"/>
  <c r="AR22" i="7"/>
  <c r="AQ22" i="7"/>
  <c r="AP22" i="7"/>
  <c r="AO22" i="7"/>
  <c r="AN22" i="7"/>
  <c r="AM22" i="7"/>
  <c r="AL22" i="7"/>
  <c r="AK22" i="7"/>
  <c r="AJ22" i="7"/>
  <c r="AH22" i="7"/>
  <c r="AG22" i="7"/>
  <c r="AF22" i="7"/>
  <c r="AE22" i="7"/>
  <c r="AD22" i="7"/>
  <c r="AC22" i="7"/>
  <c r="AB22" i="7"/>
  <c r="AA22" i="7"/>
  <c r="Z22" i="7"/>
  <c r="Y22" i="7"/>
  <c r="X22" i="7"/>
  <c r="T22" i="7"/>
  <c r="R22" i="7"/>
  <c r="B22" i="7"/>
  <c r="K22" i="7" s="1"/>
  <c r="BC21" i="7"/>
  <c r="BB21" i="7"/>
  <c r="BA21" i="7"/>
  <c r="AZ21" i="7"/>
  <c r="AY21" i="7"/>
  <c r="AX21" i="7"/>
  <c r="AW21" i="7"/>
  <c r="AV21" i="7"/>
  <c r="AU21" i="7"/>
  <c r="AT21" i="7"/>
  <c r="AS21" i="7"/>
  <c r="AR21" i="7"/>
  <c r="AQ21" i="7"/>
  <c r="AP21" i="7"/>
  <c r="AO21" i="7"/>
  <c r="AN21" i="7"/>
  <c r="AM21" i="7"/>
  <c r="AL21" i="7"/>
  <c r="AK21" i="7"/>
  <c r="AJ21" i="7"/>
  <c r="AH21" i="7"/>
  <c r="AG21" i="7"/>
  <c r="AF21" i="7"/>
  <c r="AE21" i="7"/>
  <c r="AD21" i="7"/>
  <c r="AC21" i="7"/>
  <c r="AB21" i="7"/>
  <c r="AA21" i="7"/>
  <c r="Z21" i="7"/>
  <c r="Y21" i="7"/>
  <c r="X21" i="7"/>
  <c r="T21" i="7"/>
  <c r="R21" i="7"/>
  <c r="B21" i="7"/>
  <c r="K21" i="7" s="1"/>
  <c r="BC20" i="7"/>
  <c r="BB20" i="7"/>
  <c r="BA20" i="7"/>
  <c r="AZ20" i="7"/>
  <c r="AY20" i="7"/>
  <c r="AX20" i="7"/>
  <c r="AW20" i="7"/>
  <c r="AV20" i="7"/>
  <c r="AU20" i="7"/>
  <c r="AT20" i="7"/>
  <c r="AS20" i="7"/>
  <c r="AR20" i="7"/>
  <c r="AQ20" i="7"/>
  <c r="AP20" i="7"/>
  <c r="AO20" i="7"/>
  <c r="AN20" i="7"/>
  <c r="AM20" i="7"/>
  <c r="AL20" i="7"/>
  <c r="AK20" i="7"/>
  <c r="AJ20" i="7"/>
  <c r="AH20" i="7"/>
  <c r="AG20" i="7"/>
  <c r="AF20" i="7"/>
  <c r="AE20" i="7"/>
  <c r="AD20" i="7"/>
  <c r="AC20" i="7"/>
  <c r="AB20" i="7"/>
  <c r="AA20" i="7"/>
  <c r="Z20" i="7"/>
  <c r="Y20" i="7"/>
  <c r="X20" i="7"/>
  <c r="T20" i="7"/>
  <c r="R20" i="7"/>
  <c r="B20" i="7"/>
  <c r="K20" i="7" s="1"/>
  <c r="BC19" i="7"/>
  <c r="BB19" i="7"/>
  <c r="BA19" i="7"/>
  <c r="AZ19" i="7"/>
  <c r="AY19" i="7"/>
  <c r="AX19" i="7"/>
  <c r="AW19" i="7"/>
  <c r="AV19" i="7"/>
  <c r="AU19" i="7"/>
  <c r="AT19" i="7"/>
  <c r="AS19" i="7"/>
  <c r="AR19" i="7"/>
  <c r="AQ19" i="7"/>
  <c r="AP19" i="7"/>
  <c r="AO19" i="7"/>
  <c r="AN19" i="7"/>
  <c r="AM19" i="7"/>
  <c r="AL19" i="7"/>
  <c r="AK19" i="7"/>
  <c r="AJ19" i="7"/>
  <c r="AH19" i="7"/>
  <c r="AG19" i="7"/>
  <c r="AF19" i="7"/>
  <c r="AE19" i="7"/>
  <c r="AD19" i="7"/>
  <c r="AC19" i="7"/>
  <c r="AB19" i="7"/>
  <c r="AA19" i="7"/>
  <c r="Z19" i="7"/>
  <c r="Y19" i="7"/>
  <c r="X19" i="7"/>
  <c r="T19" i="7"/>
  <c r="R19" i="7"/>
  <c r="B19" i="7"/>
  <c r="K19" i="7" s="1"/>
  <c r="A19" i="7"/>
  <c r="BC18" i="7"/>
  <c r="BB18" i="7"/>
  <c r="BA18" i="7"/>
  <c r="AZ18" i="7"/>
  <c r="AY18" i="7"/>
  <c r="AX18" i="7"/>
  <c r="AW18" i="7"/>
  <c r="AV18" i="7"/>
  <c r="AU18" i="7"/>
  <c r="AT18" i="7"/>
  <c r="AS18" i="7"/>
  <c r="AR18" i="7"/>
  <c r="AQ18" i="7"/>
  <c r="AP18" i="7"/>
  <c r="AO18" i="7"/>
  <c r="AN18" i="7"/>
  <c r="AM18" i="7"/>
  <c r="AL18" i="7"/>
  <c r="AK18" i="7"/>
  <c r="AJ18" i="7"/>
  <c r="AH18" i="7"/>
  <c r="AG18" i="7"/>
  <c r="AF18" i="7"/>
  <c r="AE18" i="7"/>
  <c r="AD18" i="7"/>
  <c r="AC18" i="7"/>
  <c r="AB18" i="7"/>
  <c r="AA18" i="7"/>
  <c r="Z18" i="7"/>
  <c r="Y18" i="7"/>
  <c r="X18" i="7"/>
  <c r="T18" i="7"/>
  <c r="R18" i="7"/>
  <c r="B18" i="7"/>
  <c r="K18" i="7" s="1"/>
  <c r="A18" i="7"/>
  <c r="BC17" i="7"/>
  <c r="BB17" i="7"/>
  <c r="BA17" i="7"/>
  <c r="AZ17" i="7"/>
  <c r="AY17" i="7"/>
  <c r="AX17" i="7"/>
  <c r="AW17" i="7"/>
  <c r="AV17" i="7"/>
  <c r="AU17" i="7"/>
  <c r="AT17" i="7"/>
  <c r="AS17" i="7"/>
  <c r="AR17" i="7"/>
  <c r="AQ17" i="7"/>
  <c r="AP17" i="7"/>
  <c r="AO17" i="7"/>
  <c r="AN17" i="7"/>
  <c r="AM17" i="7"/>
  <c r="AL17" i="7"/>
  <c r="AK17" i="7"/>
  <c r="AJ17" i="7"/>
  <c r="AH17" i="7"/>
  <c r="AG17" i="7"/>
  <c r="AF17" i="7"/>
  <c r="AE17" i="7"/>
  <c r="AD17" i="7"/>
  <c r="AC17" i="7"/>
  <c r="AB17" i="7"/>
  <c r="AA17" i="7"/>
  <c r="Z17" i="7"/>
  <c r="Y17" i="7"/>
  <c r="X17" i="7"/>
  <c r="T17" i="7"/>
  <c r="R17" i="7"/>
  <c r="B17" i="7"/>
  <c r="K17" i="7" s="1"/>
  <c r="A17" i="7"/>
  <c r="BC16" i="7"/>
  <c r="BB16" i="7"/>
  <c r="BA16" i="7"/>
  <c r="AZ16" i="7"/>
  <c r="AY16" i="7"/>
  <c r="AX16" i="7"/>
  <c r="AW16" i="7"/>
  <c r="AV16" i="7"/>
  <c r="AU16" i="7"/>
  <c r="AT16" i="7"/>
  <c r="AS16" i="7"/>
  <c r="AR16" i="7"/>
  <c r="AQ16" i="7"/>
  <c r="AP16" i="7"/>
  <c r="AO16" i="7"/>
  <c r="AN16" i="7"/>
  <c r="AM16" i="7"/>
  <c r="AL16" i="7"/>
  <c r="AK16" i="7"/>
  <c r="AJ16" i="7"/>
  <c r="AH16" i="7"/>
  <c r="AG16" i="7"/>
  <c r="AF16" i="7"/>
  <c r="AE16" i="7"/>
  <c r="AD16" i="7"/>
  <c r="AC16" i="7"/>
  <c r="AB16" i="7"/>
  <c r="AA16" i="7"/>
  <c r="Z16" i="7"/>
  <c r="Y16" i="7"/>
  <c r="X16" i="7"/>
  <c r="T16" i="7"/>
  <c r="R16" i="7"/>
  <c r="B16" i="7"/>
  <c r="K16" i="7" s="1"/>
  <c r="A16" i="7"/>
  <c r="BC15" i="7"/>
  <c r="BB15" i="7"/>
  <c r="BA15" i="7"/>
  <c r="AZ15" i="7"/>
  <c r="AY15" i="7"/>
  <c r="AX15" i="7"/>
  <c r="AW15" i="7"/>
  <c r="AV15" i="7"/>
  <c r="AU15" i="7"/>
  <c r="AT15" i="7"/>
  <c r="AS15" i="7"/>
  <c r="AR15" i="7"/>
  <c r="AQ15" i="7"/>
  <c r="AP15" i="7"/>
  <c r="AO15" i="7"/>
  <c r="AN15" i="7"/>
  <c r="AM15" i="7"/>
  <c r="AL15" i="7"/>
  <c r="AK15" i="7"/>
  <c r="AJ15" i="7"/>
  <c r="AH15" i="7"/>
  <c r="AG15" i="7"/>
  <c r="AF15" i="7"/>
  <c r="AE15" i="7"/>
  <c r="AD15" i="7"/>
  <c r="AC15" i="7"/>
  <c r="AB15" i="7"/>
  <c r="AA15" i="7"/>
  <c r="Z15" i="7"/>
  <c r="Y15" i="7"/>
  <c r="X15" i="7"/>
  <c r="T15" i="7"/>
  <c r="R15" i="7"/>
  <c r="B15" i="7"/>
  <c r="K15" i="7" s="1"/>
  <c r="A15" i="7"/>
  <c r="BC14" i="7"/>
  <c r="BB14" i="7"/>
  <c r="BA14" i="7"/>
  <c r="AZ14" i="7"/>
  <c r="AY14" i="7"/>
  <c r="AX14" i="7"/>
  <c r="AW14" i="7"/>
  <c r="AV14" i="7"/>
  <c r="AU14" i="7"/>
  <c r="AT14" i="7"/>
  <c r="AS14" i="7"/>
  <c r="AR14" i="7"/>
  <c r="AQ14" i="7"/>
  <c r="AP14" i="7"/>
  <c r="AO14" i="7"/>
  <c r="AN14" i="7"/>
  <c r="AM14" i="7"/>
  <c r="AL14" i="7"/>
  <c r="AK14" i="7"/>
  <c r="AJ14" i="7"/>
  <c r="AH14" i="7"/>
  <c r="AG14" i="7"/>
  <c r="AF14" i="7"/>
  <c r="AE14" i="7"/>
  <c r="AD14" i="7"/>
  <c r="AC14" i="7"/>
  <c r="AB14" i="7"/>
  <c r="AA14" i="7"/>
  <c r="Z14" i="7"/>
  <c r="Y14" i="7"/>
  <c r="X14" i="7"/>
  <c r="T14" i="7"/>
  <c r="R14" i="7"/>
  <c r="B14" i="7"/>
  <c r="K14" i="7" s="1"/>
  <c r="A14" i="7"/>
  <c r="BC13" i="7"/>
  <c r="BB13" i="7"/>
  <c r="BA13" i="7"/>
  <c r="AZ13" i="7"/>
  <c r="AY13" i="7"/>
  <c r="AX13" i="7"/>
  <c r="AW13" i="7"/>
  <c r="AV13" i="7"/>
  <c r="AU13" i="7"/>
  <c r="AT13" i="7"/>
  <c r="AS13" i="7"/>
  <c r="AR13" i="7"/>
  <c r="AQ13" i="7"/>
  <c r="AP13" i="7"/>
  <c r="AO13" i="7"/>
  <c r="AN13" i="7"/>
  <c r="AM13" i="7"/>
  <c r="AL13" i="7"/>
  <c r="AK13" i="7"/>
  <c r="AJ13" i="7"/>
  <c r="AH13" i="7"/>
  <c r="AG13" i="7"/>
  <c r="AF13" i="7"/>
  <c r="AE13" i="7"/>
  <c r="AD13" i="7"/>
  <c r="AC13" i="7"/>
  <c r="AB13" i="7"/>
  <c r="AA13" i="7"/>
  <c r="Z13" i="7"/>
  <c r="Y13" i="7"/>
  <c r="X13" i="7"/>
  <c r="T13" i="7"/>
  <c r="R13" i="7"/>
  <c r="B13" i="7"/>
  <c r="K13" i="7" s="1"/>
  <c r="A13" i="7"/>
  <c r="BC12" i="7"/>
  <c r="BB12" i="7"/>
  <c r="BA12" i="7"/>
  <c r="AZ12" i="7"/>
  <c r="AY12" i="7"/>
  <c r="AX12" i="7"/>
  <c r="AW12" i="7"/>
  <c r="AV12" i="7"/>
  <c r="AU12" i="7"/>
  <c r="AT12" i="7"/>
  <c r="AS12" i="7"/>
  <c r="AR12" i="7"/>
  <c r="AQ12" i="7"/>
  <c r="AP12" i="7"/>
  <c r="AO12" i="7"/>
  <c r="AN12" i="7"/>
  <c r="AM12" i="7"/>
  <c r="AL12" i="7"/>
  <c r="AK12" i="7"/>
  <c r="AJ12" i="7"/>
  <c r="AH12" i="7"/>
  <c r="AG12" i="7"/>
  <c r="AF12" i="7"/>
  <c r="AE12" i="7"/>
  <c r="AD12" i="7"/>
  <c r="AC12" i="7"/>
  <c r="AB12" i="7"/>
  <c r="AA12" i="7"/>
  <c r="Z12" i="7"/>
  <c r="Y12" i="7"/>
  <c r="X12" i="7"/>
  <c r="T12" i="7"/>
  <c r="R12" i="7"/>
  <c r="B12" i="7"/>
  <c r="K12" i="7" s="1"/>
  <c r="A12" i="7"/>
  <c r="BC11" i="7"/>
  <c r="BB11" i="7"/>
  <c r="BA11" i="7"/>
  <c r="AZ11" i="7"/>
  <c r="AY11" i="7"/>
  <c r="AX11" i="7"/>
  <c r="AW11" i="7"/>
  <c r="AV11" i="7"/>
  <c r="AU11" i="7"/>
  <c r="AT11" i="7"/>
  <c r="AS11" i="7"/>
  <c r="AR11" i="7"/>
  <c r="AQ11" i="7"/>
  <c r="AP11" i="7"/>
  <c r="AO11" i="7"/>
  <c r="AN11" i="7"/>
  <c r="AM11" i="7"/>
  <c r="AL11" i="7"/>
  <c r="AK11" i="7"/>
  <c r="AJ11" i="7"/>
  <c r="AH11" i="7"/>
  <c r="AG11" i="7"/>
  <c r="AF11" i="7"/>
  <c r="AE11" i="7"/>
  <c r="AD11" i="7"/>
  <c r="AC11" i="7"/>
  <c r="AB11" i="7"/>
  <c r="AA11" i="7"/>
  <c r="Z11" i="7"/>
  <c r="Y11" i="7"/>
  <c r="X11" i="7"/>
  <c r="T11" i="7"/>
  <c r="R11" i="7"/>
  <c r="B11" i="7"/>
  <c r="K11" i="7" s="1"/>
  <c r="A11" i="7"/>
  <c r="BC10" i="7"/>
  <c r="BB10" i="7"/>
  <c r="BA10" i="7"/>
  <c r="AZ10" i="7"/>
  <c r="AY10" i="7"/>
  <c r="AX10" i="7"/>
  <c r="AW10" i="7"/>
  <c r="AV10" i="7"/>
  <c r="AU10" i="7"/>
  <c r="AT10" i="7"/>
  <c r="AS10" i="7"/>
  <c r="AR10" i="7"/>
  <c r="AQ10" i="7"/>
  <c r="AP10" i="7"/>
  <c r="AO10" i="7"/>
  <c r="AN10" i="7"/>
  <c r="AM10" i="7"/>
  <c r="AL10" i="7"/>
  <c r="AK10" i="7"/>
  <c r="AJ10" i="7"/>
  <c r="AH10" i="7"/>
  <c r="AG10" i="7"/>
  <c r="AF10" i="7"/>
  <c r="AE10" i="7"/>
  <c r="AD10" i="7"/>
  <c r="AC10" i="7"/>
  <c r="AB10" i="7"/>
  <c r="AA10" i="7"/>
  <c r="Z10" i="7"/>
  <c r="Y10" i="7"/>
  <c r="X10" i="7"/>
  <c r="T10" i="7"/>
  <c r="R10" i="7"/>
  <c r="B10" i="7"/>
  <c r="K10" i="7" s="1"/>
  <c r="A10" i="7"/>
  <c r="BC9" i="7"/>
  <c r="BB9" i="7"/>
  <c r="BA9" i="7"/>
  <c r="AZ9" i="7"/>
  <c r="AY9" i="7"/>
  <c r="AX9" i="7"/>
  <c r="AW9" i="7"/>
  <c r="AV9" i="7"/>
  <c r="AU9" i="7"/>
  <c r="AT9" i="7"/>
  <c r="AS9" i="7"/>
  <c r="AR9" i="7"/>
  <c r="AQ9" i="7"/>
  <c r="AP9" i="7"/>
  <c r="AO9" i="7"/>
  <c r="AN9" i="7"/>
  <c r="AM9" i="7"/>
  <c r="AL9" i="7"/>
  <c r="AK9" i="7"/>
  <c r="AJ9" i="7"/>
  <c r="AH9" i="7"/>
  <c r="AG9" i="7"/>
  <c r="AF9" i="7"/>
  <c r="AE9" i="7"/>
  <c r="AD9" i="7"/>
  <c r="AC9" i="7"/>
  <c r="AB9" i="7"/>
  <c r="AA9" i="7"/>
  <c r="Z9" i="7"/>
  <c r="Y9" i="7"/>
  <c r="X9" i="7"/>
  <c r="T9" i="7"/>
  <c r="R9" i="7"/>
  <c r="B9" i="7"/>
  <c r="K9" i="7" s="1"/>
  <c r="BC8" i="7"/>
  <c r="BB8" i="7"/>
  <c r="BA8" i="7"/>
  <c r="AZ8" i="7"/>
  <c r="AY8" i="7"/>
  <c r="AX8" i="7"/>
  <c r="AW8" i="7"/>
  <c r="AV8" i="7"/>
  <c r="AU8" i="7"/>
  <c r="AT8" i="7"/>
  <c r="AS8" i="7"/>
  <c r="AR8" i="7"/>
  <c r="AQ8" i="7"/>
  <c r="AP8" i="7"/>
  <c r="AO8" i="7"/>
  <c r="AN8" i="7"/>
  <c r="AM8" i="7"/>
  <c r="AL8" i="7"/>
  <c r="AK8" i="7"/>
  <c r="AJ8" i="7"/>
  <c r="AH8" i="7"/>
  <c r="AG8" i="7"/>
  <c r="AF8" i="7"/>
  <c r="AE8" i="7"/>
  <c r="AD8" i="7"/>
  <c r="AC8" i="7"/>
  <c r="AB8" i="7"/>
  <c r="AA8" i="7"/>
  <c r="Z8" i="7"/>
  <c r="Y8" i="7"/>
  <c r="X8" i="7"/>
  <c r="V8" i="7"/>
  <c r="T8" i="7"/>
  <c r="R8" i="7"/>
  <c r="B8" i="7"/>
  <c r="S7" i="7"/>
  <c r="AC36" i="9"/>
  <c r="X36" i="9"/>
  <c r="AE35" i="9"/>
  <c r="AD35" i="9"/>
  <c r="AC35" i="9"/>
  <c r="AB35" i="9"/>
  <c r="AA35" i="9"/>
  <c r="Z35" i="9"/>
  <c r="Y35" i="9"/>
  <c r="X35" i="9"/>
  <c r="W35" i="9"/>
  <c r="V35" i="9"/>
  <c r="U35" i="9"/>
  <c r="S35" i="9"/>
  <c r="R35" i="9"/>
  <c r="Q35" i="9"/>
  <c r="P35" i="9"/>
  <c r="M35" i="9"/>
  <c r="K35" i="9"/>
  <c r="J35" i="9"/>
  <c r="AE34" i="9"/>
  <c r="AD34" i="9"/>
  <c r="AC34" i="9"/>
  <c r="AB34" i="9"/>
  <c r="AA34" i="9"/>
  <c r="Z34" i="9"/>
  <c r="Y34" i="9"/>
  <c r="X34" i="9"/>
  <c r="W34" i="9"/>
  <c r="V34" i="9"/>
  <c r="U34" i="9"/>
  <c r="S34" i="9"/>
  <c r="R34" i="9"/>
  <c r="Q34" i="9"/>
  <c r="P34" i="9"/>
  <c r="M34" i="9"/>
  <c r="K34" i="9"/>
  <c r="J34" i="9"/>
  <c r="AE33" i="9"/>
  <c r="AD33" i="9"/>
  <c r="AC33" i="9"/>
  <c r="AB33" i="9"/>
  <c r="AA33" i="9"/>
  <c r="Z33" i="9"/>
  <c r="Y33" i="9"/>
  <c r="X33" i="9"/>
  <c r="W33" i="9"/>
  <c r="V33" i="9"/>
  <c r="U33" i="9"/>
  <c r="S33" i="9"/>
  <c r="R33" i="9"/>
  <c r="Q33" i="9"/>
  <c r="P33" i="9"/>
  <c r="M33" i="9"/>
  <c r="K33" i="9"/>
  <c r="J33" i="9"/>
  <c r="AE32" i="9"/>
  <c r="AD32" i="9"/>
  <c r="AC32" i="9"/>
  <c r="AB32" i="9"/>
  <c r="AA32" i="9"/>
  <c r="Z32" i="9"/>
  <c r="Y32" i="9"/>
  <c r="X32" i="9"/>
  <c r="W32" i="9"/>
  <c r="V32" i="9"/>
  <c r="U32" i="9"/>
  <c r="S32" i="9"/>
  <c r="R32" i="9"/>
  <c r="Q32" i="9"/>
  <c r="P32" i="9"/>
  <c r="M32" i="9"/>
  <c r="K32" i="9"/>
  <c r="J32" i="9"/>
  <c r="AE31" i="9"/>
  <c r="AD31" i="9"/>
  <c r="AC31" i="9"/>
  <c r="AB31" i="9"/>
  <c r="AA31" i="9"/>
  <c r="Z31" i="9"/>
  <c r="Y31" i="9"/>
  <c r="X31" i="9"/>
  <c r="W31" i="9"/>
  <c r="V31" i="9"/>
  <c r="U31" i="9"/>
  <c r="S31" i="9"/>
  <c r="R31" i="9"/>
  <c r="Q31" i="9"/>
  <c r="P31" i="9"/>
  <c r="M31" i="9"/>
  <c r="K31" i="9"/>
  <c r="J31" i="9"/>
  <c r="AE30" i="9"/>
  <c r="AD30" i="9"/>
  <c r="AC30" i="9"/>
  <c r="AB30" i="9"/>
  <c r="AA30" i="9"/>
  <c r="Z30" i="9"/>
  <c r="Y30" i="9"/>
  <c r="X30" i="9"/>
  <c r="W30" i="9"/>
  <c r="V30" i="9"/>
  <c r="U30" i="9"/>
  <c r="S30" i="9"/>
  <c r="R30" i="9"/>
  <c r="Q30" i="9"/>
  <c r="P30" i="9"/>
  <c r="M30" i="9"/>
  <c r="K30" i="9"/>
  <c r="J30" i="9"/>
  <c r="AE29" i="9"/>
  <c r="AD29" i="9"/>
  <c r="AC29" i="9"/>
  <c r="AB29" i="9"/>
  <c r="AA29" i="9"/>
  <c r="Z29" i="9"/>
  <c r="Y29" i="9"/>
  <c r="X29" i="9"/>
  <c r="W29" i="9"/>
  <c r="V29" i="9"/>
  <c r="U29" i="9"/>
  <c r="S29" i="9"/>
  <c r="R29" i="9"/>
  <c r="Q29" i="9"/>
  <c r="P29" i="9"/>
  <c r="M29" i="9"/>
  <c r="K29" i="9"/>
  <c r="J29" i="9"/>
  <c r="AE28" i="9"/>
  <c r="AD28" i="9"/>
  <c r="AC28" i="9"/>
  <c r="AB28" i="9"/>
  <c r="AA28" i="9"/>
  <c r="Z28" i="9"/>
  <c r="Y28" i="9"/>
  <c r="X28" i="9"/>
  <c r="W28" i="9"/>
  <c r="V28" i="9"/>
  <c r="U28" i="9"/>
  <c r="S28" i="9"/>
  <c r="R28" i="9"/>
  <c r="Q28" i="9"/>
  <c r="P28" i="9"/>
  <c r="M28" i="9"/>
  <c r="K28" i="9"/>
  <c r="J28" i="9"/>
  <c r="AE27" i="9"/>
  <c r="AD27" i="9"/>
  <c r="AC27" i="9"/>
  <c r="AB27" i="9"/>
  <c r="AA27" i="9"/>
  <c r="Z27" i="9"/>
  <c r="Y27" i="9"/>
  <c r="X27" i="9"/>
  <c r="W27" i="9"/>
  <c r="V27" i="9"/>
  <c r="U27" i="9"/>
  <c r="S27" i="9"/>
  <c r="R27" i="9"/>
  <c r="Q27" i="9"/>
  <c r="P27" i="9"/>
  <c r="M27" i="9"/>
  <c r="K27" i="9"/>
  <c r="J27" i="9"/>
  <c r="AG28" i="9"/>
  <c r="AE26" i="9"/>
  <c r="AD26" i="9"/>
  <c r="AC26" i="9"/>
  <c r="AB26" i="9"/>
  <c r="AA26" i="9"/>
  <c r="Z26" i="9"/>
  <c r="Y26" i="9"/>
  <c r="X26" i="9"/>
  <c r="W26" i="9"/>
  <c r="V26" i="9"/>
  <c r="U26" i="9"/>
  <c r="S26" i="9"/>
  <c r="R26" i="9"/>
  <c r="Q26" i="9"/>
  <c r="P26" i="9"/>
  <c r="M26" i="9"/>
  <c r="K26" i="9"/>
  <c r="J26" i="9"/>
  <c r="AG27" i="9"/>
  <c r="AE25" i="9"/>
  <c r="AD25" i="9"/>
  <c r="AC25" i="9"/>
  <c r="AB25" i="9"/>
  <c r="AA25" i="9"/>
  <c r="Z25" i="9"/>
  <c r="Y25" i="9"/>
  <c r="X25" i="9"/>
  <c r="W25" i="9"/>
  <c r="V25" i="9"/>
  <c r="U25" i="9"/>
  <c r="S25" i="9"/>
  <c r="R25" i="9"/>
  <c r="Q25" i="9"/>
  <c r="P25" i="9"/>
  <c r="M25" i="9"/>
  <c r="K25" i="9"/>
  <c r="J25" i="9"/>
  <c r="AG26" i="9"/>
  <c r="AE24" i="9"/>
  <c r="AD24" i="9"/>
  <c r="AC24" i="9"/>
  <c r="AB24" i="9"/>
  <c r="AA24" i="9"/>
  <c r="Z24" i="9"/>
  <c r="Y24" i="9"/>
  <c r="X24" i="9"/>
  <c r="W24" i="9"/>
  <c r="V24" i="9"/>
  <c r="U24" i="9"/>
  <c r="S24" i="9"/>
  <c r="R24" i="9"/>
  <c r="Q24" i="9"/>
  <c r="P24" i="9"/>
  <c r="M24" i="9"/>
  <c r="K24" i="9"/>
  <c r="J24" i="9"/>
  <c r="AG25" i="9"/>
  <c r="AE23" i="9"/>
  <c r="AD23" i="9"/>
  <c r="AC23" i="9"/>
  <c r="AB23" i="9"/>
  <c r="AA23" i="9"/>
  <c r="Z23" i="9"/>
  <c r="Y23" i="9"/>
  <c r="X23" i="9"/>
  <c r="W23" i="9"/>
  <c r="V23" i="9"/>
  <c r="U23" i="9"/>
  <c r="S23" i="9"/>
  <c r="R23" i="9"/>
  <c r="Q23" i="9"/>
  <c r="P23" i="9"/>
  <c r="M23" i="9"/>
  <c r="K23" i="9"/>
  <c r="J23" i="9"/>
  <c r="AG24" i="9"/>
  <c r="AE22" i="9"/>
  <c r="AD22" i="9"/>
  <c r="AC22" i="9"/>
  <c r="AB22" i="9"/>
  <c r="AA22" i="9"/>
  <c r="Z22" i="9"/>
  <c r="Y22" i="9"/>
  <c r="X22" i="9"/>
  <c r="W22" i="9"/>
  <c r="V22" i="9"/>
  <c r="U22" i="9"/>
  <c r="S22" i="9"/>
  <c r="R22" i="9"/>
  <c r="Q22" i="9"/>
  <c r="P22" i="9"/>
  <c r="M22" i="9"/>
  <c r="K22" i="9"/>
  <c r="J22" i="9"/>
  <c r="AG23" i="9"/>
  <c r="AE21" i="9"/>
  <c r="AD21" i="9"/>
  <c r="AC21" i="9"/>
  <c r="AB21" i="9"/>
  <c r="AA21" i="9"/>
  <c r="Z21" i="9"/>
  <c r="Y21" i="9"/>
  <c r="X21" i="9"/>
  <c r="W21" i="9"/>
  <c r="V21" i="9"/>
  <c r="U21" i="9"/>
  <c r="S21" i="9"/>
  <c r="R21" i="9"/>
  <c r="Q21" i="9"/>
  <c r="P21" i="9"/>
  <c r="M21" i="9"/>
  <c r="K21" i="9"/>
  <c r="J21" i="9"/>
  <c r="A21" i="9"/>
  <c r="AG22" i="9"/>
  <c r="AE20" i="9"/>
  <c r="AD20" i="9"/>
  <c r="AC20" i="9"/>
  <c r="AB20" i="9"/>
  <c r="AA20" i="9"/>
  <c r="Z20" i="9"/>
  <c r="Y20" i="9"/>
  <c r="X20" i="9"/>
  <c r="W20" i="9"/>
  <c r="V20" i="9"/>
  <c r="U20" i="9"/>
  <c r="S20" i="9"/>
  <c r="R20" i="9"/>
  <c r="Q20" i="9"/>
  <c r="P20" i="9"/>
  <c r="M20" i="9"/>
  <c r="K20" i="9"/>
  <c r="J20" i="9"/>
  <c r="A20" i="9"/>
  <c r="AG21" i="9"/>
  <c r="AE19" i="9"/>
  <c r="AD19" i="9"/>
  <c r="AC19" i="9"/>
  <c r="AB19" i="9"/>
  <c r="AA19" i="9"/>
  <c r="Z19" i="9"/>
  <c r="Y19" i="9"/>
  <c r="X19" i="9"/>
  <c r="W19" i="9"/>
  <c r="V19" i="9"/>
  <c r="U19" i="9"/>
  <c r="S19" i="9"/>
  <c r="R19" i="9"/>
  <c r="Q19" i="9"/>
  <c r="P19" i="9"/>
  <c r="M19" i="9"/>
  <c r="K19" i="9"/>
  <c r="J19" i="9"/>
  <c r="A19" i="9"/>
  <c r="AG20" i="9"/>
  <c r="AE18" i="9"/>
  <c r="AD18" i="9"/>
  <c r="AC18" i="9"/>
  <c r="AB18" i="9"/>
  <c r="AA18" i="9"/>
  <c r="Z18" i="9"/>
  <c r="Y18" i="9"/>
  <c r="X18" i="9"/>
  <c r="W18" i="9"/>
  <c r="V18" i="9"/>
  <c r="U18" i="9"/>
  <c r="S18" i="9"/>
  <c r="R18" i="9"/>
  <c r="Q18" i="9"/>
  <c r="P18" i="9"/>
  <c r="M18" i="9"/>
  <c r="K18" i="9"/>
  <c r="J18" i="9"/>
  <c r="A18" i="9"/>
  <c r="AG19" i="9"/>
  <c r="AE17" i="9"/>
  <c r="AD17" i="9"/>
  <c r="AC17" i="9"/>
  <c r="AB17" i="9"/>
  <c r="AA17" i="9"/>
  <c r="Z17" i="9"/>
  <c r="Y17" i="9"/>
  <c r="X17" i="9"/>
  <c r="W17" i="9"/>
  <c r="V17" i="9"/>
  <c r="U17" i="9"/>
  <c r="S17" i="9"/>
  <c r="R17" i="9"/>
  <c r="Q17" i="9"/>
  <c r="P17" i="9"/>
  <c r="M17" i="9"/>
  <c r="K17" i="9"/>
  <c r="J17" i="9"/>
  <c r="A17" i="9"/>
  <c r="AE16" i="9"/>
  <c r="AD16" i="9"/>
  <c r="AC16" i="9"/>
  <c r="AB16" i="9"/>
  <c r="AA16" i="9"/>
  <c r="Z16" i="9"/>
  <c r="Y16" i="9"/>
  <c r="X16" i="9"/>
  <c r="W16" i="9"/>
  <c r="V16" i="9"/>
  <c r="U16" i="9"/>
  <c r="S16" i="9"/>
  <c r="R16" i="9"/>
  <c r="Q16" i="9"/>
  <c r="P16" i="9"/>
  <c r="M16" i="9"/>
  <c r="K16" i="9"/>
  <c r="J16" i="9"/>
  <c r="A16" i="9"/>
  <c r="AO17" i="9"/>
  <c r="AN17" i="9" a="1"/>
  <c r="AN17" i="9" s="1"/>
  <c r="AM17" i="9"/>
  <c r="AL17" i="9" a="1"/>
  <c r="AL17" i="9" s="1"/>
  <c r="AI17" i="9" a="1"/>
  <c r="AI17" i="9" s="1"/>
  <c r="AH17" i="9" a="1"/>
  <c r="AH17" i="9" s="1"/>
  <c r="AG17" i="9" a="1"/>
  <c r="AG17" i="9" s="1"/>
  <c r="AF17" i="9" a="1"/>
  <c r="AF17" i="9" s="1"/>
  <c r="AE15" i="9"/>
  <c r="AD15" i="9"/>
  <c r="AC15" i="9"/>
  <c r="AB15" i="9"/>
  <c r="AA15" i="9"/>
  <c r="Z15" i="9"/>
  <c r="Y15" i="9"/>
  <c r="X15" i="9"/>
  <c r="W15" i="9"/>
  <c r="V15" i="9"/>
  <c r="U15" i="9"/>
  <c r="S15" i="9"/>
  <c r="R15" i="9"/>
  <c r="Q15" i="9"/>
  <c r="P15" i="9"/>
  <c r="M15" i="9"/>
  <c r="K15" i="9"/>
  <c r="J15" i="9"/>
  <c r="A15" i="9"/>
  <c r="AO16" i="9"/>
  <c r="AN16" i="9" a="1"/>
  <c r="AN16" i="9" s="1"/>
  <c r="AM16" i="9"/>
  <c r="AL16" i="9" a="1"/>
  <c r="AL16" i="9" s="1"/>
  <c r="AI16" i="9" a="1"/>
  <c r="AI16" i="9" s="1"/>
  <c r="AH16" i="9" a="1"/>
  <c r="AH16" i="9" s="1"/>
  <c r="AG16" i="9" a="1"/>
  <c r="AG16" i="9" s="1"/>
  <c r="AF16" i="9" a="1"/>
  <c r="AF16" i="9" s="1"/>
  <c r="AE14" i="9"/>
  <c r="AD14" i="9"/>
  <c r="AC14" i="9"/>
  <c r="AB14" i="9"/>
  <c r="AA14" i="9"/>
  <c r="Z14" i="9"/>
  <c r="Y14" i="9"/>
  <c r="X14" i="9"/>
  <c r="W14" i="9"/>
  <c r="V14" i="9"/>
  <c r="U14" i="9"/>
  <c r="S14" i="9"/>
  <c r="R14" i="9"/>
  <c r="Q14" i="9"/>
  <c r="P14" i="9"/>
  <c r="M14" i="9"/>
  <c r="K14" i="9"/>
  <c r="J14" i="9"/>
  <c r="A14" i="9"/>
  <c r="AO15" i="9"/>
  <c r="AN15" i="9" a="1"/>
  <c r="AN15" i="9" s="1"/>
  <c r="AM15" i="9"/>
  <c r="AL15" i="9" a="1"/>
  <c r="AL15" i="9" s="1"/>
  <c r="AI15" i="9" a="1"/>
  <c r="AI15" i="9" s="1"/>
  <c r="AH15" i="9" a="1"/>
  <c r="AH15" i="9" s="1"/>
  <c r="AG15" i="9" a="1"/>
  <c r="AG15" i="9" s="1"/>
  <c r="AF15" i="9" a="1"/>
  <c r="AF15" i="9" s="1"/>
  <c r="AE13" i="9"/>
  <c r="AD13" i="9"/>
  <c r="AC13" i="9"/>
  <c r="AB13" i="9"/>
  <c r="AA13" i="9"/>
  <c r="Z13" i="9"/>
  <c r="Y13" i="9"/>
  <c r="X13" i="9"/>
  <c r="W13" i="9"/>
  <c r="V13" i="9"/>
  <c r="U13" i="9"/>
  <c r="S13" i="9"/>
  <c r="R13" i="9"/>
  <c r="Q13" i="9"/>
  <c r="P13" i="9"/>
  <c r="M13" i="9"/>
  <c r="K13" i="9"/>
  <c r="J13" i="9"/>
  <c r="A13" i="9"/>
  <c r="AO14" i="9"/>
  <c r="AN14" i="9" a="1"/>
  <c r="AN14" i="9" s="1"/>
  <c r="AM14" i="9"/>
  <c r="AL14" i="9" a="1"/>
  <c r="AL14" i="9" s="1"/>
  <c r="AI14" i="9" a="1"/>
  <c r="AI14" i="9" s="1"/>
  <c r="AH14" i="9" a="1"/>
  <c r="AH14" i="9" s="1"/>
  <c r="AG14" i="9" a="1"/>
  <c r="AG14" i="9" s="1"/>
  <c r="AF14" i="9" a="1"/>
  <c r="AF14" i="9" s="1"/>
  <c r="AE12" i="9"/>
  <c r="AD12" i="9"/>
  <c r="AC12" i="9"/>
  <c r="AB12" i="9"/>
  <c r="AA12" i="9"/>
  <c r="Z12" i="9"/>
  <c r="Y12" i="9"/>
  <c r="X12" i="9"/>
  <c r="W12" i="9"/>
  <c r="V12" i="9"/>
  <c r="U12" i="9"/>
  <c r="S12" i="9"/>
  <c r="R12" i="9"/>
  <c r="Q12" i="9"/>
  <c r="P12" i="9"/>
  <c r="M12" i="9"/>
  <c r="K12" i="9"/>
  <c r="J12" i="9"/>
  <c r="A12" i="9"/>
  <c r="AO13" i="9"/>
  <c r="AN13" i="9" a="1"/>
  <c r="AN13" i="9" s="1"/>
  <c r="AM13" i="9"/>
  <c r="AL13" i="9" a="1"/>
  <c r="AL13" i="9" s="1"/>
  <c r="AI13" i="9" a="1"/>
  <c r="AI13" i="9" s="1"/>
  <c r="AH13" i="9" a="1"/>
  <c r="AH13" i="9" s="1"/>
  <c r="AG13" i="9" a="1"/>
  <c r="AG13" i="9" s="1"/>
  <c r="AF13" i="9" a="1"/>
  <c r="AF13" i="9" s="1"/>
  <c r="AE11" i="9"/>
  <c r="AD11" i="9"/>
  <c r="AC11" i="9"/>
  <c r="AB11" i="9"/>
  <c r="AA11" i="9"/>
  <c r="Z11" i="9"/>
  <c r="Y11" i="9"/>
  <c r="X11" i="9"/>
  <c r="W11" i="9"/>
  <c r="V11" i="9"/>
  <c r="U11" i="9"/>
  <c r="S11" i="9"/>
  <c r="R11" i="9"/>
  <c r="Q11" i="9"/>
  <c r="P11" i="9"/>
  <c r="M11" i="9"/>
  <c r="K11" i="9"/>
  <c r="J11" i="9"/>
  <c r="AO12" i="9"/>
  <c r="AN12" i="9" a="1"/>
  <c r="AN12" i="9" s="1"/>
  <c r="AM12" i="9"/>
  <c r="AL12" i="9" a="1"/>
  <c r="AL12" i="9" s="1"/>
  <c r="AI12" i="9" a="1"/>
  <c r="AI12" i="9" s="1"/>
  <c r="AH12" i="9" a="1"/>
  <c r="AH12" i="9" s="1"/>
  <c r="AG12" i="9" a="1"/>
  <c r="AG12" i="9" s="1"/>
  <c r="AF12" i="9" a="1"/>
  <c r="AF12" i="9" s="1"/>
  <c r="AE10" i="9"/>
  <c r="AD10" i="9"/>
  <c r="AC10" i="9"/>
  <c r="AB10" i="9"/>
  <c r="AA10" i="9"/>
  <c r="Z10" i="9"/>
  <c r="Y10" i="9"/>
  <c r="X10" i="9"/>
  <c r="W10" i="9"/>
  <c r="V10" i="9"/>
  <c r="U10" i="9"/>
  <c r="S10" i="9"/>
  <c r="R10" i="9"/>
  <c r="Q10" i="9"/>
  <c r="P10" i="9"/>
  <c r="M10" i="9"/>
  <c r="K10" i="9"/>
  <c r="J10" i="9"/>
  <c r="AO11" i="9"/>
  <c r="AN11" i="9" a="1"/>
  <c r="AN11" i="9" s="1"/>
  <c r="AM11" i="9"/>
  <c r="AL11" i="9" a="1"/>
  <c r="AL11" i="9" s="1"/>
  <c r="AI11" i="9" a="1"/>
  <c r="AI11" i="9" s="1"/>
  <c r="AH11" i="9" a="1"/>
  <c r="AH11" i="9" s="1"/>
  <c r="AG11" i="9" a="1"/>
  <c r="AG11" i="9" s="1"/>
  <c r="AF11" i="9" a="1"/>
  <c r="AF11" i="9" s="1"/>
  <c r="AE9" i="9"/>
  <c r="AD9" i="9"/>
  <c r="AC9" i="9"/>
  <c r="AB9" i="9"/>
  <c r="AA9" i="9"/>
  <c r="Z9" i="9"/>
  <c r="Y9" i="9"/>
  <c r="X9" i="9"/>
  <c r="W9" i="9"/>
  <c r="V9" i="9"/>
  <c r="U9" i="9"/>
  <c r="S9" i="9"/>
  <c r="R9" i="9"/>
  <c r="Q9" i="9"/>
  <c r="P9" i="9"/>
  <c r="M9" i="9"/>
  <c r="K9" i="9"/>
  <c r="J9" i="9"/>
  <c r="AO10" i="9"/>
  <c r="AN10" i="9" a="1"/>
  <c r="AN10" i="9" s="1"/>
  <c r="AM10" i="9"/>
  <c r="AL10" i="9" a="1"/>
  <c r="AL10" i="9" s="1"/>
  <c r="AI10" i="9" a="1"/>
  <c r="AI10" i="9" s="1"/>
  <c r="AH10" i="9" a="1"/>
  <c r="AH10" i="9" s="1"/>
  <c r="AG10" i="9" a="1"/>
  <c r="AG10" i="9" s="1"/>
  <c r="AF10" i="9"/>
  <c r="AE8" i="9"/>
  <c r="AD8" i="9"/>
  <c r="AC8" i="9"/>
  <c r="AB8" i="9"/>
  <c r="AA8" i="9"/>
  <c r="Z8" i="9"/>
  <c r="Y8" i="9"/>
  <c r="X8" i="9"/>
  <c r="W8" i="9"/>
  <c r="V8" i="9"/>
  <c r="U8" i="9"/>
  <c r="S8" i="9"/>
  <c r="R8" i="9"/>
  <c r="Q8" i="9"/>
  <c r="P8" i="9"/>
  <c r="M8" i="9"/>
  <c r="K8" i="9"/>
  <c r="J8" i="9"/>
  <c r="AO9" i="9"/>
  <c r="AN9" i="9" a="1"/>
  <c r="AN9" i="9" s="1"/>
  <c r="AM9" i="9"/>
  <c r="AL9" i="9" a="1"/>
  <c r="AL9" i="9" s="1"/>
  <c r="AI9" i="9" a="1"/>
  <c r="AI9" i="9" s="1"/>
  <c r="AH9" i="9" a="1"/>
  <c r="AH9" i="9" s="1"/>
  <c r="AG9" i="9" a="1"/>
  <c r="AG9" i="9" s="1"/>
  <c r="AF9" i="9"/>
  <c r="AE7" i="9"/>
  <c r="AD7" i="9"/>
  <c r="AC7" i="9"/>
  <c r="AB7" i="9"/>
  <c r="AA7" i="9"/>
  <c r="Z7" i="9"/>
  <c r="Y7" i="9"/>
  <c r="X7" i="9"/>
  <c r="W7" i="9"/>
  <c r="V7" i="9"/>
  <c r="U7" i="9"/>
  <c r="S7" i="9"/>
  <c r="R7" i="9"/>
  <c r="Q7" i="9"/>
  <c r="P7" i="9"/>
  <c r="M7" i="9"/>
  <c r="K7" i="9"/>
  <c r="J7" i="9"/>
  <c r="AO8" i="9"/>
  <c r="AN8" i="9" a="1"/>
  <c r="AN8" i="9" s="1"/>
  <c r="AM8" i="9"/>
  <c r="AL8" i="9" a="1"/>
  <c r="AL8" i="9" s="1"/>
  <c r="AI8" i="9" a="1"/>
  <c r="AI8" i="9" s="1"/>
  <c r="AH8" i="9" a="1"/>
  <c r="AH8" i="9" s="1"/>
  <c r="AG8" i="9" a="1"/>
  <c r="AG8" i="9" s="1"/>
  <c r="AF8" i="9" a="1"/>
  <c r="AF8" i="9" s="1"/>
  <c r="AE6" i="9"/>
  <c r="AD6" i="9"/>
  <c r="AC6" i="9"/>
  <c r="AB6" i="9"/>
  <c r="AA6" i="9"/>
  <c r="Z6" i="9"/>
  <c r="Y6" i="9"/>
  <c r="X6" i="9"/>
  <c r="W6" i="9"/>
  <c r="V6" i="9"/>
  <c r="U6" i="9"/>
  <c r="S6" i="9"/>
  <c r="R6" i="9"/>
  <c r="Q6" i="9"/>
  <c r="P6" i="9"/>
  <c r="M6" i="9"/>
  <c r="K6" i="9"/>
  <c r="J6" i="9"/>
  <c r="I167" i="18"/>
  <c r="H167" i="18"/>
  <c r="G167" i="18"/>
  <c r="F167" i="18"/>
  <c r="E166" i="18"/>
  <c r="G164" i="18"/>
  <c r="F164" i="18"/>
  <c r="E164" i="18"/>
  <c r="G163" i="18"/>
  <c r="F163" i="18"/>
  <c r="E163" i="18"/>
  <c r="G162" i="18"/>
  <c r="F162" i="18"/>
  <c r="E162" i="18"/>
  <c r="I161" i="18"/>
  <c r="H161" i="18"/>
  <c r="E161" i="18"/>
  <c r="B161" i="18"/>
  <c r="G160" i="18"/>
  <c r="F160" i="18"/>
  <c r="E160" i="18"/>
  <c r="B160" i="18"/>
  <c r="I159" i="18"/>
  <c r="H159" i="18"/>
  <c r="E159" i="18"/>
  <c r="B159" i="18"/>
  <c r="K158" i="18"/>
  <c r="J158" i="18"/>
  <c r="G158" i="18"/>
  <c r="F158" i="18"/>
  <c r="E158" i="18"/>
  <c r="B158" i="18"/>
  <c r="I157" i="18"/>
  <c r="H157" i="18"/>
  <c r="E157" i="18"/>
  <c r="B157" i="18"/>
  <c r="I155" i="18"/>
  <c r="H155" i="18"/>
  <c r="G155" i="18"/>
  <c r="F155" i="18"/>
  <c r="E155" i="18"/>
  <c r="C155" i="18"/>
  <c r="B155" i="18"/>
  <c r="I152" i="18"/>
  <c r="H152" i="18"/>
  <c r="G152" i="18"/>
  <c r="F152" i="18"/>
  <c r="E151" i="18"/>
  <c r="G149" i="18"/>
  <c r="F149" i="18"/>
  <c r="E149" i="18"/>
  <c r="G148" i="18"/>
  <c r="F148" i="18"/>
  <c r="E148" i="18"/>
  <c r="G147" i="18"/>
  <c r="F147" i="18"/>
  <c r="E147" i="18"/>
  <c r="I146" i="18"/>
  <c r="H146" i="18"/>
  <c r="E146" i="18"/>
  <c r="B146" i="18"/>
  <c r="G145" i="18"/>
  <c r="F145" i="18"/>
  <c r="E145" i="18"/>
  <c r="B145" i="18"/>
  <c r="I144" i="18"/>
  <c r="H144" i="18"/>
  <c r="E144" i="18"/>
  <c r="B144" i="18"/>
  <c r="K143" i="18"/>
  <c r="J143" i="18"/>
  <c r="G143" i="18"/>
  <c r="F143" i="18"/>
  <c r="E143" i="18"/>
  <c r="B143" i="18"/>
  <c r="I142" i="18"/>
  <c r="H142" i="18"/>
  <c r="E142" i="18"/>
  <c r="B142" i="18"/>
  <c r="I140" i="18"/>
  <c r="H140" i="18"/>
  <c r="G140" i="18"/>
  <c r="F140" i="18"/>
  <c r="E140" i="18"/>
  <c r="C140" i="18"/>
  <c r="B140" i="18"/>
  <c r="I137" i="18"/>
  <c r="H137" i="18"/>
  <c r="G137" i="18"/>
  <c r="F137" i="18"/>
  <c r="E136" i="18"/>
  <c r="G134" i="18"/>
  <c r="F134" i="18"/>
  <c r="E134" i="18"/>
  <c r="G133" i="18"/>
  <c r="F133" i="18"/>
  <c r="E133" i="18"/>
  <c r="G132" i="18"/>
  <c r="F132" i="18"/>
  <c r="E132" i="18"/>
  <c r="I131" i="18"/>
  <c r="H131" i="18"/>
  <c r="E131" i="18"/>
  <c r="B131" i="18"/>
  <c r="G130" i="18"/>
  <c r="F130" i="18"/>
  <c r="E130" i="18"/>
  <c r="B130" i="18"/>
  <c r="I129" i="18"/>
  <c r="H129" i="18"/>
  <c r="E129" i="18"/>
  <c r="B129" i="18"/>
  <c r="K128" i="18"/>
  <c r="J128" i="18"/>
  <c r="G128" i="18"/>
  <c r="F128" i="18"/>
  <c r="E128" i="18"/>
  <c r="B128" i="18"/>
  <c r="I127" i="18"/>
  <c r="H127" i="18"/>
  <c r="E127" i="18"/>
  <c r="B127" i="18"/>
  <c r="I125" i="18"/>
  <c r="H125" i="18"/>
  <c r="G125" i="18"/>
  <c r="F125" i="18"/>
  <c r="E125" i="18"/>
  <c r="C125" i="18"/>
  <c r="B125" i="18"/>
  <c r="I122" i="18"/>
  <c r="H122" i="18"/>
  <c r="G122" i="18"/>
  <c r="F122" i="18"/>
  <c r="E121" i="18"/>
  <c r="G119" i="18"/>
  <c r="F119" i="18"/>
  <c r="E119" i="18"/>
  <c r="G118" i="18"/>
  <c r="F118" i="18"/>
  <c r="E118" i="18"/>
  <c r="G117" i="18"/>
  <c r="F117" i="18"/>
  <c r="E117" i="18"/>
  <c r="I116" i="18"/>
  <c r="H116" i="18"/>
  <c r="E116" i="18"/>
  <c r="B116" i="18"/>
  <c r="G115" i="18"/>
  <c r="F115" i="18"/>
  <c r="E115" i="18"/>
  <c r="B115" i="18"/>
  <c r="I114" i="18"/>
  <c r="H114" i="18"/>
  <c r="E114" i="18"/>
  <c r="B114" i="18"/>
  <c r="K113" i="18"/>
  <c r="J113" i="18"/>
  <c r="G113" i="18"/>
  <c r="F113" i="18"/>
  <c r="E113" i="18"/>
  <c r="B113" i="18"/>
  <c r="I112" i="18"/>
  <c r="H112" i="18"/>
  <c r="E112" i="18"/>
  <c r="B112" i="18"/>
  <c r="I110" i="18"/>
  <c r="H110" i="18"/>
  <c r="G110" i="18"/>
  <c r="F110" i="18"/>
  <c r="E110" i="18"/>
  <c r="C110" i="18"/>
  <c r="B110" i="18"/>
  <c r="I107" i="18"/>
  <c r="H107" i="18"/>
  <c r="G107" i="18"/>
  <c r="F107" i="18"/>
  <c r="E106" i="18"/>
  <c r="G104" i="18"/>
  <c r="F104" i="18"/>
  <c r="E104" i="18"/>
  <c r="G103" i="18"/>
  <c r="F103" i="18"/>
  <c r="E103" i="18"/>
  <c r="G102" i="18"/>
  <c r="F102" i="18"/>
  <c r="E102" i="18"/>
  <c r="I101" i="18"/>
  <c r="H101" i="18"/>
  <c r="E101" i="18"/>
  <c r="B101" i="18"/>
  <c r="G100" i="18"/>
  <c r="F100" i="18"/>
  <c r="E100" i="18"/>
  <c r="B100" i="18"/>
  <c r="I99" i="18"/>
  <c r="H99" i="18"/>
  <c r="E99" i="18"/>
  <c r="B99" i="18"/>
  <c r="K98" i="18"/>
  <c r="J98" i="18"/>
  <c r="G98" i="18"/>
  <c r="F98" i="18"/>
  <c r="E98" i="18"/>
  <c r="B98" i="18"/>
  <c r="I97" i="18"/>
  <c r="H97" i="18"/>
  <c r="E97" i="18"/>
  <c r="B97" i="18"/>
  <c r="I95" i="18"/>
  <c r="H95" i="18"/>
  <c r="G95" i="18"/>
  <c r="F95" i="18"/>
  <c r="E95" i="18"/>
  <c r="C95" i="18"/>
  <c r="B95" i="18"/>
  <c r="N93" i="18"/>
  <c r="T93" i="18" s="1"/>
  <c r="M93" i="18"/>
  <c r="N92" i="18"/>
  <c r="O92" i="18" s="1"/>
  <c r="M92" i="18"/>
  <c r="N91" i="18"/>
  <c r="S91" i="18" s="1"/>
  <c r="M91" i="18"/>
  <c r="I91" i="18"/>
  <c r="H91" i="18"/>
  <c r="G91" i="18"/>
  <c r="F91" i="18"/>
  <c r="E90" i="18"/>
  <c r="N89" i="18"/>
  <c r="T89" i="18" s="1"/>
  <c r="J299" i="5" s="1"/>
  <c r="M89" i="18"/>
  <c r="G88" i="18"/>
  <c r="F88" i="18"/>
  <c r="E88" i="18"/>
  <c r="N87" i="18"/>
  <c r="T87" i="18" s="1"/>
  <c r="J298" i="5" s="1"/>
  <c r="M87" i="18"/>
  <c r="G87" i="18"/>
  <c r="F87" i="18"/>
  <c r="E87" i="18"/>
  <c r="G86" i="18"/>
  <c r="F86" i="18"/>
  <c r="E86" i="18"/>
  <c r="N85" i="18"/>
  <c r="T85" i="18" s="1"/>
  <c r="J297" i="5" s="1"/>
  <c r="M85" i="18"/>
  <c r="K85" i="18"/>
  <c r="R93" i="18" s="1"/>
  <c r="I85" i="18"/>
  <c r="H85" i="18"/>
  <c r="E85" i="18"/>
  <c r="B85" i="18"/>
  <c r="G84" i="18"/>
  <c r="F84" i="18"/>
  <c r="E84" i="18"/>
  <c r="B84" i="18"/>
  <c r="N83" i="18"/>
  <c r="S83" i="18" s="1"/>
  <c r="J269" i="5" s="1"/>
  <c r="K269" i="5" s="1"/>
  <c r="M83" i="18"/>
  <c r="I83" i="18"/>
  <c r="H83" i="18"/>
  <c r="E83" i="18"/>
  <c r="B83" i="18"/>
  <c r="K82" i="18"/>
  <c r="J82" i="18"/>
  <c r="G82" i="18"/>
  <c r="F82" i="18"/>
  <c r="E82" i="18"/>
  <c r="B82" i="18"/>
  <c r="M81" i="18"/>
  <c r="I81" i="18"/>
  <c r="H81" i="18"/>
  <c r="E81" i="18"/>
  <c r="B81" i="18"/>
  <c r="M79" i="18"/>
  <c r="I79" i="18"/>
  <c r="H79" i="18"/>
  <c r="G79" i="18"/>
  <c r="F79" i="18"/>
  <c r="E79" i="18"/>
  <c r="C79" i="18"/>
  <c r="B79" i="18"/>
  <c r="M78" i="18"/>
  <c r="M77" i="18"/>
  <c r="I76" i="18"/>
  <c r="H76" i="18"/>
  <c r="G76" i="18"/>
  <c r="F76" i="18"/>
  <c r="M75" i="18"/>
  <c r="E75" i="18"/>
  <c r="N73" i="18"/>
  <c r="S73" i="18" s="1"/>
  <c r="J265" i="5" s="1"/>
  <c r="K265" i="5" s="1"/>
  <c r="M73" i="18"/>
  <c r="G73" i="18"/>
  <c r="F73" i="18"/>
  <c r="E73" i="18"/>
  <c r="G72" i="18"/>
  <c r="F72" i="18"/>
  <c r="E72" i="18"/>
  <c r="N71" i="18"/>
  <c r="M71" i="18"/>
  <c r="G71" i="18"/>
  <c r="F71" i="18"/>
  <c r="E71" i="18"/>
  <c r="I70" i="18"/>
  <c r="H70" i="18"/>
  <c r="E70" i="18"/>
  <c r="B70" i="18"/>
  <c r="N69" i="18"/>
  <c r="S69" i="18" s="1"/>
  <c r="J263" i="5" s="1"/>
  <c r="K263" i="5" s="1"/>
  <c r="M69" i="18"/>
  <c r="G69" i="18"/>
  <c r="F69" i="18"/>
  <c r="E69" i="18"/>
  <c r="B69" i="18"/>
  <c r="I68" i="18"/>
  <c r="H68" i="18"/>
  <c r="E68" i="18"/>
  <c r="B68" i="18"/>
  <c r="N67" i="18"/>
  <c r="S67" i="18" s="1"/>
  <c r="J262" i="5" s="1"/>
  <c r="K262" i="5" s="1"/>
  <c r="M67" i="18"/>
  <c r="K67" i="18"/>
  <c r="J67" i="18"/>
  <c r="G67" i="18"/>
  <c r="F67" i="18"/>
  <c r="E67" i="18"/>
  <c r="B67" i="18"/>
  <c r="I66" i="18"/>
  <c r="H66" i="18"/>
  <c r="E66" i="18"/>
  <c r="B66" i="18"/>
  <c r="M65" i="18"/>
  <c r="M64" i="18"/>
  <c r="I64" i="18"/>
  <c r="H64" i="18"/>
  <c r="G64" i="18"/>
  <c r="F64" i="18"/>
  <c r="E64" i="18"/>
  <c r="C64" i="18"/>
  <c r="B64" i="18"/>
  <c r="M62" i="18"/>
  <c r="I61" i="18"/>
  <c r="H61" i="18"/>
  <c r="G61" i="18"/>
  <c r="F61" i="18"/>
  <c r="M60" i="18"/>
  <c r="E60" i="18"/>
  <c r="N58" i="18"/>
  <c r="S58" i="18" s="1"/>
  <c r="J258" i="5" s="1"/>
  <c r="K258" i="5" s="1"/>
  <c r="M58" i="18"/>
  <c r="G58" i="18"/>
  <c r="F58" i="18"/>
  <c r="E58" i="18"/>
  <c r="G57" i="18"/>
  <c r="F57" i="18"/>
  <c r="E57" i="18"/>
  <c r="M56" i="18"/>
  <c r="G56" i="18"/>
  <c r="F56" i="18"/>
  <c r="E56" i="18"/>
  <c r="I55" i="18"/>
  <c r="H55" i="18"/>
  <c r="E55" i="18"/>
  <c r="B55" i="18"/>
  <c r="G54" i="18"/>
  <c r="F54" i="18"/>
  <c r="E54" i="18"/>
  <c r="B54" i="18"/>
  <c r="I53" i="18"/>
  <c r="H53" i="18"/>
  <c r="E53" i="18"/>
  <c r="B53" i="18"/>
  <c r="K52" i="18"/>
  <c r="J52" i="18"/>
  <c r="G52" i="18"/>
  <c r="F52" i="18"/>
  <c r="E52" i="18"/>
  <c r="B52" i="18"/>
  <c r="M51" i="18"/>
  <c r="I51" i="18"/>
  <c r="H51" i="18"/>
  <c r="E51" i="18"/>
  <c r="B51" i="18"/>
  <c r="M49" i="18"/>
  <c r="I49" i="18"/>
  <c r="H49" i="18"/>
  <c r="G49" i="18"/>
  <c r="F49" i="18"/>
  <c r="E49" i="18"/>
  <c r="C49" i="18"/>
  <c r="B49" i="18"/>
  <c r="M48" i="18"/>
  <c r="M47" i="18"/>
  <c r="I46" i="18"/>
  <c r="H46" i="18"/>
  <c r="G46" i="18"/>
  <c r="F46" i="18"/>
  <c r="M45" i="18"/>
  <c r="E45" i="18"/>
  <c r="M44" i="18"/>
  <c r="M43" i="18"/>
  <c r="G43" i="18"/>
  <c r="F43" i="18"/>
  <c r="E43" i="18"/>
  <c r="G42" i="18"/>
  <c r="F42" i="18"/>
  <c r="E42" i="18"/>
  <c r="M41" i="18"/>
  <c r="G41" i="18"/>
  <c r="F41" i="18"/>
  <c r="E41" i="18"/>
  <c r="M40" i="18"/>
  <c r="I40" i="18"/>
  <c r="H40" i="18"/>
  <c r="E40" i="18"/>
  <c r="B40" i="18"/>
  <c r="M39" i="18"/>
  <c r="G39" i="18"/>
  <c r="F39" i="18"/>
  <c r="E39" i="18"/>
  <c r="B39" i="18"/>
  <c r="I38" i="18"/>
  <c r="H38" i="18"/>
  <c r="E38" i="18"/>
  <c r="B38" i="18"/>
  <c r="K37" i="18"/>
  <c r="J37" i="18"/>
  <c r="G37" i="18"/>
  <c r="F37" i="18"/>
  <c r="E37" i="18"/>
  <c r="B37" i="18"/>
  <c r="I36" i="18"/>
  <c r="H36" i="18"/>
  <c r="E36" i="18"/>
  <c r="B36" i="18"/>
  <c r="I35" i="18"/>
  <c r="H35" i="18"/>
  <c r="G35" i="18"/>
  <c r="F35" i="18"/>
  <c r="E35" i="18"/>
  <c r="C35" i="18"/>
  <c r="B35" i="18"/>
  <c r="M30" i="18"/>
  <c r="M29" i="18"/>
  <c r="G29" i="18"/>
  <c r="F29" i="18"/>
  <c r="E29" i="18"/>
  <c r="M28" i="18"/>
  <c r="G28" i="18"/>
  <c r="F28" i="18"/>
  <c r="E28" i="18"/>
  <c r="G27" i="18"/>
  <c r="F27" i="18"/>
  <c r="E27" i="18"/>
  <c r="G25" i="18"/>
  <c r="F25" i="18"/>
  <c r="E25" i="18"/>
  <c r="I24" i="18"/>
  <c r="H24" i="18"/>
  <c r="M23" i="18"/>
  <c r="K23" i="18"/>
  <c r="J23" i="18"/>
  <c r="G23" i="18"/>
  <c r="F23" i="18"/>
  <c r="E23" i="18"/>
  <c r="M22" i="18"/>
  <c r="M21" i="18"/>
  <c r="I20" i="18"/>
  <c r="O15" i="18"/>
  <c r="T36" i="18" s="1"/>
  <c r="N15" i="18"/>
  <c r="O36" i="18" s="1"/>
  <c r="S36" i="18" s="1"/>
  <c r="M7" i="18"/>
  <c r="M6" i="18"/>
  <c r="M5" i="18"/>
  <c r="B4" i="18"/>
  <c r="I167" i="17"/>
  <c r="H167" i="17"/>
  <c r="G167" i="17"/>
  <c r="F167" i="17"/>
  <c r="E166" i="17"/>
  <c r="G164" i="17"/>
  <c r="F164" i="17"/>
  <c r="E164" i="17"/>
  <c r="G163" i="17"/>
  <c r="F163" i="17"/>
  <c r="E163" i="17"/>
  <c r="G162" i="17"/>
  <c r="F162" i="17"/>
  <c r="E162" i="17"/>
  <c r="I161" i="17"/>
  <c r="H161" i="17"/>
  <c r="E161" i="17"/>
  <c r="B161" i="17"/>
  <c r="G160" i="17"/>
  <c r="F160" i="17"/>
  <c r="E160" i="17"/>
  <c r="B160" i="17"/>
  <c r="I159" i="17"/>
  <c r="H159" i="17"/>
  <c r="E159" i="17"/>
  <c r="B159" i="17"/>
  <c r="K158" i="17"/>
  <c r="J158" i="17"/>
  <c r="G158" i="17"/>
  <c r="F158" i="17"/>
  <c r="E158" i="17"/>
  <c r="B158" i="17"/>
  <c r="I157" i="17"/>
  <c r="H157" i="17"/>
  <c r="E157" i="17"/>
  <c r="B157" i="17"/>
  <c r="I155" i="17"/>
  <c r="H155" i="17"/>
  <c r="G155" i="17"/>
  <c r="F155" i="17"/>
  <c r="E155" i="17"/>
  <c r="C155" i="17"/>
  <c r="B155" i="17"/>
  <c r="I152" i="17"/>
  <c r="H152" i="17"/>
  <c r="G152" i="17"/>
  <c r="F152" i="17"/>
  <c r="E151" i="17"/>
  <c r="G149" i="17"/>
  <c r="F149" i="17"/>
  <c r="E149" i="17"/>
  <c r="G148" i="17"/>
  <c r="F148" i="17"/>
  <c r="E148" i="17"/>
  <c r="G147" i="17"/>
  <c r="F147" i="17"/>
  <c r="E147" i="17"/>
  <c r="I146" i="17"/>
  <c r="H146" i="17"/>
  <c r="E146" i="17"/>
  <c r="B146" i="17"/>
  <c r="G145" i="17"/>
  <c r="F145" i="17"/>
  <c r="E145" i="17"/>
  <c r="B145" i="17"/>
  <c r="I144" i="17"/>
  <c r="H144" i="17"/>
  <c r="E144" i="17"/>
  <c r="B144" i="17"/>
  <c r="K143" i="17"/>
  <c r="J143" i="17"/>
  <c r="G143" i="17"/>
  <c r="F143" i="17"/>
  <c r="E143" i="17"/>
  <c r="B143" i="17"/>
  <c r="I142" i="17"/>
  <c r="H142" i="17"/>
  <c r="E142" i="17"/>
  <c r="B142" i="17"/>
  <c r="I140" i="17"/>
  <c r="H140" i="17"/>
  <c r="G140" i="17"/>
  <c r="F140" i="17"/>
  <c r="E140" i="17"/>
  <c r="C140" i="17"/>
  <c r="B140" i="17"/>
  <c r="I137" i="17"/>
  <c r="H137" i="17"/>
  <c r="G137" i="17"/>
  <c r="F137" i="17"/>
  <c r="E136" i="17"/>
  <c r="G134" i="17"/>
  <c r="F134" i="17"/>
  <c r="E134" i="17"/>
  <c r="G133" i="17"/>
  <c r="F133" i="17"/>
  <c r="E133" i="17"/>
  <c r="G132" i="17"/>
  <c r="F132" i="17"/>
  <c r="E132" i="17"/>
  <c r="I131" i="17"/>
  <c r="H131" i="17"/>
  <c r="E131" i="17"/>
  <c r="B131" i="17"/>
  <c r="G130" i="17"/>
  <c r="F130" i="17"/>
  <c r="E130" i="17"/>
  <c r="B130" i="17"/>
  <c r="I129" i="17"/>
  <c r="H129" i="17"/>
  <c r="E129" i="17"/>
  <c r="B129" i="17"/>
  <c r="K128" i="17"/>
  <c r="J128" i="17"/>
  <c r="G128" i="17"/>
  <c r="F128" i="17"/>
  <c r="E128" i="17"/>
  <c r="B128" i="17"/>
  <c r="I127" i="17"/>
  <c r="H127" i="17"/>
  <c r="E127" i="17"/>
  <c r="B127" i="17"/>
  <c r="I125" i="17"/>
  <c r="H125" i="17"/>
  <c r="G125" i="17"/>
  <c r="F125" i="17"/>
  <c r="E125" i="17"/>
  <c r="C125" i="17"/>
  <c r="B125" i="17"/>
  <c r="I122" i="17"/>
  <c r="H122" i="17"/>
  <c r="G122" i="17"/>
  <c r="F122" i="17"/>
  <c r="E121" i="17"/>
  <c r="G119" i="17"/>
  <c r="F119" i="17"/>
  <c r="E119" i="17"/>
  <c r="G118" i="17"/>
  <c r="F118" i="17"/>
  <c r="E118" i="17"/>
  <c r="G117" i="17"/>
  <c r="F117" i="17"/>
  <c r="E117" i="17"/>
  <c r="I116" i="17"/>
  <c r="H116" i="17"/>
  <c r="E116" i="17"/>
  <c r="B116" i="17"/>
  <c r="G115" i="17"/>
  <c r="F115" i="17"/>
  <c r="E115" i="17"/>
  <c r="B115" i="17"/>
  <c r="I114" i="17"/>
  <c r="H114" i="17"/>
  <c r="E114" i="17"/>
  <c r="B114" i="17"/>
  <c r="K113" i="17"/>
  <c r="J113" i="17"/>
  <c r="G113" i="17"/>
  <c r="F113" i="17"/>
  <c r="E113" i="17"/>
  <c r="B113" i="17"/>
  <c r="I112" i="17"/>
  <c r="H112" i="17"/>
  <c r="E112" i="17"/>
  <c r="B112" i="17"/>
  <c r="I110" i="17"/>
  <c r="H110" i="17"/>
  <c r="G110" i="17"/>
  <c r="F110" i="17"/>
  <c r="E110" i="17"/>
  <c r="C110" i="17"/>
  <c r="B110" i="17"/>
  <c r="I107" i="17"/>
  <c r="H107" i="17"/>
  <c r="G107" i="17"/>
  <c r="F107" i="17"/>
  <c r="E106" i="17"/>
  <c r="G104" i="17"/>
  <c r="F104" i="17"/>
  <c r="E104" i="17"/>
  <c r="G103" i="17"/>
  <c r="F103" i="17"/>
  <c r="E103" i="17"/>
  <c r="G102" i="17"/>
  <c r="F102" i="17"/>
  <c r="E102" i="17"/>
  <c r="I101" i="17"/>
  <c r="H101" i="17"/>
  <c r="E101" i="17"/>
  <c r="B101" i="17"/>
  <c r="G100" i="17"/>
  <c r="F100" i="17"/>
  <c r="E100" i="17"/>
  <c r="B100" i="17"/>
  <c r="I99" i="17"/>
  <c r="H99" i="17"/>
  <c r="E99" i="17"/>
  <c r="B99" i="17"/>
  <c r="K98" i="17"/>
  <c r="J98" i="17"/>
  <c r="G98" i="17"/>
  <c r="F98" i="17"/>
  <c r="E98" i="17"/>
  <c r="B98" i="17"/>
  <c r="I97" i="17"/>
  <c r="H97" i="17"/>
  <c r="E97" i="17"/>
  <c r="B97" i="17"/>
  <c r="I95" i="17"/>
  <c r="H95" i="17"/>
  <c r="G95" i="17"/>
  <c r="F95" i="17"/>
  <c r="E95" i="17"/>
  <c r="C95" i="17"/>
  <c r="B95" i="17"/>
  <c r="N93" i="17"/>
  <c r="S93" i="17" s="1"/>
  <c r="M93" i="17"/>
  <c r="N92" i="17"/>
  <c r="S92" i="17" s="1"/>
  <c r="M92" i="17"/>
  <c r="N91" i="17"/>
  <c r="S91" i="17" s="1"/>
  <c r="M91" i="17"/>
  <c r="I91" i="17"/>
  <c r="H91" i="17"/>
  <c r="G91" i="17"/>
  <c r="F91" i="17"/>
  <c r="E90" i="17"/>
  <c r="N89" i="17"/>
  <c r="M89" i="17"/>
  <c r="G88" i="17"/>
  <c r="F88" i="17"/>
  <c r="E88" i="17"/>
  <c r="N87" i="17"/>
  <c r="M87" i="17"/>
  <c r="G87" i="17"/>
  <c r="F87" i="17"/>
  <c r="E87" i="17"/>
  <c r="G86" i="17"/>
  <c r="F86" i="17"/>
  <c r="E86" i="17"/>
  <c r="N85" i="17"/>
  <c r="S85" i="17" s="1"/>
  <c r="D270" i="5" s="1"/>
  <c r="E270" i="5" s="1"/>
  <c r="M85" i="17"/>
  <c r="K85" i="17"/>
  <c r="I85" i="17"/>
  <c r="H85" i="17"/>
  <c r="E85" i="17"/>
  <c r="B85" i="17"/>
  <c r="G84" i="17"/>
  <c r="F84" i="17"/>
  <c r="E84" i="17"/>
  <c r="B84" i="17"/>
  <c r="N83" i="17"/>
  <c r="M83" i="17"/>
  <c r="I83" i="17"/>
  <c r="H83" i="17"/>
  <c r="E83" i="17"/>
  <c r="B83" i="17"/>
  <c r="K82" i="17"/>
  <c r="J82" i="17"/>
  <c r="G82" i="17"/>
  <c r="F82" i="17"/>
  <c r="E82" i="17"/>
  <c r="B82" i="17"/>
  <c r="M81" i="17"/>
  <c r="I81" i="17"/>
  <c r="H81" i="17"/>
  <c r="E81" i="17"/>
  <c r="B81" i="17"/>
  <c r="M79" i="17"/>
  <c r="I79" i="17"/>
  <c r="H79" i="17"/>
  <c r="G79" i="17"/>
  <c r="F79" i="17"/>
  <c r="E79" i="17"/>
  <c r="C79" i="17"/>
  <c r="B79" i="17"/>
  <c r="M78" i="17"/>
  <c r="M77" i="17"/>
  <c r="I76" i="17"/>
  <c r="H76" i="17"/>
  <c r="G76" i="17"/>
  <c r="F76" i="17"/>
  <c r="M75" i="17"/>
  <c r="E75" i="17"/>
  <c r="N73" i="17"/>
  <c r="M73" i="17"/>
  <c r="G73" i="17"/>
  <c r="F73" i="17"/>
  <c r="E73" i="17"/>
  <c r="G72" i="17"/>
  <c r="F72" i="17"/>
  <c r="E72" i="17"/>
  <c r="N71" i="17"/>
  <c r="S71" i="17" s="1"/>
  <c r="D264" i="5" s="1"/>
  <c r="E264" i="5" s="1"/>
  <c r="M71" i="17"/>
  <c r="G71" i="17"/>
  <c r="F71" i="17"/>
  <c r="E71" i="17"/>
  <c r="I70" i="17"/>
  <c r="H70" i="17"/>
  <c r="E70" i="17"/>
  <c r="B70" i="17"/>
  <c r="N69" i="17"/>
  <c r="S69" i="17" s="1"/>
  <c r="D263" i="5" s="1"/>
  <c r="E263" i="5" s="1"/>
  <c r="M69" i="17"/>
  <c r="G69" i="17"/>
  <c r="F69" i="17"/>
  <c r="E69" i="17"/>
  <c r="B69" i="17"/>
  <c r="I68" i="17"/>
  <c r="H68" i="17"/>
  <c r="E68" i="17"/>
  <c r="B68" i="17"/>
  <c r="N67" i="17"/>
  <c r="M67" i="17"/>
  <c r="K67" i="17"/>
  <c r="J67" i="17"/>
  <c r="G67" i="17"/>
  <c r="F67" i="17"/>
  <c r="E67" i="17"/>
  <c r="B67" i="17"/>
  <c r="I66" i="17"/>
  <c r="H66" i="17"/>
  <c r="E66" i="17"/>
  <c r="B66" i="17"/>
  <c r="M65" i="17"/>
  <c r="M64" i="17"/>
  <c r="I64" i="17"/>
  <c r="H64" i="17"/>
  <c r="G64" i="17"/>
  <c r="F64" i="17"/>
  <c r="E64" i="17"/>
  <c r="C64" i="17"/>
  <c r="B64" i="17"/>
  <c r="M62" i="17"/>
  <c r="I61" i="17"/>
  <c r="H61" i="17"/>
  <c r="G61" i="17"/>
  <c r="F61" i="17"/>
  <c r="M60" i="17"/>
  <c r="E60" i="17"/>
  <c r="N58" i="17"/>
  <c r="M58" i="17"/>
  <c r="G58" i="17"/>
  <c r="F58" i="17"/>
  <c r="E58" i="17"/>
  <c r="G57" i="17"/>
  <c r="F57" i="17"/>
  <c r="E57" i="17"/>
  <c r="M56" i="17"/>
  <c r="G56" i="17"/>
  <c r="F56" i="17"/>
  <c r="E56" i="17"/>
  <c r="I55" i="17"/>
  <c r="H55" i="17"/>
  <c r="E55" i="17"/>
  <c r="B55" i="17"/>
  <c r="G54" i="17"/>
  <c r="F54" i="17"/>
  <c r="E54" i="17"/>
  <c r="B54" i="17"/>
  <c r="I53" i="17"/>
  <c r="H53" i="17"/>
  <c r="E53" i="17"/>
  <c r="B53" i="17"/>
  <c r="K52" i="17"/>
  <c r="J52" i="17"/>
  <c r="G52" i="17"/>
  <c r="F52" i="17"/>
  <c r="E52" i="17"/>
  <c r="B52" i="17"/>
  <c r="M51" i="17"/>
  <c r="I51" i="17"/>
  <c r="H51" i="17"/>
  <c r="E51" i="17"/>
  <c r="B51" i="17"/>
  <c r="M49" i="17"/>
  <c r="I49" i="17"/>
  <c r="H49" i="17"/>
  <c r="G49" i="17"/>
  <c r="F49" i="17"/>
  <c r="E49" i="17"/>
  <c r="C49" i="17"/>
  <c r="B49" i="17"/>
  <c r="M48" i="17"/>
  <c r="M47" i="17"/>
  <c r="I46" i="17"/>
  <c r="H46" i="17"/>
  <c r="G46" i="17"/>
  <c r="F46" i="17"/>
  <c r="M45" i="17"/>
  <c r="E45" i="17"/>
  <c r="M44" i="17"/>
  <c r="M43" i="17"/>
  <c r="G43" i="17"/>
  <c r="F43" i="17"/>
  <c r="E43" i="17"/>
  <c r="G42" i="17"/>
  <c r="F42" i="17"/>
  <c r="E42" i="17"/>
  <c r="M41" i="17"/>
  <c r="G41" i="17"/>
  <c r="F41" i="17"/>
  <c r="E41" i="17"/>
  <c r="M40" i="17"/>
  <c r="I40" i="17"/>
  <c r="H40" i="17"/>
  <c r="E40" i="17"/>
  <c r="B40" i="17"/>
  <c r="M39" i="17"/>
  <c r="G39" i="17"/>
  <c r="F39" i="17"/>
  <c r="E39" i="17"/>
  <c r="B39" i="17"/>
  <c r="I38" i="17"/>
  <c r="H38" i="17"/>
  <c r="E38" i="17"/>
  <c r="B38" i="17"/>
  <c r="K37" i="17"/>
  <c r="J37" i="17"/>
  <c r="G37" i="17"/>
  <c r="F37" i="17"/>
  <c r="E37" i="17"/>
  <c r="B37" i="17"/>
  <c r="I36" i="17"/>
  <c r="H36" i="17"/>
  <c r="E36" i="17"/>
  <c r="B36" i="17"/>
  <c r="I35" i="17"/>
  <c r="H35" i="17"/>
  <c r="G35" i="17"/>
  <c r="F35" i="17"/>
  <c r="E35" i="17"/>
  <c r="C35" i="17"/>
  <c r="B35" i="17"/>
  <c r="M30" i="17"/>
  <c r="M29" i="17"/>
  <c r="G29" i="17"/>
  <c r="F29" i="17"/>
  <c r="E29" i="17"/>
  <c r="M28" i="17"/>
  <c r="G28" i="17"/>
  <c r="F28" i="17"/>
  <c r="E28" i="17"/>
  <c r="G27" i="17"/>
  <c r="F27" i="17"/>
  <c r="E27" i="17"/>
  <c r="G25" i="17"/>
  <c r="F25" i="17"/>
  <c r="E25" i="17"/>
  <c r="I24" i="17"/>
  <c r="H24" i="17"/>
  <c r="M23" i="17"/>
  <c r="K23" i="17"/>
  <c r="J23" i="17"/>
  <c r="G23" i="17"/>
  <c r="F23" i="17"/>
  <c r="E23" i="17"/>
  <c r="M22" i="17"/>
  <c r="M21" i="17"/>
  <c r="I20" i="17"/>
  <c r="O15" i="17"/>
  <c r="T36" i="17" s="1"/>
  <c r="N15" i="17"/>
  <c r="O36" i="17" s="1"/>
  <c r="M7" i="17"/>
  <c r="M6" i="17"/>
  <c r="M5" i="17"/>
  <c r="B4" i="17"/>
  <c r="I167" i="16"/>
  <c r="H167" i="16"/>
  <c r="G167" i="16"/>
  <c r="F167" i="16"/>
  <c r="E166" i="16"/>
  <c r="G164" i="16"/>
  <c r="F164" i="16"/>
  <c r="E164" i="16"/>
  <c r="G163" i="16"/>
  <c r="F163" i="16"/>
  <c r="E163" i="16"/>
  <c r="G162" i="16"/>
  <c r="F162" i="16"/>
  <c r="E162" i="16"/>
  <c r="I161" i="16"/>
  <c r="H161" i="16"/>
  <c r="E161" i="16"/>
  <c r="B161" i="16"/>
  <c r="G160" i="16"/>
  <c r="F160" i="16"/>
  <c r="E160" i="16"/>
  <c r="B160" i="16"/>
  <c r="I159" i="16"/>
  <c r="H159" i="16"/>
  <c r="E159" i="16"/>
  <c r="B159" i="16"/>
  <c r="K158" i="16"/>
  <c r="J158" i="16"/>
  <c r="G158" i="16"/>
  <c r="F158" i="16"/>
  <c r="E158" i="16"/>
  <c r="B158" i="16"/>
  <c r="I157" i="16"/>
  <c r="H157" i="16"/>
  <c r="E157" i="16"/>
  <c r="B157" i="16"/>
  <c r="I155" i="16"/>
  <c r="H155" i="16"/>
  <c r="G155" i="16"/>
  <c r="F155" i="16"/>
  <c r="E155" i="16"/>
  <c r="C155" i="16"/>
  <c r="B155" i="16"/>
  <c r="I152" i="16"/>
  <c r="H152" i="16"/>
  <c r="G152" i="16"/>
  <c r="F152" i="16"/>
  <c r="E151" i="16"/>
  <c r="G149" i="16"/>
  <c r="F149" i="16"/>
  <c r="E149" i="16"/>
  <c r="G148" i="16"/>
  <c r="F148" i="16"/>
  <c r="E148" i="16"/>
  <c r="G147" i="16"/>
  <c r="F147" i="16"/>
  <c r="E147" i="16"/>
  <c r="I146" i="16"/>
  <c r="H146" i="16"/>
  <c r="E146" i="16"/>
  <c r="B146" i="16"/>
  <c r="G145" i="16"/>
  <c r="F145" i="16"/>
  <c r="E145" i="16"/>
  <c r="B145" i="16"/>
  <c r="I144" i="16"/>
  <c r="H144" i="16"/>
  <c r="E144" i="16"/>
  <c r="B144" i="16"/>
  <c r="K143" i="16"/>
  <c r="J143" i="16"/>
  <c r="G143" i="16"/>
  <c r="F143" i="16"/>
  <c r="E143" i="16"/>
  <c r="B143" i="16"/>
  <c r="I142" i="16"/>
  <c r="H142" i="16"/>
  <c r="E142" i="16"/>
  <c r="B142" i="16"/>
  <c r="I140" i="16"/>
  <c r="H140" i="16"/>
  <c r="G140" i="16"/>
  <c r="F140" i="16"/>
  <c r="E140" i="16"/>
  <c r="C140" i="16"/>
  <c r="B140" i="16"/>
  <c r="I137" i="16"/>
  <c r="H137" i="16"/>
  <c r="G137" i="16"/>
  <c r="F137" i="16"/>
  <c r="E136" i="16"/>
  <c r="G134" i="16"/>
  <c r="F134" i="16"/>
  <c r="E134" i="16"/>
  <c r="G133" i="16"/>
  <c r="F133" i="16"/>
  <c r="E133" i="16"/>
  <c r="G132" i="16"/>
  <c r="F132" i="16"/>
  <c r="E132" i="16"/>
  <c r="I131" i="16"/>
  <c r="H131" i="16"/>
  <c r="E131" i="16"/>
  <c r="B131" i="16"/>
  <c r="G130" i="16"/>
  <c r="F130" i="16"/>
  <c r="E130" i="16"/>
  <c r="B130" i="16"/>
  <c r="I129" i="16"/>
  <c r="H129" i="16"/>
  <c r="E129" i="16"/>
  <c r="B129" i="16"/>
  <c r="K128" i="16"/>
  <c r="J128" i="16"/>
  <c r="G128" i="16"/>
  <c r="F128" i="16"/>
  <c r="E128" i="16"/>
  <c r="B128" i="16"/>
  <c r="I127" i="16"/>
  <c r="H127" i="16"/>
  <c r="E127" i="16"/>
  <c r="B127" i="16"/>
  <c r="I125" i="16"/>
  <c r="H125" i="16"/>
  <c r="G125" i="16"/>
  <c r="F125" i="16"/>
  <c r="E125" i="16"/>
  <c r="C125" i="16"/>
  <c r="B125" i="16"/>
  <c r="I122" i="16"/>
  <c r="H122" i="16"/>
  <c r="G122" i="16"/>
  <c r="F122" i="16"/>
  <c r="E121" i="16"/>
  <c r="G119" i="16"/>
  <c r="F119" i="16"/>
  <c r="E119" i="16"/>
  <c r="G118" i="16"/>
  <c r="F118" i="16"/>
  <c r="E118" i="16"/>
  <c r="G117" i="16"/>
  <c r="F117" i="16"/>
  <c r="E117" i="16"/>
  <c r="I116" i="16"/>
  <c r="H116" i="16"/>
  <c r="E116" i="16"/>
  <c r="B116" i="16"/>
  <c r="G115" i="16"/>
  <c r="F115" i="16"/>
  <c r="E115" i="16"/>
  <c r="B115" i="16"/>
  <c r="I114" i="16"/>
  <c r="H114" i="16"/>
  <c r="E114" i="16"/>
  <c r="B114" i="16"/>
  <c r="K113" i="16"/>
  <c r="J113" i="16"/>
  <c r="G113" i="16"/>
  <c r="F113" i="16"/>
  <c r="E113" i="16"/>
  <c r="B113" i="16"/>
  <c r="I112" i="16"/>
  <c r="H112" i="16"/>
  <c r="E112" i="16"/>
  <c r="B112" i="16"/>
  <c r="I110" i="16"/>
  <c r="H110" i="16"/>
  <c r="G110" i="16"/>
  <c r="F110" i="16"/>
  <c r="E110" i="16"/>
  <c r="C110" i="16"/>
  <c r="B110" i="16"/>
  <c r="I107" i="16"/>
  <c r="H107" i="16"/>
  <c r="G107" i="16"/>
  <c r="F107" i="16"/>
  <c r="E106" i="16"/>
  <c r="G104" i="16"/>
  <c r="F104" i="16"/>
  <c r="E104" i="16"/>
  <c r="G103" i="16"/>
  <c r="F103" i="16"/>
  <c r="E103" i="16"/>
  <c r="G102" i="16"/>
  <c r="F102" i="16"/>
  <c r="E102" i="16"/>
  <c r="I101" i="16"/>
  <c r="H101" i="16"/>
  <c r="E101" i="16"/>
  <c r="B101" i="16"/>
  <c r="G100" i="16"/>
  <c r="F100" i="16"/>
  <c r="E100" i="16"/>
  <c r="B100" i="16"/>
  <c r="I99" i="16"/>
  <c r="H99" i="16"/>
  <c r="E99" i="16"/>
  <c r="B99" i="16"/>
  <c r="K98" i="16"/>
  <c r="J98" i="16"/>
  <c r="G98" i="16"/>
  <c r="F98" i="16"/>
  <c r="E98" i="16"/>
  <c r="B98" i="16"/>
  <c r="I97" i="16"/>
  <c r="H97" i="16"/>
  <c r="E97" i="16"/>
  <c r="B97" i="16"/>
  <c r="I95" i="16"/>
  <c r="H95" i="16"/>
  <c r="G95" i="16"/>
  <c r="F95" i="16"/>
  <c r="E95" i="16"/>
  <c r="C95" i="16"/>
  <c r="B95" i="16"/>
  <c r="N93" i="16"/>
  <c r="S93" i="16" s="1"/>
  <c r="M93" i="16"/>
  <c r="N92" i="16"/>
  <c r="T92" i="16" s="1"/>
  <c r="M92" i="16"/>
  <c r="N91" i="16"/>
  <c r="T91" i="16" s="1"/>
  <c r="M91" i="16"/>
  <c r="I91" i="16"/>
  <c r="H91" i="16"/>
  <c r="G91" i="16"/>
  <c r="F91" i="16"/>
  <c r="E90" i="16"/>
  <c r="N89" i="16"/>
  <c r="T89" i="16" s="1"/>
  <c r="J245" i="5" s="1"/>
  <c r="M89" i="16"/>
  <c r="G88" i="16"/>
  <c r="F88" i="16"/>
  <c r="E88" i="16"/>
  <c r="N87" i="16"/>
  <c r="T87" i="16" s="1"/>
  <c r="J244" i="5" s="1"/>
  <c r="M87" i="16"/>
  <c r="G87" i="16"/>
  <c r="F87" i="16"/>
  <c r="E87" i="16"/>
  <c r="G86" i="16"/>
  <c r="F86" i="16"/>
  <c r="E86" i="16"/>
  <c r="N85" i="16"/>
  <c r="T85" i="16" s="1"/>
  <c r="J243" i="5" s="1"/>
  <c r="M85" i="16"/>
  <c r="K85" i="16"/>
  <c r="Q90" i="16" s="1"/>
  <c r="I85" i="16"/>
  <c r="H85" i="16"/>
  <c r="E85" i="16"/>
  <c r="B85" i="16"/>
  <c r="G84" i="16"/>
  <c r="F84" i="16"/>
  <c r="E84" i="16"/>
  <c r="B84" i="16"/>
  <c r="N83" i="16"/>
  <c r="S83" i="16" s="1"/>
  <c r="J215" i="5" s="1"/>
  <c r="K215" i="5" s="1"/>
  <c r="M83" i="16"/>
  <c r="I83" i="16"/>
  <c r="H83" i="16"/>
  <c r="E83" i="16"/>
  <c r="B83" i="16"/>
  <c r="K82" i="16"/>
  <c r="J82" i="16"/>
  <c r="G82" i="16"/>
  <c r="F82" i="16"/>
  <c r="E82" i="16"/>
  <c r="B82" i="16"/>
  <c r="M81" i="16"/>
  <c r="I81" i="16"/>
  <c r="H81" i="16"/>
  <c r="E81" i="16"/>
  <c r="B81" i="16"/>
  <c r="M79" i="16"/>
  <c r="I79" i="16"/>
  <c r="H79" i="16"/>
  <c r="G79" i="16"/>
  <c r="F79" i="16"/>
  <c r="E79" i="16"/>
  <c r="C79" i="16"/>
  <c r="B79" i="16"/>
  <c r="M78" i="16"/>
  <c r="M77" i="16"/>
  <c r="I76" i="16"/>
  <c r="H76" i="16"/>
  <c r="G76" i="16"/>
  <c r="F76" i="16"/>
  <c r="M75" i="16"/>
  <c r="E75" i="16"/>
  <c r="N73" i="16"/>
  <c r="S73" i="16" s="1"/>
  <c r="J211" i="5" s="1"/>
  <c r="K211" i="5" s="1"/>
  <c r="M73" i="16"/>
  <c r="G73" i="16"/>
  <c r="F73" i="16"/>
  <c r="E73" i="16"/>
  <c r="G72" i="16"/>
  <c r="F72" i="16"/>
  <c r="E72" i="16"/>
  <c r="N71" i="16"/>
  <c r="S71" i="16" s="1"/>
  <c r="J210" i="5" s="1"/>
  <c r="K210" i="5" s="1"/>
  <c r="M71" i="16"/>
  <c r="G71" i="16"/>
  <c r="F71" i="16"/>
  <c r="E71" i="16"/>
  <c r="I70" i="16"/>
  <c r="H70" i="16"/>
  <c r="E70" i="16"/>
  <c r="B70" i="16"/>
  <c r="N69" i="16"/>
  <c r="M69" i="16"/>
  <c r="G69" i="16"/>
  <c r="F69" i="16"/>
  <c r="E69" i="16"/>
  <c r="B69" i="16"/>
  <c r="I68" i="16"/>
  <c r="H68" i="16"/>
  <c r="E68" i="16"/>
  <c r="B68" i="16"/>
  <c r="N67" i="16"/>
  <c r="S67" i="16" s="1"/>
  <c r="J208" i="5" s="1"/>
  <c r="K208" i="5" s="1"/>
  <c r="M67" i="16"/>
  <c r="K67" i="16"/>
  <c r="J67" i="16"/>
  <c r="G67" i="16"/>
  <c r="F67" i="16"/>
  <c r="E67" i="16"/>
  <c r="B67" i="16"/>
  <c r="I66" i="16"/>
  <c r="H66" i="16"/>
  <c r="E66" i="16"/>
  <c r="B66" i="16"/>
  <c r="M65" i="16"/>
  <c r="M64" i="16"/>
  <c r="I64" i="16"/>
  <c r="H64" i="16"/>
  <c r="G64" i="16"/>
  <c r="F64" i="16"/>
  <c r="E64" i="16"/>
  <c r="C64" i="16"/>
  <c r="B64" i="16"/>
  <c r="M62" i="16"/>
  <c r="I61" i="16"/>
  <c r="H61" i="16"/>
  <c r="G61" i="16"/>
  <c r="F61" i="16"/>
  <c r="M60" i="16"/>
  <c r="E60" i="16"/>
  <c r="N58" i="16"/>
  <c r="S58" i="16" s="1"/>
  <c r="J204" i="5" s="1"/>
  <c r="K204" i="5" s="1"/>
  <c r="M58" i="16"/>
  <c r="G58" i="16"/>
  <c r="F58" i="16"/>
  <c r="E58" i="16"/>
  <c r="G57" i="16"/>
  <c r="F57" i="16"/>
  <c r="E57" i="16"/>
  <c r="M56" i="16"/>
  <c r="G56" i="16"/>
  <c r="F56" i="16"/>
  <c r="E56" i="16"/>
  <c r="I55" i="16"/>
  <c r="H55" i="16"/>
  <c r="E55" i="16"/>
  <c r="B55" i="16"/>
  <c r="G54" i="16"/>
  <c r="F54" i="16"/>
  <c r="E54" i="16"/>
  <c r="B54" i="16"/>
  <c r="I53" i="16"/>
  <c r="H53" i="16"/>
  <c r="E53" i="16"/>
  <c r="B53" i="16"/>
  <c r="K52" i="16"/>
  <c r="J52" i="16"/>
  <c r="G52" i="16"/>
  <c r="F52" i="16"/>
  <c r="E52" i="16"/>
  <c r="B52" i="16"/>
  <c r="M51" i="16"/>
  <c r="I51" i="16"/>
  <c r="H51" i="16"/>
  <c r="E51" i="16"/>
  <c r="B51" i="16"/>
  <c r="M49" i="16"/>
  <c r="I49" i="16"/>
  <c r="H49" i="16"/>
  <c r="G49" i="16"/>
  <c r="F49" i="16"/>
  <c r="E49" i="16"/>
  <c r="C49" i="16"/>
  <c r="B49" i="16"/>
  <c r="M48" i="16"/>
  <c r="M47" i="16"/>
  <c r="I46" i="16"/>
  <c r="H46" i="16"/>
  <c r="G46" i="16"/>
  <c r="F46" i="16"/>
  <c r="M45" i="16"/>
  <c r="E45" i="16"/>
  <c r="M44" i="16"/>
  <c r="M43" i="16"/>
  <c r="G43" i="16"/>
  <c r="F43" i="16"/>
  <c r="E43" i="16"/>
  <c r="G42" i="16"/>
  <c r="F42" i="16"/>
  <c r="E42" i="16"/>
  <c r="M41" i="16"/>
  <c r="G41" i="16"/>
  <c r="F41" i="16"/>
  <c r="E41" i="16"/>
  <c r="M40" i="16"/>
  <c r="I40" i="16"/>
  <c r="H40" i="16"/>
  <c r="E40" i="16"/>
  <c r="B40" i="16"/>
  <c r="M39" i="16"/>
  <c r="G39" i="16"/>
  <c r="F39" i="16"/>
  <c r="E39" i="16"/>
  <c r="B39" i="16"/>
  <c r="I38" i="16"/>
  <c r="H38" i="16"/>
  <c r="E38" i="16"/>
  <c r="B38" i="16"/>
  <c r="K37" i="16"/>
  <c r="J37" i="16"/>
  <c r="G37" i="16"/>
  <c r="F37" i="16"/>
  <c r="E37" i="16"/>
  <c r="B37" i="16"/>
  <c r="I36" i="16"/>
  <c r="H36" i="16"/>
  <c r="E36" i="16"/>
  <c r="B36" i="16"/>
  <c r="I35" i="16"/>
  <c r="H35" i="16"/>
  <c r="G35" i="16"/>
  <c r="F35" i="16"/>
  <c r="E35" i="16"/>
  <c r="C35" i="16"/>
  <c r="B35" i="16"/>
  <c r="M30" i="16"/>
  <c r="M29" i="16"/>
  <c r="G29" i="16"/>
  <c r="F29" i="16"/>
  <c r="E29" i="16"/>
  <c r="M28" i="16"/>
  <c r="G28" i="16"/>
  <c r="F28" i="16"/>
  <c r="E28" i="16"/>
  <c r="G27" i="16"/>
  <c r="F27" i="16"/>
  <c r="E27" i="16"/>
  <c r="G25" i="16"/>
  <c r="F25" i="16"/>
  <c r="E25" i="16"/>
  <c r="I24" i="16"/>
  <c r="H24" i="16"/>
  <c r="M23" i="16"/>
  <c r="K23" i="16"/>
  <c r="J23" i="16"/>
  <c r="G23" i="16"/>
  <c r="F23" i="16"/>
  <c r="E23" i="16"/>
  <c r="M22" i="16"/>
  <c r="M21" i="16"/>
  <c r="I20" i="16"/>
  <c r="O15" i="16"/>
  <c r="T36" i="16" s="1"/>
  <c r="N15" i="16"/>
  <c r="O36" i="16" s="1"/>
  <c r="S36" i="16" s="1"/>
  <c r="M7" i="16"/>
  <c r="M6" i="16"/>
  <c r="M5" i="16"/>
  <c r="B4" i="16"/>
  <c r="I167" i="15"/>
  <c r="H167" i="15"/>
  <c r="G167" i="15"/>
  <c r="F167" i="15"/>
  <c r="E166" i="15"/>
  <c r="G164" i="15"/>
  <c r="F164" i="15"/>
  <c r="E164" i="15"/>
  <c r="G163" i="15"/>
  <c r="F163" i="15"/>
  <c r="E163" i="15"/>
  <c r="G162" i="15"/>
  <c r="F162" i="15"/>
  <c r="E162" i="15"/>
  <c r="I161" i="15"/>
  <c r="H161" i="15"/>
  <c r="E161" i="15"/>
  <c r="B161" i="15"/>
  <c r="G160" i="15"/>
  <c r="F160" i="15"/>
  <c r="E160" i="15"/>
  <c r="B160" i="15"/>
  <c r="I159" i="15"/>
  <c r="H159" i="15"/>
  <c r="E159" i="15"/>
  <c r="B159" i="15"/>
  <c r="K158" i="15"/>
  <c r="J158" i="15"/>
  <c r="G158" i="15"/>
  <c r="F158" i="15"/>
  <c r="E158" i="15"/>
  <c r="B158" i="15"/>
  <c r="I157" i="15"/>
  <c r="H157" i="15"/>
  <c r="E157" i="15"/>
  <c r="B157" i="15"/>
  <c r="I155" i="15"/>
  <c r="H155" i="15"/>
  <c r="G155" i="15"/>
  <c r="F155" i="15"/>
  <c r="E155" i="15"/>
  <c r="C155" i="15"/>
  <c r="B155" i="15"/>
  <c r="I152" i="15"/>
  <c r="H152" i="15"/>
  <c r="G152" i="15"/>
  <c r="F152" i="15"/>
  <c r="E151" i="15"/>
  <c r="G149" i="15"/>
  <c r="F149" i="15"/>
  <c r="E149" i="15"/>
  <c r="G148" i="15"/>
  <c r="F148" i="15"/>
  <c r="E148" i="15"/>
  <c r="G147" i="15"/>
  <c r="F147" i="15"/>
  <c r="E147" i="15"/>
  <c r="I146" i="15"/>
  <c r="H146" i="15"/>
  <c r="E146" i="15"/>
  <c r="B146" i="15"/>
  <c r="G145" i="15"/>
  <c r="F145" i="15"/>
  <c r="E145" i="15"/>
  <c r="B145" i="15"/>
  <c r="I144" i="15"/>
  <c r="H144" i="15"/>
  <c r="E144" i="15"/>
  <c r="B144" i="15"/>
  <c r="K143" i="15"/>
  <c r="J143" i="15"/>
  <c r="G143" i="15"/>
  <c r="F143" i="15"/>
  <c r="E143" i="15"/>
  <c r="B143" i="15"/>
  <c r="I142" i="15"/>
  <c r="H142" i="15"/>
  <c r="E142" i="15"/>
  <c r="B142" i="15"/>
  <c r="I140" i="15"/>
  <c r="H140" i="15"/>
  <c r="G140" i="15"/>
  <c r="F140" i="15"/>
  <c r="E140" i="15"/>
  <c r="C140" i="15"/>
  <c r="B140" i="15"/>
  <c r="I137" i="15"/>
  <c r="H137" i="15"/>
  <c r="G137" i="15"/>
  <c r="F137" i="15"/>
  <c r="E136" i="15"/>
  <c r="G134" i="15"/>
  <c r="F134" i="15"/>
  <c r="E134" i="15"/>
  <c r="G133" i="15"/>
  <c r="F133" i="15"/>
  <c r="E133" i="15"/>
  <c r="G132" i="15"/>
  <c r="F132" i="15"/>
  <c r="E132" i="15"/>
  <c r="I131" i="15"/>
  <c r="H131" i="15"/>
  <c r="E131" i="15"/>
  <c r="B131" i="15"/>
  <c r="G130" i="15"/>
  <c r="F130" i="15"/>
  <c r="E130" i="15"/>
  <c r="B130" i="15"/>
  <c r="I129" i="15"/>
  <c r="H129" i="15"/>
  <c r="E129" i="15"/>
  <c r="B129" i="15"/>
  <c r="K128" i="15"/>
  <c r="J128" i="15"/>
  <c r="G128" i="15"/>
  <c r="F128" i="15"/>
  <c r="E128" i="15"/>
  <c r="B128" i="15"/>
  <c r="I127" i="15"/>
  <c r="H127" i="15"/>
  <c r="E127" i="15"/>
  <c r="B127" i="15"/>
  <c r="I125" i="15"/>
  <c r="H125" i="15"/>
  <c r="G125" i="15"/>
  <c r="F125" i="15"/>
  <c r="E125" i="15"/>
  <c r="C125" i="15"/>
  <c r="B125" i="15"/>
  <c r="I122" i="15"/>
  <c r="H122" i="15"/>
  <c r="G122" i="15"/>
  <c r="F122" i="15"/>
  <c r="E121" i="15"/>
  <c r="G119" i="15"/>
  <c r="F119" i="15"/>
  <c r="E119" i="15"/>
  <c r="G118" i="15"/>
  <c r="F118" i="15"/>
  <c r="E118" i="15"/>
  <c r="G117" i="15"/>
  <c r="F117" i="15"/>
  <c r="E117" i="15"/>
  <c r="I116" i="15"/>
  <c r="H116" i="15"/>
  <c r="E116" i="15"/>
  <c r="B116" i="15"/>
  <c r="G115" i="15"/>
  <c r="P10" i="15" s="1"/>
  <c r="F115" i="15"/>
  <c r="E115" i="15"/>
  <c r="B115" i="15"/>
  <c r="I114" i="15"/>
  <c r="H114" i="15"/>
  <c r="E114" i="15"/>
  <c r="B114" i="15"/>
  <c r="K113" i="15"/>
  <c r="J113" i="15"/>
  <c r="G113" i="15"/>
  <c r="F113" i="15"/>
  <c r="E113" i="15"/>
  <c r="B113" i="15"/>
  <c r="I112" i="15"/>
  <c r="H112" i="15"/>
  <c r="E112" i="15"/>
  <c r="B112" i="15"/>
  <c r="I110" i="15"/>
  <c r="H110" i="15"/>
  <c r="G110" i="15"/>
  <c r="F110" i="15"/>
  <c r="E110" i="15"/>
  <c r="C110" i="15"/>
  <c r="B110" i="15"/>
  <c r="I107" i="15"/>
  <c r="H107" i="15"/>
  <c r="G107" i="15"/>
  <c r="F107" i="15"/>
  <c r="E106" i="15"/>
  <c r="G104" i="15"/>
  <c r="F104" i="15"/>
  <c r="E104" i="15"/>
  <c r="G103" i="15"/>
  <c r="F103" i="15"/>
  <c r="E103" i="15"/>
  <c r="G102" i="15"/>
  <c r="F102" i="15"/>
  <c r="E102" i="15"/>
  <c r="I101" i="15"/>
  <c r="H101" i="15"/>
  <c r="E101" i="15"/>
  <c r="B101" i="15"/>
  <c r="G100" i="15"/>
  <c r="F100" i="15"/>
  <c r="E100" i="15"/>
  <c r="B100" i="15"/>
  <c r="I99" i="15"/>
  <c r="H99" i="15"/>
  <c r="E99" i="15"/>
  <c r="B99" i="15"/>
  <c r="K98" i="15"/>
  <c r="J98" i="15"/>
  <c r="G98" i="15"/>
  <c r="F98" i="15"/>
  <c r="E98" i="15"/>
  <c r="B98" i="15"/>
  <c r="I97" i="15"/>
  <c r="H97" i="15"/>
  <c r="E97" i="15"/>
  <c r="B97" i="15"/>
  <c r="I95" i="15"/>
  <c r="H95" i="15"/>
  <c r="G95" i="15"/>
  <c r="F95" i="15"/>
  <c r="E95" i="15"/>
  <c r="C95" i="15"/>
  <c r="B95" i="15"/>
  <c r="N93" i="15"/>
  <c r="T93" i="15" s="1"/>
  <c r="M93" i="15"/>
  <c r="N92" i="15"/>
  <c r="O92" i="15" s="1"/>
  <c r="M92" i="15"/>
  <c r="N91" i="15"/>
  <c r="S91" i="15" s="1"/>
  <c r="M91" i="15"/>
  <c r="I91" i="15"/>
  <c r="H91" i="15"/>
  <c r="G91" i="15"/>
  <c r="F91" i="15"/>
  <c r="E90" i="15"/>
  <c r="N89" i="15"/>
  <c r="T89" i="15" s="1"/>
  <c r="D245" i="5" s="1"/>
  <c r="M89" i="15"/>
  <c r="G88" i="15"/>
  <c r="F88" i="15"/>
  <c r="E88" i="15"/>
  <c r="N87" i="15"/>
  <c r="M87" i="15"/>
  <c r="G87" i="15"/>
  <c r="F87" i="15"/>
  <c r="E87" i="15"/>
  <c r="G86" i="15"/>
  <c r="F86" i="15"/>
  <c r="E86" i="15"/>
  <c r="N85" i="15"/>
  <c r="T85" i="15" s="1"/>
  <c r="D243" i="5" s="1"/>
  <c r="M85" i="15"/>
  <c r="K85" i="15"/>
  <c r="R89" i="15" s="1"/>
  <c r="I85" i="15"/>
  <c r="H85" i="15"/>
  <c r="E85" i="15"/>
  <c r="B85" i="15"/>
  <c r="G84" i="15"/>
  <c r="F84" i="15"/>
  <c r="E84" i="15"/>
  <c r="B84" i="15"/>
  <c r="N83" i="15"/>
  <c r="S83" i="15" s="1"/>
  <c r="D215" i="5" s="1"/>
  <c r="E215" i="5" s="1"/>
  <c r="M83" i="15"/>
  <c r="I83" i="15"/>
  <c r="H83" i="15"/>
  <c r="E83" i="15"/>
  <c r="B83" i="15"/>
  <c r="K82" i="15"/>
  <c r="J82" i="15"/>
  <c r="G82" i="15"/>
  <c r="F82" i="15"/>
  <c r="E82" i="15"/>
  <c r="B82" i="15"/>
  <c r="M81" i="15"/>
  <c r="I81" i="15"/>
  <c r="H81" i="15"/>
  <c r="E81" i="15"/>
  <c r="B81" i="15"/>
  <c r="M79" i="15"/>
  <c r="I79" i="15"/>
  <c r="H79" i="15"/>
  <c r="G79" i="15"/>
  <c r="F79" i="15"/>
  <c r="E79" i="15"/>
  <c r="C79" i="15"/>
  <c r="B79" i="15"/>
  <c r="M78" i="15"/>
  <c r="M77" i="15"/>
  <c r="I76" i="15"/>
  <c r="H76" i="15"/>
  <c r="G76" i="15"/>
  <c r="F76" i="15"/>
  <c r="M75" i="15"/>
  <c r="E75" i="15"/>
  <c r="N73" i="15"/>
  <c r="T73" i="15" s="1"/>
  <c r="D238" i="5" s="1"/>
  <c r="M73" i="15"/>
  <c r="G73" i="15"/>
  <c r="F73" i="15"/>
  <c r="E73" i="15"/>
  <c r="G72" i="15"/>
  <c r="F72" i="15"/>
  <c r="E72" i="15"/>
  <c r="N71" i="15"/>
  <c r="S71" i="15" s="1"/>
  <c r="D210" i="5" s="1"/>
  <c r="E210" i="5" s="1"/>
  <c r="M71" i="15"/>
  <c r="G71" i="15"/>
  <c r="F71" i="15"/>
  <c r="E71" i="15"/>
  <c r="I70" i="15"/>
  <c r="H70" i="15"/>
  <c r="E70" i="15"/>
  <c r="B70" i="15"/>
  <c r="N69" i="15"/>
  <c r="S69" i="15" s="1"/>
  <c r="D209" i="5" s="1"/>
  <c r="E209" i="5" s="1"/>
  <c r="M69" i="15"/>
  <c r="G69" i="15"/>
  <c r="F69" i="15"/>
  <c r="E69" i="15"/>
  <c r="B69" i="15"/>
  <c r="I68" i="15"/>
  <c r="H68" i="15"/>
  <c r="E68" i="15"/>
  <c r="B68" i="15"/>
  <c r="N67" i="15"/>
  <c r="S67" i="15" s="1"/>
  <c r="D208" i="5" s="1"/>
  <c r="E208" i="5" s="1"/>
  <c r="M67" i="15"/>
  <c r="K67" i="15"/>
  <c r="J67" i="15"/>
  <c r="G67" i="15"/>
  <c r="F67" i="15"/>
  <c r="E67" i="15"/>
  <c r="B67" i="15"/>
  <c r="I66" i="15"/>
  <c r="H66" i="15"/>
  <c r="E66" i="15"/>
  <c r="B66" i="15"/>
  <c r="M65" i="15"/>
  <c r="M64" i="15"/>
  <c r="I64" i="15"/>
  <c r="H64" i="15"/>
  <c r="G64" i="15"/>
  <c r="F64" i="15"/>
  <c r="E64" i="15"/>
  <c r="C64" i="15"/>
  <c r="B64" i="15"/>
  <c r="M62" i="15"/>
  <c r="I61" i="15"/>
  <c r="H61" i="15"/>
  <c r="G61" i="15"/>
  <c r="F61" i="15"/>
  <c r="M60" i="15"/>
  <c r="E60" i="15"/>
  <c r="N58" i="15"/>
  <c r="S58" i="15" s="1"/>
  <c r="D204" i="5" s="1"/>
  <c r="E204" i="5" s="1"/>
  <c r="M58" i="15"/>
  <c r="G58" i="15"/>
  <c r="F58" i="15"/>
  <c r="E58" i="15"/>
  <c r="G57" i="15"/>
  <c r="F57" i="15"/>
  <c r="E57" i="15"/>
  <c r="M56" i="15"/>
  <c r="G56" i="15"/>
  <c r="F56" i="15"/>
  <c r="E56" i="15"/>
  <c r="I55" i="15"/>
  <c r="H55" i="15"/>
  <c r="E55" i="15"/>
  <c r="B55" i="15"/>
  <c r="G54" i="15"/>
  <c r="F54" i="15"/>
  <c r="E54" i="15"/>
  <c r="B54" i="15"/>
  <c r="I53" i="15"/>
  <c r="H53" i="15"/>
  <c r="E53" i="15"/>
  <c r="B53" i="15"/>
  <c r="K52" i="15"/>
  <c r="J52" i="15"/>
  <c r="G52" i="15"/>
  <c r="F52" i="15"/>
  <c r="E52" i="15"/>
  <c r="B52" i="15"/>
  <c r="M51" i="15"/>
  <c r="I51" i="15"/>
  <c r="H51" i="15"/>
  <c r="E51" i="15"/>
  <c r="B51" i="15"/>
  <c r="M49" i="15"/>
  <c r="I49" i="15"/>
  <c r="H49" i="15"/>
  <c r="G49" i="15"/>
  <c r="F49" i="15"/>
  <c r="E49" i="15"/>
  <c r="C49" i="15"/>
  <c r="B49" i="15"/>
  <c r="M48" i="15"/>
  <c r="M47" i="15"/>
  <c r="I46" i="15"/>
  <c r="H46" i="15"/>
  <c r="G46" i="15"/>
  <c r="F46" i="15"/>
  <c r="M45" i="15"/>
  <c r="E45" i="15"/>
  <c r="M44" i="15"/>
  <c r="M43" i="15"/>
  <c r="G43" i="15"/>
  <c r="F43" i="15"/>
  <c r="E43" i="15"/>
  <c r="G42" i="15"/>
  <c r="F42" i="15"/>
  <c r="E42" i="15"/>
  <c r="M41" i="15"/>
  <c r="G41" i="15"/>
  <c r="F41" i="15"/>
  <c r="E41" i="15"/>
  <c r="M40" i="15"/>
  <c r="I40" i="15"/>
  <c r="H40" i="15"/>
  <c r="E40" i="15"/>
  <c r="B40" i="15"/>
  <c r="M39" i="15"/>
  <c r="G39" i="15"/>
  <c r="F39" i="15"/>
  <c r="E39" i="15"/>
  <c r="B39" i="15"/>
  <c r="I38" i="15"/>
  <c r="H38" i="15"/>
  <c r="E38" i="15"/>
  <c r="B38" i="15"/>
  <c r="K37" i="15"/>
  <c r="J37" i="15"/>
  <c r="G37" i="15"/>
  <c r="F37" i="15"/>
  <c r="E37" i="15"/>
  <c r="B37" i="15"/>
  <c r="I36" i="15"/>
  <c r="H36" i="15"/>
  <c r="E36" i="15"/>
  <c r="B36" i="15"/>
  <c r="I35" i="15"/>
  <c r="H35" i="15"/>
  <c r="G35" i="15"/>
  <c r="F35" i="15"/>
  <c r="E35" i="15"/>
  <c r="C35" i="15"/>
  <c r="B35" i="15"/>
  <c r="M30" i="15"/>
  <c r="M29" i="15"/>
  <c r="G29" i="15"/>
  <c r="F29" i="15"/>
  <c r="E29" i="15"/>
  <c r="M28" i="15"/>
  <c r="G28" i="15"/>
  <c r="F28" i="15"/>
  <c r="E28" i="15"/>
  <c r="G27" i="15"/>
  <c r="F27" i="15"/>
  <c r="E27" i="15"/>
  <c r="G25" i="15"/>
  <c r="F25" i="15"/>
  <c r="E25" i="15"/>
  <c r="I24" i="15"/>
  <c r="H24" i="15"/>
  <c r="M23" i="15"/>
  <c r="K23" i="15"/>
  <c r="J23" i="15"/>
  <c r="G23" i="15"/>
  <c r="F23" i="15"/>
  <c r="E23" i="15"/>
  <c r="M22" i="15"/>
  <c r="M21" i="15"/>
  <c r="I20" i="15"/>
  <c r="O15" i="15"/>
  <c r="T36" i="15" s="1"/>
  <c r="N15" i="15"/>
  <c r="O36" i="15" s="1"/>
  <c r="S36" i="15" s="1"/>
  <c r="M7" i="15"/>
  <c r="M6" i="15"/>
  <c r="M5" i="15"/>
  <c r="B4" i="15"/>
  <c r="I167" i="14"/>
  <c r="H167" i="14"/>
  <c r="G167" i="14"/>
  <c r="F167" i="14"/>
  <c r="E166" i="14"/>
  <c r="G164" i="14"/>
  <c r="F164" i="14"/>
  <c r="E164" i="14"/>
  <c r="G163" i="14"/>
  <c r="F163" i="14"/>
  <c r="E163" i="14"/>
  <c r="G162" i="14"/>
  <c r="F162" i="14"/>
  <c r="E162" i="14"/>
  <c r="I161" i="14"/>
  <c r="H161" i="14"/>
  <c r="E161" i="14"/>
  <c r="B161" i="14"/>
  <c r="G160" i="14"/>
  <c r="F160" i="14"/>
  <c r="E160" i="14"/>
  <c r="B160" i="14"/>
  <c r="I159" i="14"/>
  <c r="H159" i="14"/>
  <c r="E159" i="14"/>
  <c r="B159" i="14"/>
  <c r="K158" i="14"/>
  <c r="J158" i="14"/>
  <c r="G158" i="14"/>
  <c r="F158" i="14"/>
  <c r="E158" i="14"/>
  <c r="B158" i="14"/>
  <c r="I157" i="14"/>
  <c r="H157" i="14"/>
  <c r="E157" i="14"/>
  <c r="B157" i="14"/>
  <c r="I155" i="14"/>
  <c r="H155" i="14"/>
  <c r="G155" i="14"/>
  <c r="F155" i="14"/>
  <c r="E155" i="14"/>
  <c r="C155" i="14"/>
  <c r="B155" i="14"/>
  <c r="I152" i="14"/>
  <c r="H152" i="14"/>
  <c r="G152" i="14"/>
  <c r="F152" i="14"/>
  <c r="E151" i="14"/>
  <c r="G149" i="14"/>
  <c r="F149" i="14"/>
  <c r="E149" i="14"/>
  <c r="G148" i="14"/>
  <c r="F148" i="14"/>
  <c r="E148" i="14"/>
  <c r="G147" i="14"/>
  <c r="F147" i="14"/>
  <c r="E147" i="14"/>
  <c r="I146" i="14"/>
  <c r="H146" i="14"/>
  <c r="E146" i="14"/>
  <c r="B146" i="14"/>
  <c r="G145" i="14"/>
  <c r="F145" i="14"/>
  <c r="E145" i="14"/>
  <c r="B145" i="14"/>
  <c r="I144" i="14"/>
  <c r="H144" i="14"/>
  <c r="E144" i="14"/>
  <c r="B144" i="14"/>
  <c r="K143" i="14"/>
  <c r="J143" i="14"/>
  <c r="G143" i="14"/>
  <c r="F143" i="14"/>
  <c r="E143" i="14"/>
  <c r="B143" i="14"/>
  <c r="I142" i="14"/>
  <c r="H142" i="14"/>
  <c r="E142" i="14"/>
  <c r="B142" i="14"/>
  <c r="I140" i="14"/>
  <c r="H140" i="14"/>
  <c r="G140" i="14"/>
  <c r="F140" i="14"/>
  <c r="E140" i="14"/>
  <c r="C140" i="14"/>
  <c r="B140" i="14"/>
  <c r="I137" i="14"/>
  <c r="H137" i="14"/>
  <c r="G137" i="14"/>
  <c r="F137" i="14"/>
  <c r="E136" i="14"/>
  <c r="G134" i="14"/>
  <c r="F134" i="14"/>
  <c r="E134" i="14"/>
  <c r="G133" i="14"/>
  <c r="F133" i="14"/>
  <c r="E133" i="14"/>
  <c r="G132" i="14"/>
  <c r="F132" i="14"/>
  <c r="E132" i="14"/>
  <c r="I131" i="14"/>
  <c r="H131" i="14"/>
  <c r="E131" i="14"/>
  <c r="B131" i="14"/>
  <c r="G130" i="14"/>
  <c r="F130" i="14"/>
  <c r="E130" i="14"/>
  <c r="B130" i="14"/>
  <c r="I129" i="14"/>
  <c r="H129" i="14"/>
  <c r="E129" i="14"/>
  <c r="B129" i="14"/>
  <c r="K128" i="14"/>
  <c r="J128" i="14"/>
  <c r="G128" i="14"/>
  <c r="F128" i="14"/>
  <c r="E128" i="14"/>
  <c r="B128" i="14"/>
  <c r="I127" i="14"/>
  <c r="H127" i="14"/>
  <c r="E127" i="14"/>
  <c r="B127" i="14"/>
  <c r="I125" i="14"/>
  <c r="H125" i="14"/>
  <c r="G125" i="14"/>
  <c r="F125" i="14"/>
  <c r="E125" i="14"/>
  <c r="C125" i="14"/>
  <c r="B125" i="14"/>
  <c r="I122" i="14"/>
  <c r="H122" i="14"/>
  <c r="G122" i="14"/>
  <c r="F122" i="14"/>
  <c r="E121" i="14"/>
  <c r="G119" i="14"/>
  <c r="F119" i="14"/>
  <c r="E119" i="14"/>
  <c r="G118" i="14"/>
  <c r="F118" i="14"/>
  <c r="E118" i="14"/>
  <c r="G117" i="14"/>
  <c r="F117" i="14"/>
  <c r="E117" i="14"/>
  <c r="I116" i="14"/>
  <c r="H116" i="14"/>
  <c r="E116" i="14"/>
  <c r="B116" i="14"/>
  <c r="G115" i="14"/>
  <c r="F115" i="14"/>
  <c r="E115" i="14"/>
  <c r="B115" i="14"/>
  <c r="I114" i="14"/>
  <c r="H114" i="14"/>
  <c r="E114" i="14"/>
  <c r="B114" i="14"/>
  <c r="K113" i="14"/>
  <c r="J113" i="14"/>
  <c r="G113" i="14"/>
  <c r="F113" i="14"/>
  <c r="E113" i="14"/>
  <c r="B113" i="14"/>
  <c r="I112" i="14"/>
  <c r="H112" i="14"/>
  <c r="E112" i="14"/>
  <c r="B112" i="14"/>
  <c r="I110" i="14"/>
  <c r="H110" i="14"/>
  <c r="G110" i="14"/>
  <c r="F110" i="14"/>
  <c r="E110" i="14"/>
  <c r="C110" i="14"/>
  <c r="B110" i="14"/>
  <c r="I107" i="14"/>
  <c r="H107" i="14"/>
  <c r="G107" i="14"/>
  <c r="F107" i="14"/>
  <c r="E106" i="14"/>
  <c r="G104" i="14"/>
  <c r="F104" i="14"/>
  <c r="E104" i="14"/>
  <c r="G103" i="14"/>
  <c r="F103" i="14"/>
  <c r="E103" i="14"/>
  <c r="G102" i="14"/>
  <c r="F102" i="14"/>
  <c r="E102" i="14"/>
  <c r="I101" i="14"/>
  <c r="H101" i="14"/>
  <c r="E101" i="14"/>
  <c r="B101" i="14"/>
  <c r="G100" i="14"/>
  <c r="F100" i="14"/>
  <c r="E100" i="14"/>
  <c r="B100" i="14"/>
  <c r="I99" i="14"/>
  <c r="H99" i="14"/>
  <c r="E99" i="14"/>
  <c r="B99" i="14"/>
  <c r="K98" i="14"/>
  <c r="J98" i="14"/>
  <c r="G98" i="14"/>
  <c r="F98" i="14"/>
  <c r="E98" i="14"/>
  <c r="B98" i="14"/>
  <c r="I97" i="14"/>
  <c r="H97" i="14"/>
  <c r="E97" i="14"/>
  <c r="B97" i="14"/>
  <c r="I95" i="14"/>
  <c r="H95" i="14"/>
  <c r="G95" i="14"/>
  <c r="F95" i="14"/>
  <c r="E95" i="14"/>
  <c r="C95" i="14"/>
  <c r="B95" i="14"/>
  <c r="N93" i="14"/>
  <c r="T93" i="14" s="1"/>
  <c r="M93" i="14"/>
  <c r="N92" i="14"/>
  <c r="T92" i="14" s="1"/>
  <c r="M92" i="14"/>
  <c r="N91" i="14"/>
  <c r="T91" i="14" s="1"/>
  <c r="M91" i="14"/>
  <c r="I91" i="14"/>
  <c r="H91" i="14"/>
  <c r="G91" i="14"/>
  <c r="F91" i="14"/>
  <c r="E90" i="14"/>
  <c r="N89" i="14"/>
  <c r="S89" i="14" s="1"/>
  <c r="J164" i="5" s="1"/>
  <c r="K164" i="5" s="1"/>
  <c r="M89" i="14"/>
  <c r="G88" i="14"/>
  <c r="F88" i="14"/>
  <c r="E88" i="14"/>
  <c r="N87" i="14"/>
  <c r="S87" i="14" s="1"/>
  <c r="J163" i="5" s="1"/>
  <c r="K163" i="5" s="1"/>
  <c r="M87" i="14"/>
  <c r="G87" i="14"/>
  <c r="F87" i="14"/>
  <c r="E87" i="14"/>
  <c r="G86" i="14"/>
  <c r="F86" i="14"/>
  <c r="E86" i="14"/>
  <c r="N85" i="14"/>
  <c r="T85" i="14" s="1"/>
  <c r="J189" i="5" s="1"/>
  <c r="M85" i="14"/>
  <c r="K85" i="14"/>
  <c r="R91" i="14" s="1"/>
  <c r="I85" i="14"/>
  <c r="H85" i="14"/>
  <c r="E85" i="14"/>
  <c r="B85" i="14"/>
  <c r="G84" i="14"/>
  <c r="F84" i="14"/>
  <c r="E84" i="14"/>
  <c r="B84" i="14"/>
  <c r="N83" i="14"/>
  <c r="S83" i="14" s="1"/>
  <c r="J161" i="5" s="1"/>
  <c r="K161" i="5" s="1"/>
  <c r="M83" i="14"/>
  <c r="I83" i="14"/>
  <c r="H83" i="14"/>
  <c r="E83" i="14"/>
  <c r="B83" i="14"/>
  <c r="K82" i="14"/>
  <c r="J82" i="14"/>
  <c r="G82" i="14"/>
  <c r="F82" i="14"/>
  <c r="E82" i="14"/>
  <c r="B82" i="14"/>
  <c r="M81" i="14"/>
  <c r="I81" i="14"/>
  <c r="H81" i="14"/>
  <c r="E81" i="14"/>
  <c r="B81" i="14"/>
  <c r="M79" i="14"/>
  <c r="I79" i="14"/>
  <c r="H79" i="14"/>
  <c r="G79" i="14"/>
  <c r="F79" i="14"/>
  <c r="E79" i="14"/>
  <c r="C79" i="14"/>
  <c r="B79" i="14"/>
  <c r="M78" i="14"/>
  <c r="M77" i="14"/>
  <c r="I76" i="14"/>
  <c r="H76" i="14"/>
  <c r="G76" i="14"/>
  <c r="F76" i="14"/>
  <c r="M75" i="14"/>
  <c r="E75" i="14"/>
  <c r="N73" i="14"/>
  <c r="T73" i="14" s="1"/>
  <c r="J184" i="5" s="1"/>
  <c r="M73" i="14"/>
  <c r="G73" i="14"/>
  <c r="F73" i="14"/>
  <c r="E73" i="14"/>
  <c r="G72" i="14"/>
  <c r="F72" i="14"/>
  <c r="E72" i="14"/>
  <c r="N71" i="14"/>
  <c r="M71" i="14"/>
  <c r="G71" i="14"/>
  <c r="F71" i="14"/>
  <c r="E71" i="14"/>
  <c r="I70" i="14"/>
  <c r="H70" i="14"/>
  <c r="E70" i="14"/>
  <c r="B70" i="14"/>
  <c r="N69" i="14"/>
  <c r="S69" i="14" s="1"/>
  <c r="J155" i="5" s="1"/>
  <c r="K155" i="5" s="1"/>
  <c r="M69" i="14"/>
  <c r="G69" i="14"/>
  <c r="F69" i="14"/>
  <c r="E69" i="14"/>
  <c r="B69" i="14"/>
  <c r="I68" i="14"/>
  <c r="H68" i="14"/>
  <c r="E68" i="14"/>
  <c r="B68" i="14"/>
  <c r="N67" i="14"/>
  <c r="S67" i="14" s="1"/>
  <c r="J154" i="5" s="1"/>
  <c r="K154" i="5" s="1"/>
  <c r="M67" i="14"/>
  <c r="K67" i="14"/>
  <c r="J67" i="14"/>
  <c r="G67" i="14"/>
  <c r="F67" i="14"/>
  <c r="E67" i="14"/>
  <c r="B67" i="14"/>
  <c r="I66" i="14"/>
  <c r="H66" i="14"/>
  <c r="E66" i="14"/>
  <c r="B66" i="14"/>
  <c r="M65" i="14"/>
  <c r="M64" i="14"/>
  <c r="I64" i="14"/>
  <c r="H64" i="14"/>
  <c r="G64" i="14"/>
  <c r="F64" i="14"/>
  <c r="E64" i="14"/>
  <c r="C64" i="14"/>
  <c r="B64" i="14"/>
  <c r="M62" i="14"/>
  <c r="I61" i="14"/>
  <c r="H61" i="14"/>
  <c r="G61" i="14"/>
  <c r="F61" i="14"/>
  <c r="M60" i="14"/>
  <c r="E60" i="14"/>
  <c r="N58" i="14"/>
  <c r="S58" i="14" s="1"/>
  <c r="J150" i="5" s="1"/>
  <c r="K150" i="5" s="1"/>
  <c r="M58" i="14"/>
  <c r="G58" i="14"/>
  <c r="F58" i="14"/>
  <c r="E58" i="14"/>
  <c r="G57" i="14"/>
  <c r="F57" i="14"/>
  <c r="E57" i="14"/>
  <c r="M56" i="14"/>
  <c r="G56" i="14"/>
  <c r="F56" i="14"/>
  <c r="E56" i="14"/>
  <c r="I55" i="14"/>
  <c r="H55" i="14"/>
  <c r="E55" i="14"/>
  <c r="B55" i="14"/>
  <c r="G54" i="14"/>
  <c r="F54" i="14"/>
  <c r="E54" i="14"/>
  <c r="B54" i="14"/>
  <c r="I53" i="14"/>
  <c r="H53" i="14"/>
  <c r="E53" i="14"/>
  <c r="B53" i="14"/>
  <c r="K52" i="14"/>
  <c r="J52" i="14"/>
  <c r="G52" i="14"/>
  <c r="F52" i="14"/>
  <c r="E52" i="14"/>
  <c r="B52" i="14"/>
  <c r="M51" i="14"/>
  <c r="I51" i="14"/>
  <c r="H51" i="14"/>
  <c r="E51" i="14"/>
  <c r="B51" i="14"/>
  <c r="M49" i="14"/>
  <c r="I49" i="14"/>
  <c r="H49" i="14"/>
  <c r="G49" i="14"/>
  <c r="F49" i="14"/>
  <c r="E49" i="14"/>
  <c r="C49" i="14"/>
  <c r="B49" i="14"/>
  <c r="M48" i="14"/>
  <c r="M47" i="14"/>
  <c r="I46" i="14"/>
  <c r="H46" i="14"/>
  <c r="G46" i="14"/>
  <c r="F46" i="14"/>
  <c r="M45" i="14"/>
  <c r="E45" i="14"/>
  <c r="M44" i="14"/>
  <c r="M43" i="14"/>
  <c r="G43" i="14"/>
  <c r="F43" i="14"/>
  <c r="E43" i="14"/>
  <c r="G42" i="14"/>
  <c r="F42" i="14"/>
  <c r="E42" i="14"/>
  <c r="M41" i="14"/>
  <c r="G41" i="14"/>
  <c r="F41" i="14"/>
  <c r="E41" i="14"/>
  <c r="M40" i="14"/>
  <c r="I40" i="14"/>
  <c r="H40" i="14"/>
  <c r="E40" i="14"/>
  <c r="B40" i="14"/>
  <c r="M39" i="14"/>
  <c r="G39" i="14"/>
  <c r="F39" i="14"/>
  <c r="E39" i="14"/>
  <c r="B39" i="14"/>
  <c r="I38" i="14"/>
  <c r="H38" i="14"/>
  <c r="E38" i="14"/>
  <c r="B38" i="14"/>
  <c r="K37" i="14"/>
  <c r="J37" i="14"/>
  <c r="G37" i="14"/>
  <c r="F37" i="14"/>
  <c r="E37" i="14"/>
  <c r="B37" i="14"/>
  <c r="I36" i="14"/>
  <c r="H36" i="14"/>
  <c r="E36" i="14"/>
  <c r="B36" i="14"/>
  <c r="I35" i="14"/>
  <c r="H35" i="14"/>
  <c r="G35" i="14"/>
  <c r="F35" i="14"/>
  <c r="E35" i="14"/>
  <c r="C35" i="14"/>
  <c r="B35" i="14"/>
  <c r="M30" i="14"/>
  <c r="M29" i="14"/>
  <c r="G29" i="14"/>
  <c r="F29" i="14"/>
  <c r="E29" i="14"/>
  <c r="M28" i="14"/>
  <c r="G28" i="14"/>
  <c r="F28" i="14"/>
  <c r="E28" i="14"/>
  <c r="G27" i="14"/>
  <c r="F27" i="14"/>
  <c r="E27" i="14"/>
  <c r="G25" i="14"/>
  <c r="F25" i="14"/>
  <c r="E25" i="14"/>
  <c r="I24" i="14"/>
  <c r="H24" i="14"/>
  <c r="M23" i="14"/>
  <c r="K23" i="14"/>
  <c r="J23" i="14"/>
  <c r="G23" i="14"/>
  <c r="F23" i="14"/>
  <c r="E23" i="14"/>
  <c r="M22" i="14"/>
  <c r="M21" i="14"/>
  <c r="I20" i="14"/>
  <c r="O15" i="14"/>
  <c r="T36" i="14" s="1"/>
  <c r="N15" i="14"/>
  <c r="O36" i="14" s="1"/>
  <c r="Q36" i="14" s="1"/>
  <c r="M7" i="14"/>
  <c r="M6" i="14"/>
  <c r="M5" i="14"/>
  <c r="B4" i="14"/>
  <c r="I167" i="13"/>
  <c r="H167" i="13"/>
  <c r="G167" i="13"/>
  <c r="F167" i="13"/>
  <c r="E166" i="13"/>
  <c r="G164" i="13"/>
  <c r="F164" i="13"/>
  <c r="E164" i="13"/>
  <c r="G163" i="13"/>
  <c r="F163" i="13"/>
  <c r="E163" i="13"/>
  <c r="G162" i="13"/>
  <c r="F162" i="13"/>
  <c r="E162" i="13"/>
  <c r="I161" i="13"/>
  <c r="H161" i="13"/>
  <c r="E161" i="13"/>
  <c r="B161" i="13"/>
  <c r="G160" i="13"/>
  <c r="F160" i="13"/>
  <c r="E160" i="13"/>
  <c r="B160" i="13"/>
  <c r="I159" i="13"/>
  <c r="H159" i="13"/>
  <c r="E159" i="13"/>
  <c r="B159" i="13"/>
  <c r="K158" i="13"/>
  <c r="J158" i="13"/>
  <c r="G158" i="13"/>
  <c r="F158" i="13"/>
  <c r="E158" i="13"/>
  <c r="B158" i="13"/>
  <c r="I157" i="13"/>
  <c r="H157" i="13"/>
  <c r="E157" i="13"/>
  <c r="B157" i="13"/>
  <c r="I155" i="13"/>
  <c r="H155" i="13"/>
  <c r="G155" i="13"/>
  <c r="F155" i="13"/>
  <c r="E155" i="13"/>
  <c r="C155" i="13"/>
  <c r="B155" i="13"/>
  <c r="I152" i="13"/>
  <c r="H152" i="13"/>
  <c r="G152" i="13"/>
  <c r="F152" i="13"/>
  <c r="E151" i="13"/>
  <c r="G149" i="13"/>
  <c r="F149" i="13"/>
  <c r="E149" i="13"/>
  <c r="G148" i="13"/>
  <c r="F148" i="13"/>
  <c r="E148" i="13"/>
  <c r="G147" i="13"/>
  <c r="F147" i="13"/>
  <c r="E147" i="13"/>
  <c r="I146" i="13"/>
  <c r="H146" i="13"/>
  <c r="E146" i="13"/>
  <c r="B146" i="13"/>
  <c r="G145" i="13"/>
  <c r="F145" i="13"/>
  <c r="E145" i="13"/>
  <c r="B145" i="13"/>
  <c r="I144" i="13"/>
  <c r="H144" i="13"/>
  <c r="E144" i="13"/>
  <c r="B144" i="13"/>
  <c r="K143" i="13"/>
  <c r="J143" i="13"/>
  <c r="G143" i="13"/>
  <c r="F143" i="13"/>
  <c r="E143" i="13"/>
  <c r="B143" i="13"/>
  <c r="I142" i="13"/>
  <c r="H142" i="13"/>
  <c r="E142" i="13"/>
  <c r="B142" i="13"/>
  <c r="I140" i="13"/>
  <c r="H140" i="13"/>
  <c r="G140" i="13"/>
  <c r="F140" i="13"/>
  <c r="E140" i="13"/>
  <c r="C140" i="13"/>
  <c r="B140" i="13"/>
  <c r="I137" i="13"/>
  <c r="H137" i="13"/>
  <c r="G137" i="13"/>
  <c r="F137" i="13"/>
  <c r="E136" i="13"/>
  <c r="G134" i="13"/>
  <c r="F134" i="13"/>
  <c r="E134" i="13"/>
  <c r="G133" i="13"/>
  <c r="F133" i="13"/>
  <c r="E133" i="13"/>
  <c r="G132" i="13"/>
  <c r="F132" i="13"/>
  <c r="E132" i="13"/>
  <c r="I131" i="13"/>
  <c r="H131" i="13"/>
  <c r="E131" i="13"/>
  <c r="B131" i="13"/>
  <c r="G130" i="13"/>
  <c r="F130" i="13"/>
  <c r="E130" i="13"/>
  <c r="B130" i="13"/>
  <c r="I129" i="13"/>
  <c r="H129" i="13"/>
  <c r="E129" i="13"/>
  <c r="B129" i="13"/>
  <c r="K128" i="13"/>
  <c r="J128" i="13"/>
  <c r="G128" i="13"/>
  <c r="F128" i="13"/>
  <c r="E128" i="13"/>
  <c r="B128" i="13"/>
  <c r="I127" i="13"/>
  <c r="H127" i="13"/>
  <c r="E127" i="13"/>
  <c r="B127" i="13"/>
  <c r="I125" i="13"/>
  <c r="H125" i="13"/>
  <c r="G125" i="13"/>
  <c r="F125" i="13"/>
  <c r="E125" i="13"/>
  <c r="C125" i="13"/>
  <c r="B125" i="13"/>
  <c r="I122" i="13"/>
  <c r="H122" i="13"/>
  <c r="G122" i="13"/>
  <c r="F122" i="13"/>
  <c r="E121" i="13"/>
  <c r="G119" i="13"/>
  <c r="F119" i="13"/>
  <c r="E119" i="13"/>
  <c r="G118" i="13"/>
  <c r="F118" i="13"/>
  <c r="E118" i="13"/>
  <c r="G117" i="13"/>
  <c r="F117" i="13"/>
  <c r="E117" i="13"/>
  <c r="I116" i="13"/>
  <c r="H116" i="13"/>
  <c r="E116" i="13"/>
  <c r="B116" i="13"/>
  <c r="G115" i="13"/>
  <c r="F115" i="13"/>
  <c r="E115" i="13"/>
  <c r="B115" i="13"/>
  <c r="I114" i="13"/>
  <c r="H114" i="13"/>
  <c r="E114" i="13"/>
  <c r="B114" i="13"/>
  <c r="K113" i="13"/>
  <c r="J113" i="13"/>
  <c r="G113" i="13"/>
  <c r="F113" i="13"/>
  <c r="E113" i="13"/>
  <c r="B113" i="13"/>
  <c r="I112" i="13"/>
  <c r="H112" i="13"/>
  <c r="E112" i="13"/>
  <c r="B112" i="13"/>
  <c r="I110" i="13"/>
  <c r="H110" i="13"/>
  <c r="G110" i="13"/>
  <c r="F110" i="13"/>
  <c r="E110" i="13"/>
  <c r="C110" i="13"/>
  <c r="B110" i="13"/>
  <c r="I107" i="13"/>
  <c r="H107" i="13"/>
  <c r="G107" i="13"/>
  <c r="F107" i="13"/>
  <c r="E106" i="13"/>
  <c r="G104" i="13"/>
  <c r="F104" i="13"/>
  <c r="E104" i="13"/>
  <c r="G103" i="13"/>
  <c r="F103" i="13"/>
  <c r="E103" i="13"/>
  <c r="G102" i="13"/>
  <c r="F102" i="13"/>
  <c r="E102" i="13"/>
  <c r="I101" i="13"/>
  <c r="H101" i="13"/>
  <c r="E101" i="13"/>
  <c r="B101" i="13"/>
  <c r="G100" i="13"/>
  <c r="F100" i="13"/>
  <c r="E100" i="13"/>
  <c r="B100" i="13"/>
  <c r="I99" i="13"/>
  <c r="H99" i="13"/>
  <c r="E99" i="13"/>
  <c r="B99" i="13"/>
  <c r="K98" i="13"/>
  <c r="J98" i="13"/>
  <c r="G98" i="13"/>
  <c r="F98" i="13"/>
  <c r="E98" i="13"/>
  <c r="B98" i="13"/>
  <c r="I97" i="13"/>
  <c r="H97" i="13"/>
  <c r="E97" i="13"/>
  <c r="B97" i="13"/>
  <c r="I95" i="13"/>
  <c r="H95" i="13"/>
  <c r="G95" i="13"/>
  <c r="F95" i="13"/>
  <c r="E95" i="13"/>
  <c r="C95" i="13"/>
  <c r="B95" i="13"/>
  <c r="N93" i="13"/>
  <c r="T93" i="13" s="1"/>
  <c r="M93" i="13"/>
  <c r="N92" i="13"/>
  <c r="T92" i="13" s="1"/>
  <c r="M92" i="13"/>
  <c r="N91" i="13"/>
  <c r="T91" i="13" s="1"/>
  <c r="M91" i="13"/>
  <c r="I91" i="13"/>
  <c r="H91" i="13"/>
  <c r="G91" i="13"/>
  <c r="F91" i="13"/>
  <c r="E90" i="13"/>
  <c r="N89" i="13"/>
  <c r="S89" i="13" s="1"/>
  <c r="D164" i="5" s="1"/>
  <c r="E164" i="5" s="1"/>
  <c r="M89" i="13"/>
  <c r="G88" i="13"/>
  <c r="F88" i="13"/>
  <c r="E88" i="13"/>
  <c r="N87" i="13"/>
  <c r="S87" i="13" s="1"/>
  <c r="D163" i="5" s="1"/>
  <c r="E163" i="5" s="1"/>
  <c r="M87" i="13"/>
  <c r="G87" i="13"/>
  <c r="F87" i="13"/>
  <c r="E87" i="13"/>
  <c r="G86" i="13"/>
  <c r="F86" i="13"/>
  <c r="E86" i="13"/>
  <c r="N85" i="13"/>
  <c r="T85" i="13" s="1"/>
  <c r="D189" i="5" s="1"/>
  <c r="M85" i="13"/>
  <c r="K85" i="13"/>
  <c r="R93" i="13" s="1"/>
  <c r="I85" i="13"/>
  <c r="H85" i="13"/>
  <c r="E85" i="13"/>
  <c r="B85" i="13"/>
  <c r="G84" i="13"/>
  <c r="F84" i="13"/>
  <c r="E84" i="13"/>
  <c r="B84" i="13"/>
  <c r="N83" i="13"/>
  <c r="S83" i="13" s="1"/>
  <c r="D161" i="5" s="1"/>
  <c r="E161" i="5" s="1"/>
  <c r="M83" i="13"/>
  <c r="I83" i="13"/>
  <c r="H83" i="13"/>
  <c r="E83" i="13"/>
  <c r="B83" i="13"/>
  <c r="K82" i="13"/>
  <c r="J82" i="13"/>
  <c r="G82" i="13"/>
  <c r="F82" i="13"/>
  <c r="E82" i="13"/>
  <c r="B82" i="13"/>
  <c r="M81" i="13"/>
  <c r="I81" i="13"/>
  <c r="H81" i="13"/>
  <c r="E81" i="13"/>
  <c r="B81" i="13"/>
  <c r="M79" i="13"/>
  <c r="I79" i="13"/>
  <c r="H79" i="13"/>
  <c r="G79" i="13"/>
  <c r="F79" i="13"/>
  <c r="E79" i="13"/>
  <c r="C79" i="13"/>
  <c r="B79" i="13"/>
  <c r="M78" i="13"/>
  <c r="M77" i="13"/>
  <c r="I76" i="13"/>
  <c r="H76" i="13"/>
  <c r="G76" i="13"/>
  <c r="F76" i="13"/>
  <c r="M75" i="13"/>
  <c r="E75" i="13"/>
  <c r="N73" i="13"/>
  <c r="T73" i="13" s="1"/>
  <c r="D184" i="5" s="1"/>
  <c r="M73" i="13"/>
  <c r="G73" i="13"/>
  <c r="F73" i="13"/>
  <c r="E73" i="13"/>
  <c r="G72" i="13"/>
  <c r="F72" i="13"/>
  <c r="E72" i="13"/>
  <c r="N71" i="13"/>
  <c r="M71" i="13"/>
  <c r="G71" i="13"/>
  <c r="F71" i="13"/>
  <c r="E71" i="13"/>
  <c r="I70" i="13"/>
  <c r="H70" i="13"/>
  <c r="E70" i="13"/>
  <c r="B70" i="13"/>
  <c r="N69" i="13"/>
  <c r="S69" i="13" s="1"/>
  <c r="D155" i="5" s="1"/>
  <c r="E155" i="5" s="1"/>
  <c r="M69" i="13"/>
  <c r="G69" i="13"/>
  <c r="F69" i="13"/>
  <c r="E69" i="13"/>
  <c r="B69" i="13"/>
  <c r="I68" i="13"/>
  <c r="H68" i="13"/>
  <c r="E68" i="13"/>
  <c r="B68" i="13"/>
  <c r="N67" i="13"/>
  <c r="S67" i="13" s="1"/>
  <c r="D154" i="5" s="1"/>
  <c r="E154" i="5" s="1"/>
  <c r="M67" i="13"/>
  <c r="K67" i="13"/>
  <c r="J67" i="13"/>
  <c r="G67" i="13"/>
  <c r="F67" i="13"/>
  <c r="E67" i="13"/>
  <c r="B67" i="13"/>
  <c r="I66" i="13"/>
  <c r="H66" i="13"/>
  <c r="E66" i="13"/>
  <c r="B66" i="13"/>
  <c r="M65" i="13"/>
  <c r="M64" i="13"/>
  <c r="I64" i="13"/>
  <c r="H64" i="13"/>
  <c r="G64" i="13"/>
  <c r="F64" i="13"/>
  <c r="E64" i="13"/>
  <c r="C64" i="13"/>
  <c r="B64" i="13"/>
  <c r="M62" i="13"/>
  <c r="I61" i="13"/>
  <c r="H61" i="13"/>
  <c r="G61" i="13"/>
  <c r="F61" i="13"/>
  <c r="M60" i="13"/>
  <c r="E60" i="13"/>
  <c r="N58" i="13"/>
  <c r="S58" i="13" s="1"/>
  <c r="D150" i="5" s="1"/>
  <c r="E150" i="5" s="1"/>
  <c r="M58" i="13"/>
  <c r="G58" i="13"/>
  <c r="F58" i="13"/>
  <c r="E58" i="13"/>
  <c r="G57" i="13"/>
  <c r="F57" i="13"/>
  <c r="E57" i="13"/>
  <c r="M56" i="13"/>
  <c r="G56" i="13"/>
  <c r="F56" i="13"/>
  <c r="E56" i="13"/>
  <c r="I55" i="13"/>
  <c r="H55" i="13"/>
  <c r="E55" i="13"/>
  <c r="B55" i="13"/>
  <c r="G54" i="13"/>
  <c r="F54" i="13"/>
  <c r="E54" i="13"/>
  <c r="B54" i="13"/>
  <c r="I53" i="13"/>
  <c r="H53" i="13"/>
  <c r="E53" i="13"/>
  <c r="B53" i="13"/>
  <c r="K52" i="13"/>
  <c r="J52" i="13"/>
  <c r="G52" i="13"/>
  <c r="F52" i="13"/>
  <c r="E52" i="13"/>
  <c r="B52" i="13"/>
  <c r="M51" i="13"/>
  <c r="I51" i="13"/>
  <c r="H51" i="13"/>
  <c r="E51" i="13"/>
  <c r="B51" i="13"/>
  <c r="M49" i="13"/>
  <c r="I49" i="13"/>
  <c r="H49" i="13"/>
  <c r="G49" i="13"/>
  <c r="F49" i="13"/>
  <c r="E49" i="13"/>
  <c r="C49" i="13"/>
  <c r="B49" i="13"/>
  <c r="M48" i="13"/>
  <c r="M47" i="13"/>
  <c r="I46" i="13"/>
  <c r="H46" i="13"/>
  <c r="G46" i="13"/>
  <c r="F46" i="13"/>
  <c r="M45" i="13"/>
  <c r="E45" i="13"/>
  <c r="M44" i="13"/>
  <c r="M43" i="13"/>
  <c r="G43" i="13"/>
  <c r="F43" i="13"/>
  <c r="E43" i="13"/>
  <c r="G42" i="13"/>
  <c r="F42" i="13"/>
  <c r="E42" i="13"/>
  <c r="M41" i="13"/>
  <c r="G41" i="13"/>
  <c r="F41" i="13"/>
  <c r="E41" i="13"/>
  <c r="M40" i="13"/>
  <c r="I40" i="13"/>
  <c r="H40" i="13"/>
  <c r="E40" i="13"/>
  <c r="B40" i="13"/>
  <c r="M39" i="13"/>
  <c r="G39" i="13"/>
  <c r="F39" i="13"/>
  <c r="E39" i="13"/>
  <c r="B39" i="13"/>
  <c r="I38" i="13"/>
  <c r="H38" i="13"/>
  <c r="E38" i="13"/>
  <c r="B38" i="13"/>
  <c r="K37" i="13"/>
  <c r="J37" i="13"/>
  <c r="G37" i="13"/>
  <c r="F37" i="13"/>
  <c r="E37" i="13"/>
  <c r="B37" i="13"/>
  <c r="I36" i="13"/>
  <c r="H36" i="13"/>
  <c r="E36" i="13"/>
  <c r="B36" i="13"/>
  <c r="I35" i="13"/>
  <c r="H35" i="13"/>
  <c r="G35" i="13"/>
  <c r="F35" i="13"/>
  <c r="E35" i="13"/>
  <c r="C35" i="13"/>
  <c r="B35" i="13"/>
  <c r="M30" i="13"/>
  <c r="M29" i="13"/>
  <c r="G29" i="13"/>
  <c r="F29" i="13"/>
  <c r="E29" i="13"/>
  <c r="M28" i="13"/>
  <c r="G28" i="13"/>
  <c r="F28" i="13"/>
  <c r="E28" i="13"/>
  <c r="G27" i="13"/>
  <c r="F27" i="13"/>
  <c r="E27" i="13"/>
  <c r="G25" i="13"/>
  <c r="F25" i="13"/>
  <c r="E25" i="13"/>
  <c r="I24" i="13"/>
  <c r="H24" i="13"/>
  <c r="M23" i="13"/>
  <c r="K23" i="13"/>
  <c r="J23" i="13"/>
  <c r="G23" i="13"/>
  <c r="F23" i="13"/>
  <c r="E23" i="13"/>
  <c r="M22" i="13"/>
  <c r="M21" i="13"/>
  <c r="I20" i="13"/>
  <c r="O15" i="13"/>
  <c r="T36" i="13" s="1"/>
  <c r="N15" i="13"/>
  <c r="O36" i="13" s="1"/>
  <c r="M7" i="13"/>
  <c r="M6" i="13"/>
  <c r="M5" i="13"/>
  <c r="B4" i="13"/>
  <c r="I167" i="12"/>
  <c r="H167" i="12"/>
  <c r="G167" i="12"/>
  <c r="F167" i="12"/>
  <c r="E166" i="12"/>
  <c r="G164" i="12"/>
  <c r="F164" i="12"/>
  <c r="E164" i="12"/>
  <c r="G163" i="12"/>
  <c r="F163" i="12"/>
  <c r="E163" i="12"/>
  <c r="G162" i="12"/>
  <c r="F162" i="12"/>
  <c r="E162" i="12"/>
  <c r="I161" i="12"/>
  <c r="H161" i="12"/>
  <c r="E161" i="12"/>
  <c r="B161" i="12"/>
  <c r="G160" i="12"/>
  <c r="F160" i="12"/>
  <c r="E160" i="12"/>
  <c r="B160" i="12"/>
  <c r="I159" i="12"/>
  <c r="H159" i="12"/>
  <c r="E159" i="12"/>
  <c r="B159" i="12"/>
  <c r="K158" i="12"/>
  <c r="J158" i="12"/>
  <c r="G158" i="12"/>
  <c r="F158" i="12"/>
  <c r="E158" i="12"/>
  <c r="B158" i="12"/>
  <c r="I157" i="12"/>
  <c r="H157" i="12"/>
  <c r="E157" i="12"/>
  <c r="B157" i="12"/>
  <c r="I155" i="12"/>
  <c r="H155" i="12"/>
  <c r="G155" i="12"/>
  <c r="F155" i="12"/>
  <c r="E155" i="12"/>
  <c r="C155" i="12"/>
  <c r="B155" i="12"/>
  <c r="I152" i="12"/>
  <c r="H152" i="12"/>
  <c r="G152" i="12"/>
  <c r="F152" i="12"/>
  <c r="E151" i="12"/>
  <c r="G149" i="12"/>
  <c r="F149" i="12"/>
  <c r="E149" i="12"/>
  <c r="G148" i="12"/>
  <c r="F148" i="12"/>
  <c r="E148" i="12"/>
  <c r="G147" i="12"/>
  <c r="F147" i="12"/>
  <c r="E147" i="12"/>
  <c r="I146" i="12"/>
  <c r="H146" i="12"/>
  <c r="E146" i="12"/>
  <c r="B146" i="12"/>
  <c r="G145" i="12"/>
  <c r="F145" i="12"/>
  <c r="E145" i="12"/>
  <c r="B145" i="12"/>
  <c r="I144" i="12"/>
  <c r="H144" i="12"/>
  <c r="E144" i="12"/>
  <c r="B144" i="12"/>
  <c r="K143" i="12"/>
  <c r="J143" i="12"/>
  <c r="G143" i="12"/>
  <c r="F143" i="12"/>
  <c r="E143" i="12"/>
  <c r="B143" i="12"/>
  <c r="I142" i="12"/>
  <c r="H142" i="12"/>
  <c r="E142" i="12"/>
  <c r="B142" i="12"/>
  <c r="I140" i="12"/>
  <c r="H140" i="12"/>
  <c r="G140" i="12"/>
  <c r="F140" i="12"/>
  <c r="E140" i="12"/>
  <c r="C140" i="12"/>
  <c r="B140" i="12"/>
  <c r="I137" i="12"/>
  <c r="H137" i="12"/>
  <c r="G137" i="12"/>
  <c r="F137" i="12"/>
  <c r="E136" i="12"/>
  <c r="G134" i="12"/>
  <c r="F134" i="12"/>
  <c r="E134" i="12"/>
  <c r="G133" i="12"/>
  <c r="F133" i="12"/>
  <c r="E133" i="12"/>
  <c r="G132" i="12"/>
  <c r="F132" i="12"/>
  <c r="E132" i="12"/>
  <c r="I131" i="12"/>
  <c r="H131" i="12"/>
  <c r="E131" i="12"/>
  <c r="B131" i="12"/>
  <c r="G130" i="12"/>
  <c r="F130" i="12"/>
  <c r="E130" i="12"/>
  <c r="B130" i="12"/>
  <c r="I129" i="12"/>
  <c r="H129" i="12"/>
  <c r="E129" i="12"/>
  <c r="B129" i="12"/>
  <c r="K128" i="12"/>
  <c r="J128" i="12"/>
  <c r="G128" i="12"/>
  <c r="F128" i="12"/>
  <c r="E128" i="12"/>
  <c r="B128" i="12"/>
  <c r="I127" i="12"/>
  <c r="H127" i="12"/>
  <c r="E127" i="12"/>
  <c r="B127" i="12"/>
  <c r="I125" i="12"/>
  <c r="H125" i="12"/>
  <c r="G125" i="12"/>
  <c r="F125" i="12"/>
  <c r="E125" i="12"/>
  <c r="C125" i="12"/>
  <c r="B125" i="12"/>
  <c r="I122" i="12"/>
  <c r="H122" i="12"/>
  <c r="G122" i="12"/>
  <c r="F122" i="12"/>
  <c r="E121" i="12"/>
  <c r="G119" i="12"/>
  <c r="F119" i="12"/>
  <c r="E119" i="12"/>
  <c r="G118" i="12"/>
  <c r="F118" i="12"/>
  <c r="E118" i="12"/>
  <c r="G117" i="12"/>
  <c r="F117" i="12"/>
  <c r="E117" i="12"/>
  <c r="I116" i="12"/>
  <c r="H116" i="12"/>
  <c r="E116" i="12"/>
  <c r="B116" i="12"/>
  <c r="G115" i="12"/>
  <c r="F115" i="12"/>
  <c r="E115" i="12"/>
  <c r="B115" i="12"/>
  <c r="I114" i="12"/>
  <c r="H114" i="12"/>
  <c r="E114" i="12"/>
  <c r="B114" i="12"/>
  <c r="K113" i="12"/>
  <c r="J113" i="12"/>
  <c r="G113" i="12"/>
  <c r="F113" i="12"/>
  <c r="E113" i="12"/>
  <c r="B113" i="12"/>
  <c r="I112" i="12"/>
  <c r="H112" i="12"/>
  <c r="E112" i="12"/>
  <c r="B112" i="12"/>
  <c r="I110" i="12"/>
  <c r="H110" i="12"/>
  <c r="G110" i="12"/>
  <c r="F110" i="12"/>
  <c r="E110" i="12"/>
  <c r="C110" i="12"/>
  <c r="B110" i="12"/>
  <c r="I107" i="12"/>
  <c r="H107" i="12"/>
  <c r="G107" i="12"/>
  <c r="F107" i="12"/>
  <c r="E106" i="12"/>
  <c r="G104" i="12"/>
  <c r="F104" i="12"/>
  <c r="E104" i="12"/>
  <c r="G103" i="12"/>
  <c r="F103" i="12"/>
  <c r="E103" i="12"/>
  <c r="G102" i="12"/>
  <c r="F102" i="12"/>
  <c r="E102" i="12"/>
  <c r="I101" i="12"/>
  <c r="H101" i="12"/>
  <c r="E101" i="12"/>
  <c r="B101" i="12"/>
  <c r="G100" i="12"/>
  <c r="F100" i="12"/>
  <c r="E100" i="12"/>
  <c r="B100" i="12"/>
  <c r="I99" i="12"/>
  <c r="H99" i="12"/>
  <c r="E99" i="12"/>
  <c r="B99" i="12"/>
  <c r="K98" i="12"/>
  <c r="J98" i="12"/>
  <c r="G98" i="12"/>
  <c r="F98" i="12"/>
  <c r="E98" i="12"/>
  <c r="B98" i="12"/>
  <c r="I97" i="12"/>
  <c r="H97" i="12"/>
  <c r="E97" i="12"/>
  <c r="B97" i="12"/>
  <c r="I95" i="12"/>
  <c r="H95" i="12"/>
  <c r="G95" i="12"/>
  <c r="F95" i="12"/>
  <c r="E95" i="12"/>
  <c r="C95" i="12"/>
  <c r="B95" i="12"/>
  <c r="N93" i="12"/>
  <c r="T93" i="12" s="1"/>
  <c r="M93" i="12"/>
  <c r="N92" i="12"/>
  <c r="T92" i="12" s="1"/>
  <c r="M92" i="12"/>
  <c r="N91" i="12"/>
  <c r="T91" i="12" s="1"/>
  <c r="M91" i="12"/>
  <c r="I91" i="12"/>
  <c r="H91" i="12"/>
  <c r="G91" i="12"/>
  <c r="F91" i="12"/>
  <c r="E90" i="12"/>
  <c r="N89" i="12"/>
  <c r="S89" i="12" s="1"/>
  <c r="J110" i="5" s="1"/>
  <c r="K110" i="5" s="1"/>
  <c r="M89" i="12"/>
  <c r="G88" i="12"/>
  <c r="F88" i="12"/>
  <c r="E88" i="12"/>
  <c r="N87" i="12"/>
  <c r="S87" i="12" s="1"/>
  <c r="J109" i="5" s="1"/>
  <c r="K109" i="5" s="1"/>
  <c r="M87" i="12"/>
  <c r="G87" i="12"/>
  <c r="F87" i="12"/>
  <c r="E87" i="12"/>
  <c r="G86" i="12"/>
  <c r="F86" i="12"/>
  <c r="E86" i="12"/>
  <c r="N85" i="12"/>
  <c r="T85" i="12" s="1"/>
  <c r="J135" i="5" s="1"/>
  <c r="M85" i="12"/>
  <c r="K85" i="12"/>
  <c r="R93" i="12" s="1"/>
  <c r="I85" i="12"/>
  <c r="H85" i="12"/>
  <c r="E85" i="12"/>
  <c r="B85" i="12"/>
  <c r="G84" i="12"/>
  <c r="F84" i="12"/>
  <c r="E84" i="12"/>
  <c r="B84" i="12"/>
  <c r="N83" i="12"/>
  <c r="T83" i="12" s="1"/>
  <c r="J134" i="5" s="1"/>
  <c r="M83" i="12"/>
  <c r="I83" i="12"/>
  <c r="H83" i="12"/>
  <c r="E83" i="12"/>
  <c r="B83" i="12"/>
  <c r="K82" i="12"/>
  <c r="J82" i="12"/>
  <c r="G82" i="12"/>
  <c r="F82" i="12"/>
  <c r="E82" i="12"/>
  <c r="B82" i="12"/>
  <c r="M81" i="12"/>
  <c r="I81" i="12"/>
  <c r="H81" i="12"/>
  <c r="E81" i="12"/>
  <c r="B81" i="12"/>
  <c r="M79" i="12"/>
  <c r="I79" i="12"/>
  <c r="H79" i="12"/>
  <c r="G79" i="12"/>
  <c r="F79" i="12"/>
  <c r="E79" i="12"/>
  <c r="C79" i="12"/>
  <c r="B79" i="12"/>
  <c r="M78" i="12"/>
  <c r="M77" i="12"/>
  <c r="I76" i="12"/>
  <c r="H76" i="12"/>
  <c r="G76" i="12"/>
  <c r="F76" i="12"/>
  <c r="M75" i="12"/>
  <c r="E75" i="12"/>
  <c r="N73" i="12"/>
  <c r="T73" i="12" s="1"/>
  <c r="J130" i="5" s="1"/>
  <c r="M73" i="12"/>
  <c r="G73" i="12"/>
  <c r="F73" i="12"/>
  <c r="E73" i="12"/>
  <c r="G72" i="12"/>
  <c r="F72" i="12"/>
  <c r="E72" i="12"/>
  <c r="N71" i="12"/>
  <c r="S71" i="12" s="1"/>
  <c r="J102" i="5" s="1"/>
  <c r="K102" i="5" s="1"/>
  <c r="M71" i="12"/>
  <c r="G71" i="12"/>
  <c r="F71" i="12"/>
  <c r="E71" i="12"/>
  <c r="I70" i="12"/>
  <c r="H70" i="12"/>
  <c r="E70" i="12"/>
  <c r="B70" i="12"/>
  <c r="N69" i="12"/>
  <c r="S69" i="12" s="1"/>
  <c r="J101" i="5" s="1"/>
  <c r="K101" i="5" s="1"/>
  <c r="M69" i="12"/>
  <c r="G69" i="12"/>
  <c r="F69" i="12"/>
  <c r="E69" i="12"/>
  <c r="B69" i="12"/>
  <c r="I68" i="12"/>
  <c r="H68" i="12"/>
  <c r="E68" i="12"/>
  <c r="B68" i="12"/>
  <c r="N67" i="12"/>
  <c r="T67" i="12" s="1"/>
  <c r="J127" i="5" s="1"/>
  <c r="M67" i="12"/>
  <c r="K67" i="12"/>
  <c r="J67" i="12"/>
  <c r="G67" i="12"/>
  <c r="F67" i="12"/>
  <c r="E67" i="12"/>
  <c r="B67" i="12"/>
  <c r="I66" i="12"/>
  <c r="H66" i="12"/>
  <c r="E66" i="12"/>
  <c r="B66" i="12"/>
  <c r="M65" i="12"/>
  <c r="M64" i="12"/>
  <c r="I64" i="12"/>
  <c r="H64" i="12"/>
  <c r="G64" i="12"/>
  <c r="F64" i="12"/>
  <c r="E64" i="12"/>
  <c r="C64" i="12"/>
  <c r="B64" i="12"/>
  <c r="M62" i="12"/>
  <c r="I61" i="12"/>
  <c r="H61" i="12"/>
  <c r="G61" i="12"/>
  <c r="F61" i="12"/>
  <c r="M60" i="12"/>
  <c r="E60" i="12"/>
  <c r="N58" i="12"/>
  <c r="O58" i="12" s="1"/>
  <c r="P58" i="12" s="1"/>
  <c r="M58" i="12"/>
  <c r="G58" i="12"/>
  <c r="F58" i="12"/>
  <c r="E58" i="12"/>
  <c r="G57" i="12"/>
  <c r="F57" i="12"/>
  <c r="E57" i="12"/>
  <c r="M56" i="12"/>
  <c r="G56" i="12"/>
  <c r="F56" i="12"/>
  <c r="E56" i="12"/>
  <c r="I55" i="12"/>
  <c r="H55" i="12"/>
  <c r="E55" i="12"/>
  <c r="B55" i="12"/>
  <c r="G54" i="12"/>
  <c r="F54" i="12"/>
  <c r="E54" i="12"/>
  <c r="B54" i="12"/>
  <c r="I53" i="12"/>
  <c r="H53" i="12"/>
  <c r="E53" i="12"/>
  <c r="B53" i="12"/>
  <c r="K52" i="12"/>
  <c r="J52" i="12"/>
  <c r="G52" i="12"/>
  <c r="F52" i="12"/>
  <c r="E52" i="12"/>
  <c r="B52" i="12"/>
  <c r="M51" i="12"/>
  <c r="I51" i="12"/>
  <c r="H51" i="12"/>
  <c r="E51" i="12"/>
  <c r="B51" i="12"/>
  <c r="M49" i="12"/>
  <c r="I49" i="12"/>
  <c r="H49" i="12"/>
  <c r="G49" i="12"/>
  <c r="F49" i="12"/>
  <c r="E49" i="12"/>
  <c r="C49" i="12"/>
  <c r="B49" i="12"/>
  <c r="M48" i="12"/>
  <c r="M47" i="12"/>
  <c r="I46" i="12"/>
  <c r="H46" i="12"/>
  <c r="G46" i="12"/>
  <c r="F46" i="12"/>
  <c r="M45" i="12"/>
  <c r="E45" i="12"/>
  <c r="M44" i="12"/>
  <c r="M43" i="12"/>
  <c r="G43" i="12"/>
  <c r="F43" i="12"/>
  <c r="E43" i="12"/>
  <c r="G42" i="12"/>
  <c r="F42" i="12"/>
  <c r="E42" i="12"/>
  <c r="M41" i="12"/>
  <c r="G41" i="12"/>
  <c r="F41" i="12"/>
  <c r="E41" i="12"/>
  <c r="M40" i="12"/>
  <c r="I40" i="12"/>
  <c r="H40" i="12"/>
  <c r="E40" i="12"/>
  <c r="B40" i="12"/>
  <c r="M39" i="12"/>
  <c r="G39" i="12"/>
  <c r="F39" i="12"/>
  <c r="E39" i="12"/>
  <c r="B39" i="12"/>
  <c r="I38" i="12"/>
  <c r="H38" i="12"/>
  <c r="E38" i="12"/>
  <c r="B38" i="12"/>
  <c r="K37" i="12"/>
  <c r="J37" i="12"/>
  <c r="G37" i="12"/>
  <c r="F37" i="12"/>
  <c r="E37" i="12"/>
  <c r="B37" i="12"/>
  <c r="I36" i="12"/>
  <c r="H36" i="12"/>
  <c r="E36" i="12"/>
  <c r="B36" i="12"/>
  <c r="I35" i="12"/>
  <c r="H35" i="12"/>
  <c r="G35" i="12"/>
  <c r="F35" i="12"/>
  <c r="E35" i="12"/>
  <c r="C35" i="12"/>
  <c r="B35" i="12"/>
  <c r="M30" i="12"/>
  <c r="M29" i="12"/>
  <c r="G29" i="12"/>
  <c r="F29" i="12"/>
  <c r="E29" i="12"/>
  <c r="M28" i="12"/>
  <c r="G28" i="12"/>
  <c r="F28" i="12"/>
  <c r="E28" i="12"/>
  <c r="G27" i="12"/>
  <c r="F27" i="12"/>
  <c r="E27" i="12"/>
  <c r="G25" i="12"/>
  <c r="F25" i="12"/>
  <c r="E25" i="12"/>
  <c r="I24" i="12"/>
  <c r="H24" i="12"/>
  <c r="M23" i="12"/>
  <c r="K23" i="12"/>
  <c r="J23" i="12"/>
  <c r="G23" i="12"/>
  <c r="F23" i="12"/>
  <c r="E23" i="12"/>
  <c r="M22" i="12"/>
  <c r="M21" i="12"/>
  <c r="I20" i="12"/>
  <c r="O15" i="12"/>
  <c r="T36" i="12" s="1"/>
  <c r="N15" i="12"/>
  <c r="O36" i="12" s="1"/>
  <c r="Q36" i="12" s="1"/>
  <c r="M7" i="12"/>
  <c r="M6" i="12"/>
  <c r="M5" i="12"/>
  <c r="B4" i="12"/>
  <c r="I167" i="11"/>
  <c r="H167" i="11"/>
  <c r="G167" i="11"/>
  <c r="F167" i="11"/>
  <c r="E166" i="11"/>
  <c r="G164" i="11"/>
  <c r="F164" i="11"/>
  <c r="E164" i="11"/>
  <c r="G163" i="11"/>
  <c r="F163" i="11"/>
  <c r="E163" i="11"/>
  <c r="G162" i="11"/>
  <c r="F162" i="11"/>
  <c r="E162" i="11"/>
  <c r="I161" i="11"/>
  <c r="H161" i="11"/>
  <c r="E161" i="11"/>
  <c r="B161" i="11"/>
  <c r="G160" i="11"/>
  <c r="F160" i="11"/>
  <c r="E160" i="11"/>
  <c r="B160" i="11"/>
  <c r="I159" i="11"/>
  <c r="H159" i="11"/>
  <c r="E159" i="11"/>
  <c r="B159" i="11"/>
  <c r="K158" i="11"/>
  <c r="J158" i="11"/>
  <c r="G158" i="11"/>
  <c r="F158" i="11"/>
  <c r="E158" i="11"/>
  <c r="B158" i="11"/>
  <c r="I157" i="11"/>
  <c r="H157" i="11"/>
  <c r="E157" i="11"/>
  <c r="B157" i="11"/>
  <c r="I155" i="11"/>
  <c r="H155" i="11"/>
  <c r="G155" i="11"/>
  <c r="F155" i="11"/>
  <c r="E155" i="11"/>
  <c r="C155" i="11"/>
  <c r="B155" i="11"/>
  <c r="I152" i="11"/>
  <c r="H152" i="11"/>
  <c r="G152" i="11"/>
  <c r="F152" i="11"/>
  <c r="E151" i="11"/>
  <c r="G149" i="11"/>
  <c r="F149" i="11"/>
  <c r="E149" i="11"/>
  <c r="G148" i="11"/>
  <c r="F148" i="11"/>
  <c r="E148" i="11"/>
  <c r="G147" i="11"/>
  <c r="F147" i="11"/>
  <c r="E147" i="11"/>
  <c r="I146" i="11"/>
  <c r="H146" i="11"/>
  <c r="E146" i="11"/>
  <c r="B146" i="11"/>
  <c r="G145" i="11"/>
  <c r="F145" i="11"/>
  <c r="E145" i="11"/>
  <c r="B145" i="11"/>
  <c r="I144" i="11"/>
  <c r="H144" i="11"/>
  <c r="E144" i="11"/>
  <c r="B144" i="11"/>
  <c r="K143" i="11"/>
  <c r="J143" i="11"/>
  <c r="G143" i="11"/>
  <c r="F143" i="11"/>
  <c r="E143" i="11"/>
  <c r="B143" i="11"/>
  <c r="I142" i="11"/>
  <c r="H142" i="11"/>
  <c r="E142" i="11"/>
  <c r="B142" i="11"/>
  <c r="I140" i="11"/>
  <c r="H140" i="11"/>
  <c r="G140" i="11"/>
  <c r="F140" i="11"/>
  <c r="E140" i="11"/>
  <c r="C140" i="11"/>
  <c r="B140" i="11"/>
  <c r="I137" i="11"/>
  <c r="H137" i="11"/>
  <c r="G137" i="11"/>
  <c r="F137" i="11"/>
  <c r="E136" i="11"/>
  <c r="G134" i="11"/>
  <c r="F134" i="11"/>
  <c r="E134" i="11"/>
  <c r="G133" i="11"/>
  <c r="F133" i="11"/>
  <c r="E133" i="11"/>
  <c r="G132" i="11"/>
  <c r="F132" i="11"/>
  <c r="E132" i="11"/>
  <c r="I131" i="11"/>
  <c r="H131" i="11"/>
  <c r="E131" i="11"/>
  <c r="B131" i="11"/>
  <c r="G130" i="11"/>
  <c r="F130" i="11"/>
  <c r="E130" i="11"/>
  <c r="B130" i="11"/>
  <c r="I129" i="11"/>
  <c r="H129" i="11"/>
  <c r="E129" i="11"/>
  <c r="B129" i="11"/>
  <c r="K128" i="11"/>
  <c r="J128" i="11"/>
  <c r="G128" i="11"/>
  <c r="F128" i="11"/>
  <c r="E128" i="11"/>
  <c r="B128" i="11"/>
  <c r="I127" i="11"/>
  <c r="H127" i="11"/>
  <c r="E127" i="11"/>
  <c r="B127" i="11"/>
  <c r="I125" i="11"/>
  <c r="H125" i="11"/>
  <c r="G125" i="11"/>
  <c r="F125" i="11"/>
  <c r="E125" i="11"/>
  <c r="C125" i="11"/>
  <c r="B125" i="11"/>
  <c r="I122" i="11"/>
  <c r="H122" i="11"/>
  <c r="G122" i="11"/>
  <c r="F122" i="11"/>
  <c r="E121" i="11"/>
  <c r="G119" i="11"/>
  <c r="F119" i="11"/>
  <c r="E119" i="11"/>
  <c r="G118" i="11"/>
  <c r="F118" i="11"/>
  <c r="E118" i="11"/>
  <c r="G117" i="11"/>
  <c r="F117" i="11"/>
  <c r="E117" i="11"/>
  <c r="I116" i="11"/>
  <c r="H116" i="11"/>
  <c r="E116" i="11"/>
  <c r="B116" i="11"/>
  <c r="G115" i="11"/>
  <c r="F115" i="11"/>
  <c r="E115" i="11"/>
  <c r="B115" i="11"/>
  <c r="I114" i="11"/>
  <c r="H114" i="11"/>
  <c r="E114" i="11"/>
  <c r="B114" i="11"/>
  <c r="K113" i="11"/>
  <c r="J113" i="11"/>
  <c r="G113" i="11"/>
  <c r="F113" i="11"/>
  <c r="E113" i="11"/>
  <c r="B113" i="11"/>
  <c r="I112" i="11"/>
  <c r="H112" i="11"/>
  <c r="E112" i="11"/>
  <c r="B112" i="11"/>
  <c r="I110" i="11"/>
  <c r="H110" i="11"/>
  <c r="G110" i="11"/>
  <c r="F110" i="11"/>
  <c r="E110" i="11"/>
  <c r="C110" i="11"/>
  <c r="B110" i="11"/>
  <c r="I107" i="11"/>
  <c r="H107" i="11"/>
  <c r="G107" i="11"/>
  <c r="F107" i="11"/>
  <c r="E106" i="11"/>
  <c r="G104" i="11"/>
  <c r="F104" i="11"/>
  <c r="E104" i="11"/>
  <c r="G103" i="11"/>
  <c r="F103" i="11"/>
  <c r="E103" i="11"/>
  <c r="G102" i="11"/>
  <c r="F102" i="11"/>
  <c r="E102" i="11"/>
  <c r="I101" i="11"/>
  <c r="H101" i="11"/>
  <c r="E101" i="11"/>
  <c r="B101" i="11"/>
  <c r="G100" i="11"/>
  <c r="F100" i="11"/>
  <c r="E100" i="11"/>
  <c r="B100" i="11"/>
  <c r="I99" i="11"/>
  <c r="H99" i="11"/>
  <c r="E99" i="11"/>
  <c r="B99" i="11"/>
  <c r="K98" i="11"/>
  <c r="J98" i="11"/>
  <c r="G98" i="11"/>
  <c r="F98" i="11"/>
  <c r="E98" i="11"/>
  <c r="B98" i="11"/>
  <c r="I97" i="11"/>
  <c r="H97" i="11"/>
  <c r="E97" i="11"/>
  <c r="B97" i="11"/>
  <c r="I95" i="11"/>
  <c r="H95" i="11"/>
  <c r="G95" i="11"/>
  <c r="F95" i="11"/>
  <c r="E95" i="11"/>
  <c r="C95" i="11"/>
  <c r="B95" i="11"/>
  <c r="N93" i="11"/>
  <c r="T93" i="11" s="1"/>
  <c r="M93" i="11"/>
  <c r="N92" i="11"/>
  <c r="T92" i="11" s="1"/>
  <c r="M92" i="11"/>
  <c r="N91" i="11"/>
  <c r="T91" i="11" s="1"/>
  <c r="M91" i="11"/>
  <c r="I91" i="11"/>
  <c r="H91" i="11"/>
  <c r="G91" i="11"/>
  <c r="F91" i="11"/>
  <c r="E90" i="11"/>
  <c r="N89" i="11"/>
  <c r="T89" i="11" s="1"/>
  <c r="D137" i="5" s="1"/>
  <c r="M89" i="11"/>
  <c r="G88" i="11"/>
  <c r="F88" i="11"/>
  <c r="E88" i="11"/>
  <c r="N87" i="11"/>
  <c r="S87" i="11" s="1"/>
  <c r="D109" i="5" s="1"/>
  <c r="E109" i="5" s="1"/>
  <c r="M87" i="11"/>
  <c r="G87" i="11"/>
  <c r="F87" i="11"/>
  <c r="E87" i="11"/>
  <c r="G86" i="11"/>
  <c r="F86" i="11"/>
  <c r="E86" i="11"/>
  <c r="N85" i="11"/>
  <c r="S85" i="11" s="1"/>
  <c r="D108" i="5" s="1"/>
  <c r="E108" i="5" s="1"/>
  <c r="M85" i="11"/>
  <c r="K85" i="11"/>
  <c r="R93" i="11" s="1"/>
  <c r="I85" i="11"/>
  <c r="H85" i="11"/>
  <c r="E85" i="11"/>
  <c r="B85" i="11"/>
  <c r="G84" i="11"/>
  <c r="F84" i="11"/>
  <c r="E84" i="11"/>
  <c r="B84" i="11"/>
  <c r="N83" i="11"/>
  <c r="T83" i="11" s="1"/>
  <c r="D134" i="5" s="1"/>
  <c r="M83" i="11"/>
  <c r="I83" i="11"/>
  <c r="H83" i="11"/>
  <c r="E83" i="11"/>
  <c r="B83" i="11"/>
  <c r="K82" i="11"/>
  <c r="J82" i="11"/>
  <c r="G82" i="11"/>
  <c r="F82" i="11"/>
  <c r="E82" i="11"/>
  <c r="B82" i="11"/>
  <c r="M81" i="11"/>
  <c r="I81" i="11"/>
  <c r="H81" i="11"/>
  <c r="E81" i="11"/>
  <c r="B81" i="11"/>
  <c r="M79" i="11"/>
  <c r="I79" i="11"/>
  <c r="H79" i="11"/>
  <c r="G79" i="11"/>
  <c r="F79" i="11"/>
  <c r="E79" i="11"/>
  <c r="C79" i="11"/>
  <c r="B79" i="11"/>
  <c r="M78" i="11"/>
  <c r="M77" i="11"/>
  <c r="I76" i="11"/>
  <c r="H76" i="11"/>
  <c r="G76" i="11"/>
  <c r="F76" i="11"/>
  <c r="M75" i="11"/>
  <c r="E75" i="11"/>
  <c r="N73" i="11"/>
  <c r="T73" i="11" s="1"/>
  <c r="D130" i="5" s="1"/>
  <c r="M73" i="11"/>
  <c r="G73" i="11"/>
  <c r="F73" i="11"/>
  <c r="E73" i="11"/>
  <c r="G72" i="11"/>
  <c r="F72" i="11"/>
  <c r="E72" i="11"/>
  <c r="N71" i="11"/>
  <c r="S71" i="11" s="1"/>
  <c r="D102" i="5" s="1"/>
  <c r="E102" i="5" s="1"/>
  <c r="M71" i="11"/>
  <c r="G71" i="11"/>
  <c r="F71" i="11"/>
  <c r="E71" i="11"/>
  <c r="I70" i="11"/>
  <c r="H70" i="11"/>
  <c r="E70" i="11"/>
  <c r="B70" i="11"/>
  <c r="N69" i="11"/>
  <c r="S69" i="11" s="1"/>
  <c r="D101" i="5" s="1"/>
  <c r="E101" i="5" s="1"/>
  <c r="M69" i="11"/>
  <c r="G69" i="11"/>
  <c r="F69" i="11"/>
  <c r="E69" i="11"/>
  <c r="B69" i="11"/>
  <c r="I68" i="11"/>
  <c r="H68" i="11"/>
  <c r="E68" i="11"/>
  <c r="B68" i="11"/>
  <c r="N67" i="11"/>
  <c r="S67" i="11" s="1"/>
  <c r="D100" i="5" s="1"/>
  <c r="E100" i="5" s="1"/>
  <c r="M67" i="11"/>
  <c r="K67" i="11"/>
  <c r="J67" i="11"/>
  <c r="G67" i="11"/>
  <c r="F67" i="11"/>
  <c r="E67" i="11"/>
  <c r="B67" i="11"/>
  <c r="I66" i="11"/>
  <c r="H66" i="11"/>
  <c r="E66" i="11"/>
  <c r="B66" i="11"/>
  <c r="M65" i="11"/>
  <c r="M64" i="11"/>
  <c r="I64" i="11"/>
  <c r="H64" i="11"/>
  <c r="G64" i="11"/>
  <c r="F64" i="11"/>
  <c r="E64" i="11"/>
  <c r="C64" i="11"/>
  <c r="B64" i="11"/>
  <c r="M62" i="11"/>
  <c r="I61" i="11"/>
  <c r="H61" i="11"/>
  <c r="G61" i="11"/>
  <c r="F61" i="11"/>
  <c r="M60" i="11"/>
  <c r="E60" i="11"/>
  <c r="N58" i="11"/>
  <c r="S58" i="11" s="1"/>
  <c r="D96" i="5" s="1"/>
  <c r="E96" i="5" s="1"/>
  <c r="M58" i="11"/>
  <c r="G58" i="11"/>
  <c r="F58" i="11"/>
  <c r="E58" i="11"/>
  <c r="G57" i="11"/>
  <c r="F57" i="11"/>
  <c r="E57" i="11"/>
  <c r="M56" i="11"/>
  <c r="G56" i="11"/>
  <c r="F56" i="11"/>
  <c r="E56" i="11"/>
  <c r="I55" i="11"/>
  <c r="H55" i="11"/>
  <c r="E55" i="11"/>
  <c r="B55" i="11"/>
  <c r="G54" i="11"/>
  <c r="F54" i="11"/>
  <c r="E54" i="11"/>
  <c r="B54" i="11"/>
  <c r="I53" i="11"/>
  <c r="H53" i="11"/>
  <c r="E53" i="11"/>
  <c r="B53" i="11"/>
  <c r="K52" i="11"/>
  <c r="J52" i="11"/>
  <c r="G52" i="11"/>
  <c r="F52" i="11"/>
  <c r="E52" i="11"/>
  <c r="B52" i="11"/>
  <c r="M51" i="11"/>
  <c r="I51" i="11"/>
  <c r="H51" i="11"/>
  <c r="E51" i="11"/>
  <c r="B51" i="11"/>
  <c r="M49" i="11"/>
  <c r="I49" i="11"/>
  <c r="H49" i="11"/>
  <c r="G49" i="11"/>
  <c r="F49" i="11"/>
  <c r="E49" i="11"/>
  <c r="C49" i="11"/>
  <c r="B49" i="11"/>
  <c r="M48" i="11"/>
  <c r="M47" i="11"/>
  <c r="I46" i="11"/>
  <c r="H46" i="11"/>
  <c r="G46" i="11"/>
  <c r="F46" i="11"/>
  <c r="M45" i="11"/>
  <c r="E45" i="11"/>
  <c r="M44" i="11"/>
  <c r="M43" i="11"/>
  <c r="G43" i="11"/>
  <c r="F43" i="11"/>
  <c r="E43" i="11"/>
  <c r="G42" i="11"/>
  <c r="F42" i="11"/>
  <c r="E42" i="11"/>
  <c r="M41" i="11"/>
  <c r="G41" i="11"/>
  <c r="F41" i="11"/>
  <c r="E41" i="11"/>
  <c r="M40" i="11"/>
  <c r="I40" i="11"/>
  <c r="H40" i="11"/>
  <c r="E40" i="11"/>
  <c r="B40" i="11"/>
  <c r="M39" i="11"/>
  <c r="G39" i="11"/>
  <c r="F39" i="11"/>
  <c r="E39" i="11"/>
  <c r="B39" i="11"/>
  <c r="I38" i="11"/>
  <c r="H38" i="11"/>
  <c r="E38" i="11"/>
  <c r="B38" i="11"/>
  <c r="K37" i="11"/>
  <c r="J37" i="11"/>
  <c r="G37" i="11"/>
  <c r="F37" i="11"/>
  <c r="E37" i="11"/>
  <c r="B37" i="11"/>
  <c r="I36" i="11"/>
  <c r="H36" i="11"/>
  <c r="E36" i="11"/>
  <c r="B36" i="11"/>
  <c r="I35" i="11"/>
  <c r="H35" i="11"/>
  <c r="G35" i="11"/>
  <c r="F35" i="11"/>
  <c r="E35" i="11"/>
  <c r="C35" i="11"/>
  <c r="B35" i="11"/>
  <c r="M30" i="11"/>
  <c r="M29" i="11"/>
  <c r="G29" i="11"/>
  <c r="F29" i="11"/>
  <c r="E29" i="11"/>
  <c r="M28" i="11"/>
  <c r="G28" i="11"/>
  <c r="F28" i="11"/>
  <c r="E28" i="11"/>
  <c r="G27" i="11"/>
  <c r="F27" i="11"/>
  <c r="E27" i="11"/>
  <c r="G25" i="11"/>
  <c r="F25" i="11"/>
  <c r="E25" i="11"/>
  <c r="I24" i="11"/>
  <c r="H24" i="11"/>
  <c r="M23" i="11"/>
  <c r="K23" i="11"/>
  <c r="J23" i="11"/>
  <c r="G23" i="11"/>
  <c r="F23" i="11"/>
  <c r="E23" i="11"/>
  <c r="M22" i="11"/>
  <c r="M21" i="11"/>
  <c r="I20" i="11"/>
  <c r="O15" i="11"/>
  <c r="T36" i="11" s="1"/>
  <c r="N15" i="11"/>
  <c r="O36" i="11" s="1"/>
  <c r="S36" i="11" s="1"/>
  <c r="M7" i="11"/>
  <c r="M6" i="11"/>
  <c r="M5" i="11"/>
  <c r="B4" i="11"/>
  <c r="I168" i="10"/>
  <c r="H168" i="10"/>
  <c r="G168" i="10"/>
  <c r="F168" i="10"/>
  <c r="E167" i="10"/>
  <c r="G165" i="10"/>
  <c r="F165" i="10"/>
  <c r="E165" i="10"/>
  <c r="G164" i="10"/>
  <c r="F164" i="10"/>
  <c r="E164" i="10"/>
  <c r="G163" i="10"/>
  <c r="F163" i="10"/>
  <c r="E163" i="10"/>
  <c r="I162" i="10"/>
  <c r="H162" i="10"/>
  <c r="E162" i="10"/>
  <c r="B162" i="10"/>
  <c r="G161" i="10"/>
  <c r="F161" i="10"/>
  <c r="E161" i="10"/>
  <c r="B161" i="10"/>
  <c r="I160" i="10"/>
  <c r="H160" i="10"/>
  <c r="E160" i="10"/>
  <c r="B160" i="10"/>
  <c r="K159" i="10"/>
  <c r="J159" i="10"/>
  <c r="G159" i="10"/>
  <c r="F159" i="10"/>
  <c r="E159" i="10"/>
  <c r="B159" i="10"/>
  <c r="I158" i="10"/>
  <c r="H158" i="10"/>
  <c r="E158" i="10"/>
  <c r="B158" i="10"/>
  <c r="I156" i="10"/>
  <c r="H156" i="10"/>
  <c r="G156" i="10"/>
  <c r="F156" i="10"/>
  <c r="E156" i="10"/>
  <c r="C156" i="10"/>
  <c r="B156" i="10"/>
  <c r="I153" i="10"/>
  <c r="H153" i="10"/>
  <c r="G153" i="10"/>
  <c r="F153" i="10"/>
  <c r="E152" i="10"/>
  <c r="G150" i="10"/>
  <c r="F150" i="10"/>
  <c r="E150" i="10"/>
  <c r="G149" i="10"/>
  <c r="F149" i="10"/>
  <c r="E149" i="10"/>
  <c r="G148" i="10"/>
  <c r="F148" i="10"/>
  <c r="E148" i="10"/>
  <c r="I147" i="10"/>
  <c r="H147" i="10"/>
  <c r="E147" i="10"/>
  <c r="B147" i="10"/>
  <c r="G146" i="10"/>
  <c r="F146" i="10"/>
  <c r="E146" i="10"/>
  <c r="B146" i="10"/>
  <c r="I145" i="10"/>
  <c r="H145" i="10"/>
  <c r="E145" i="10"/>
  <c r="B145" i="10"/>
  <c r="K144" i="10"/>
  <c r="J144" i="10"/>
  <c r="G144" i="10"/>
  <c r="F144" i="10"/>
  <c r="E144" i="10"/>
  <c r="B144" i="10"/>
  <c r="I143" i="10"/>
  <c r="H143" i="10"/>
  <c r="E143" i="10"/>
  <c r="B143" i="10"/>
  <c r="I141" i="10"/>
  <c r="H141" i="10"/>
  <c r="G141" i="10"/>
  <c r="F141" i="10"/>
  <c r="E141" i="10"/>
  <c r="C141" i="10"/>
  <c r="B141" i="10"/>
  <c r="I138" i="10"/>
  <c r="H138" i="10"/>
  <c r="G138" i="10"/>
  <c r="F138" i="10"/>
  <c r="E137" i="10"/>
  <c r="G135" i="10"/>
  <c r="F135" i="10"/>
  <c r="E135" i="10"/>
  <c r="G134" i="10"/>
  <c r="F134" i="10"/>
  <c r="E134" i="10"/>
  <c r="G133" i="10"/>
  <c r="F133" i="10"/>
  <c r="E133" i="10"/>
  <c r="I132" i="10"/>
  <c r="H132" i="10"/>
  <c r="E132" i="10"/>
  <c r="B132" i="10"/>
  <c r="G131" i="10"/>
  <c r="F131" i="10"/>
  <c r="E131" i="10"/>
  <c r="B131" i="10"/>
  <c r="I130" i="10"/>
  <c r="H130" i="10"/>
  <c r="E130" i="10"/>
  <c r="B130" i="10"/>
  <c r="K129" i="10"/>
  <c r="J129" i="10"/>
  <c r="G129" i="10"/>
  <c r="F129" i="10"/>
  <c r="E129" i="10"/>
  <c r="B129" i="10"/>
  <c r="I128" i="10"/>
  <c r="H128" i="10"/>
  <c r="E128" i="10"/>
  <c r="B128" i="10"/>
  <c r="I126" i="10"/>
  <c r="H126" i="10"/>
  <c r="G126" i="10"/>
  <c r="F126" i="10"/>
  <c r="E126" i="10"/>
  <c r="C126" i="10"/>
  <c r="B126" i="10"/>
  <c r="I123" i="10"/>
  <c r="H123" i="10"/>
  <c r="G123" i="10"/>
  <c r="F123" i="10"/>
  <c r="E122" i="10"/>
  <c r="G120" i="10"/>
  <c r="F120" i="10"/>
  <c r="E120" i="10"/>
  <c r="G119" i="10"/>
  <c r="F119" i="10"/>
  <c r="E119" i="10"/>
  <c r="G118" i="10"/>
  <c r="F118" i="10"/>
  <c r="E118" i="10"/>
  <c r="I117" i="10"/>
  <c r="H117" i="10"/>
  <c r="E117" i="10"/>
  <c r="B117" i="10"/>
  <c r="G116" i="10"/>
  <c r="F116" i="10"/>
  <c r="E116" i="10"/>
  <c r="B116" i="10"/>
  <c r="I115" i="10"/>
  <c r="H115" i="10"/>
  <c r="E115" i="10"/>
  <c r="B115" i="10"/>
  <c r="K114" i="10"/>
  <c r="J114" i="10"/>
  <c r="G114" i="10"/>
  <c r="F114" i="10"/>
  <c r="E114" i="10"/>
  <c r="B114" i="10"/>
  <c r="I113" i="10"/>
  <c r="H113" i="10"/>
  <c r="E113" i="10"/>
  <c r="B113" i="10"/>
  <c r="I111" i="10"/>
  <c r="H111" i="10"/>
  <c r="G111" i="10"/>
  <c r="F111" i="10"/>
  <c r="E111" i="10"/>
  <c r="C111" i="10"/>
  <c r="B111" i="10"/>
  <c r="I108" i="10"/>
  <c r="H108" i="10"/>
  <c r="G108" i="10"/>
  <c r="F108" i="10"/>
  <c r="E107" i="10"/>
  <c r="G105" i="10"/>
  <c r="F105" i="10"/>
  <c r="E105" i="10"/>
  <c r="G104" i="10"/>
  <c r="F104" i="10"/>
  <c r="E104" i="10"/>
  <c r="G103" i="10"/>
  <c r="F103" i="10"/>
  <c r="E103" i="10"/>
  <c r="I102" i="10"/>
  <c r="H102" i="10"/>
  <c r="E102" i="10"/>
  <c r="B102" i="10"/>
  <c r="G101" i="10"/>
  <c r="F101" i="10"/>
  <c r="E101" i="10"/>
  <c r="B101" i="10"/>
  <c r="I100" i="10"/>
  <c r="H100" i="10"/>
  <c r="E100" i="10"/>
  <c r="B100" i="10"/>
  <c r="K99" i="10"/>
  <c r="J99" i="10"/>
  <c r="G99" i="10"/>
  <c r="F99" i="10"/>
  <c r="E99" i="10"/>
  <c r="B99" i="10"/>
  <c r="I98" i="10"/>
  <c r="H98" i="10"/>
  <c r="E98" i="10"/>
  <c r="B98" i="10"/>
  <c r="I96" i="10"/>
  <c r="H96" i="10"/>
  <c r="G96" i="10"/>
  <c r="F96" i="10"/>
  <c r="E96" i="10"/>
  <c r="C96" i="10"/>
  <c r="B96" i="10"/>
  <c r="N93" i="10"/>
  <c r="S93" i="10" s="1"/>
  <c r="M93" i="10"/>
  <c r="N92" i="10"/>
  <c r="T92" i="10" s="1"/>
  <c r="M92" i="10"/>
  <c r="N91" i="10"/>
  <c r="O91" i="10" s="1"/>
  <c r="P91" i="10" s="1"/>
  <c r="M91" i="10"/>
  <c r="I91" i="10"/>
  <c r="H91" i="10"/>
  <c r="G91" i="10"/>
  <c r="F91" i="10"/>
  <c r="E90" i="10"/>
  <c r="N89" i="10"/>
  <c r="T89" i="10" s="1"/>
  <c r="J83" i="5" s="1"/>
  <c r="M89" i="10"/>
  <c r="G88" i="10"/>
  <c r="F88" i="10"/>
  <c r="E88" i="10"/>
  <c r="N87" i="10"/>
  <c r="T87" i="10" s="1"/>
  <c r="J82" i="5" s="1"/>
  <c r="M87" i="10"/>
  <c r="G87" i="10"/>
  <c r="F87" i="10"/>
  <c r="E87" i="10"/>
  <c r="G86" i="10"/>
  <c r="F86" i="10"/>
  <c r="E86" i="10"/>
  <c r="N85" i="10"/>
  <c r="T85" i="10" s="1"/>
  <c r="J81" i="5" s="1"/>
  <c r="M85" i="10"/>
  <c r="K85" i="10"/>
  <c r="R93" i="10" s="1"/>
  <c r="I85" i="10"/>
  <c r="H85" i="10"/>
  <c r="E85" i="10"/>
  <c r="B85" i="10"/>
  <c r="G84" i="10"/>
  <c r="F84" i="10"/>
  <c r="E84" i="10"/>
  <c r="B84" i="10"/>
  <c r="N83" i="10"/>
  <c r="S83" i="10" s="1"/>
  <c r="J53" i="5" s="1"/>
  <c r="K53" i="5" s="1"/>
  <c r="M83" i="10"/>
  <c r="I83" i="10"/>
  <c r="H83" i="10"/>
  <c r="E83" i="10"/>
  <c r="B83" i="10"/>
  <c r="K82" i="10"/>
  <c r="J82" i="10"/>
  <c r="G82" i="10"/>
  <c r="F82" i="10"/>
  <c r="E82" i="10"/>
  <c r="B82" i="10"/>
  <c r="M81" i="10"/>
  <c r="I81" i="10"/>
  <c r="H81" i="10"/>
  <c r="E81" i="10"/>
  <c r="B81" i="10"/>
  <c r="M79" i="10"/>
  <c r="I79" i="10"/>
  <c r="H79" i="10"/>
  <c r="G79" i="10"/>
  <c r="F79" i="10"/>
  <c r="E79" i="10"/>
  <c r="C79" i="10"/>
  <c r="B79" i="10"/>
  <c r="M78" i="10"/>
  <c r="M77" i="10"/>
  <c r="I76" i="10"/>
  <c r="H76" i="10"/>
  <c r="G76" i="10"/>
  <c r="F76" i="10"/>
  <c r="M75" i="10"/>
  <c r="E75" i="10"/>
  <c r="N73" i="10"/>
  <c r="T73" i="10" s="1"/>
  <c r="J76" i="5" s="1"/>
  <c r="M73" i="10"/>
  <c r="G73" i="10"/>
  <c r="F73" i="10"/>
  <c r="E73" i="10"/>
  <c r="G72" i="10"/>
  <c r="F72" i="10"/>
  <c r="E72" i="10"/>
  <c r="N71" i="10"/>
  <c r="M71" i="10"/>
  <c r="G71" i="10"/>
  <c r="F71" i="10"/>
  <c r="E71" i="10"/>
  <c r="I70" i="10"/>
  <c r="H70" i="10"/>
  <c r="E70" i="10"/>
  <c r="B70" i="10"/>
  <c r="N69" i="10"/>
  <c r="S69" i="10" s="1"/>
  <c r="J47" i="5" s="1"/>
  <c r="K47" i="5" s="1"/>
  <c r="M69" i="10"/>
  <c r="G69" i="10"/>
  <c r="F69" i="10"/>
  <c r="E69" i="10"/>
  <c r="B69" i="10"/>
  <c r="I68" i="10"/>
  <c r="H68" i="10"/>
  <c r="E68" i="10"/>
  <c r="B68" i="10"/>
  <c r="N67" i="10"/>
  <c r="S67" i="10" s="1"/>
  <c r="J46" i="5" s="1"/>
  <c r="K46" i="5" s="1"/>
  <c r="M67" i="10"/>
  <c r="K67" i="10"/>
  <c r="J67" i="10"/>
  <c r="G67" i="10"/>
  <c r="F67" i="10"/>
  <c r="E67" i="10"/>
  <c r="B67" i="10"/>
  <c r="I66" i="10"/>
  <c r="H66" i="10"/>
  <c r="E66" i="10"/>
  <c r="B66" i="10"/>
  <c r="M65" i="10"/>
  <c r="M64" i="10"/>
  <c r="I64" i="10"/>
  <c r="H64" i="10"/>
  <c r="G64" i="10"/>
  <c r="F64" i="10"/>
  <c r="E64" i="10"/>
  <c r="C64" i="10"/>
  <c r="B64" i="10"/>
  <c r="M62" i="10"/>
  <c r="I61" i="10"/>
  <c r="H61" i="10"/>
  <c r="G61" i="10"/>
  <c r="F61" i="10"/>
  <c r="M60" i="10"/>
  <c r="E60" i="10"/>
  <c r="N58" i="10"/>
  <c r="S58" i="10" s="1"/>
  <c r="J42" i="5" s="1"/>
  <c r="K42" i="5" s="1"/>
  <c r="M58" i="10"/>
  <c r="G58" i="10"/>
  <c r="F58" i="10"/>
  <c r="E58" i="10"/>
  <c r="G57" i="10"/>
  <c r="F57" i="10"/>
  <c r="E57" i="10"/>
  <c r="M56" i="10"/>
  <c r="G56" i="10"/>
  <c r="F56" i="10"/>
  <c r="E56" i="10"/>
  <c r="I55" i="10"/>
  <c r="H55" i="10"/>
  <c r="E55" i="10"/>
  <c r="B55" i="10"/>
  <c r="G54" i="10"/>
  <c r="F54" i="10"/>
  <c r="E54" i="10"/>
  <c r="B54" i="10"/>
  <c r="I53" i="10"/>
  <c r="H53" i="10"/>
  <c r="E53" i="10"/>
  <c r="B53" i="10"/>
  <c r="K52" i="10"/>
  <c r="J52" i="10"/>
  <c r="G52" i="10"/>
  <c r="F52" i="10"/>
  <c r="E52" i="10"/>
  <c r="B52" i="10"/>
  <c r="M51" i="10"/>
  <c r="I51" i="10"/>
  <c r="H51" i="10"/>
  <c r="E51" i="10"/>
  <c r="B51" i="10"/>
  <c r="M49" i="10"/>
  <c r="I49" i="10"/>
  <c r="H49" i="10"/>
  <c r="G49" i="10"/>
  <c r="F49" i="10"/>
  <c r="E49" i="10"/>
  <c r="C49" i="10"/>
  <c r="B49" i="10"/>
  <c r="M48" i="10"/>
  <c r="M47" i="10"/>
  <c r="I46" i="10"/>
  <c r="H46" i="10"/>
  <c r="G46" i="10"/>
  <c r="F46" i="10"/>
  <c r="M45" i="10"/>
  <c r="E45" i="10"/>
  <c r="M44" i="10"/>
  <c r="M43" i="10"/>
  <c r="G43" i="10"/>
  <c r="F43" i="10"/>
  <c r="E43" i="10"/>
  <c r="G42" i="10"/>
  <c r="F42" i="10"/>
  <c r="E42" i="10"/>
  <c r="M41" i="10"/>
  <c r="G41" i="10"/>
  <c r="F41" i="10"/>
  <c r="E41" i="10"/>
  <c r="M40" i="10"/>
  <c r="I40" i="10"/>
  <c r="H40" i="10"/>
  <c r="E40" i="10"/>
  <c r="B40" i="10"/>
  <c r="M39" i="10"/>
  <c r="G39" i="10"/>
  <c r="F39" i="10"/>
  <c r="E39" i="10"/>
  <c r="B39" i="10"/>
  <c r="I38" i="10"/>
  <c r="H38" i="10"/>
  <c r="E38" i="10"/>
  <c r="B38" i="10"/>
  <c r="K37" i="10"/>
  <c r="J37" i="10"/>
  <c r="G37" i="10"/>
  <c r="F37" i="10"/>
  <c r="E37" i="10"/>
  <c r="B37" i="10"/>
  <c r="I36" i="10"/>
  <c r="H36" i="10"/>
  <c r="E36" i="10"/>
  <c r="B36" i="10"/>
  <c r="I35" i="10"/>
  <c r="H35" i="10"/>
  <c r="G35" i="10"/>
  <c r="F35" i="10"/>
  <c r="E35" i="10"/>
  <c r="C35" i="10"/>
  <c r="B35" i="10"/>
  <c r="M30" i="10"/>
  <c r="M29" i="10"/>
  <c r="G29" i="10"/>
  <c r="F29" i="10"/>
  <c r="E29" i="10"/>
  <c r="M28" i="10"/>
  <c r="G28" i="10"/>
  <c r="F28" i="10"/>
  <c r="E28" i="10"/>
  <c r="G27" i="10"/>
  <c r="F27" i="10"/>
  <c r="E27" i="10"/>
  <c r="G25" i="10"/>
  <c r="N8" i="10" s="1"/>
  <c r="N52" i="10" s="1"/>
  <c r="F25" i="10"/>
  <c r="E25" i="10"/>
  <c r="I24" i="10"/>
  <c r="H24" i="10"/>
  <c r="M23" i="10"/>
  <c r="K23" i="10"/>
  <c r="J23" i="10"/>
  <c r="G23" i="10"/>
  <c r="F23" i="10"/>
  <c r="E23" i="10"/>
  <c r="M22" i="10"/>
  <c r="M21" i="10"/>
  <c r="I20" i="10"/>
  <c r="O15" i="10"/>
  <c r="T36" i="10" s="1"/>
  <c r="N15" i="10"/>
  <c r="O36" i="10" s="1"/>
  <c r="S36" i="10" s="1"/>
  <c r="M7" i="10"/>
  <c r="M6" i="10"/>
  <c r="M5" i="10"/>
  <c r="B4" i="10"/>
  <c r="I167" i="8"/>
  <c r="H167" i="8"/>
  <c r="G167" i="8"/>
  <c r="F167" i="8"/>
  <c r="E166" i="8"/>
  <c r="G164" i="8"/>
  <c r="F164" i="8"/>
  <c r="E164" i="8"/>
  <c r="G163" i="8"/>
  <c r="F163" i="8"/>
  <c r="E163" i="8"/>
  <c r="G162" i="8"/>
  <c r="F162" i="8"/>
  <c r="E162" i="8"/>
  <c r="I161" i="8"/>
  <c r="H161" i="8"/>
  <c r="E161" i="8"/>
  <c r="B161" i="8"/>
  <c r="G160" i="8"/>
  <c r="F160" i="8"/>
  <c r="E160" i="8"/>
  <c r="B160" i="8"/>
  <c r="I159" i="8"/>
  <c r="H159" i="8"/>
  <c r="E159" i="8"/>
  <c r="B159" i="8"/>
  <c r="K158" i="8"/>
  <c r="J158" i="8"/>
  <c r="G158" i="8"/>
  <c r="F158" i="8"/>
  <c r="E158" i="8"/>
  <c r="B158" i="8"/>
  <c r="I157" i="8"/>
  <c r="H157" i="8"/>
  <c r="E157" i="8"/>
  <c r="B157" i="8"/>
  <c r="I155" i="8"/>
  <c r="H155" i="8"/>
  <c r="G155" i="8"/>
  <c r="F155" i="8"/>
  <c r="E155" i="8"/>
  <c r="C155" i="8"/>
  <c r="B155" i="8"/>
  <c r="I152" i="8"/>
  <c r="H152" i="8"/>
  <c r="G152" i="8"/>
  <c r="F152" i="8"/>
  <c r="E151" i="8"/>
  <c r="G149" i="8"/>
  <c r="F149" i="8"/>
  <c r="E149" i="8"/>
  <c r="G148" i="8"/>
  <c r="F148" i="8"/>
  <c r="E148" i="8"/>
  <c r="G147" i="8"/>
  <c r="F147" i="8"/>
  <c r="E147" i="8"/>
  <c r="I146" i="8"/>
  <c r="H146" i="8"/>
  <c r="E146" i="8"/>
  <c r="B146" i="8"/>
  <c r="G145" i="8"/>
  <c r="F145" i="8"/>
  <c r="E145" i="8"/>
  <c r="B145" i="8"/>
  <c r="I144" i="8"/>
  <c r="H144" i="8"/>
  <c r="E144" i="8"/>
  <c r="B144" i="8"/>
  <c r="K143" i="8"/>
  <c r="J143" i="8"/>
  <c r="G143" i="8"/>
  <c r="F143" i="8"/>
  <c r="E143" i="8"/>
  <c r="B143" i="8"/>
  <c r="I142" i="8"/>
  <c r="H142" i="8"/>
  <c r="E142" i="8"/>
  <c r="B142" i="8"/>
  <c r="I140" i="8"/>
  <c r="H140" i="8"/>
  <c r="G140" i="8"/>
  <c r="F140" i="8"/>
  <c r="E140" i="8"/>
  <c r="C140" i="8"/>
  <c r="B140" i="8"/>
  <c r="I137" i="8"/>
  <c r="H137" i="8"/>
  <c r="G137" i="8"/>
  <c r="F137" i="8"/>
  <c r="E136" i="8"/>
  <c r="G134" i="8"/>
  <c r="F134" i="8"/>
  <c r="E134" i="8"/>
  <c r="G133" i="8"/>
  <c r="F133" i="8"/>
  <c r="E133" i="8"/>
  <c r="G132" i="8"/>
  <c r="F132" i="8"/>
  <c r="E132" i="8"/>
  <c r="I131" i="8"/>
  <c r="H131" i="8"/>
  <c r="E131" i="8"/>
  <c r="B131" i="8"/>
  <c r="G130" i="8"/>
  <c r="F130" i="8"/>
  <c r="E130" i="8"/>
  <c r="B130" i="8"/>
  <c r="I129" i="8"/>
  <c r="H129" i="8"/>
  <c r="E129" i="8"/>
  <c r="B129" i="8"/>
  <c r="K128" i="8"/>
  <c r="J128" i="8"/>
  <c r="G128" i="8"/>
  <c r="F128" i="8"/>
  <c r="E128" i="8"/>
  <c r="B128" i="8"/>
  <c r="I127" i="8"/>
  <c r="H127" i="8"/>
  <c r="E127" i="8"/>
  <c r="B127" i="8"/>
  <c r="I125" i="8"/>
  <c r="H125" i="8"/>
  <c r="G125" i="8"/>
  <c r="F125" i="8"/>
  <c r="E125" i="8"/>
  <c r="C125" i="8"/>
  <c r="B125" i="8"/>
  <c r="I122" i="8"/>
  <c r="H122" i="8"/>
  <c r="G122" i="8"/>
  <c r="F122" i="8"/>
  <c r="E121" i="8"/>
  <c r="G119" i="8"/>
  <c r="F119" i="8"/>
  <c r="E119" i="8"/>
  <c r="G118" i="8"/>
  <c r="F118" i="8"/>
  <c r="E118" i="8"/>
  <c r="G117" i="8"/>
  <c r="F117" i="8"/>
  <c r="E117" i="8"/>
  <c r="I116" i="8"/>
  <c r="H116" i="8"/>
  <c r="E116" i="8"/>
  <c r="B116" i="8"/>
  <c r="G115" i="8"/>
  <c r="F115" i="8"/>
  <c r="E115" i="8"/>
  <c r="B115" i="8"/>
  <c r="I114" i="8"/>
  <c r="H114" i="8"/>
  <c r="E114" i="8"/>
  <c r="B114" i="8"/>
  <c r="K113" i="8"/>
  <c r="J113" i="8"/>
  <c r="G113" i="8"/>
  <c r="F113" i="8"/>
  <c r="E113" i="8"/>
  <c r="B113" i="8"/>
  <c r="I112" i="8"/>
  <c r="H112" i="8"/>
  <c r="E112" i="8"/>
  <c r="B112" i="8"/>
  <c r="I110" i="8"/>
  <c r="H110" i="8"/>
  <c r="G110" i="8"/>
  <c r="F110" i="8"/>
  <c r="E110" i="8"/>
  <c r="C110" i="8"/>
  <c r="B110" i="8"/>
  <c r="I107" i="8"/>
  <c r="H107" i="8"/>
  <c r="G107" i="8"/>
  <c r="F107" i="8"/>
  <c r="E106" i="8"/>
  <c r="G104" i="8"/>
  <c r="F104" i="8"/>
  <c r="E104" i="8"/>
  <c r="G103" i="8"/>
  <c r="F103" i="8"/>
  <c r="E103" i="8"/>
  <c r="G102" i="8"/>
  <c r="F102" i="8"/>
  <c r="E102" i="8"/>
  <c r="I101" i="8"/>
  <c r="H101" i="8"/>
  <c r="E101" i="8"/>
  <c r="B101" i="8"/>
  <c r="G100" i="8"/>
  <c r="F100" i="8"/>
  <c r="E100" i="8"/>
  <c r="B100" i="8"/>
  <c r="I99" i="8"/>
  <c r="H99" i="8"/>
  <c r="E99" i="8"/>
  <c r="B99" i="8"/>
  <c r="K98" i="8"/>
  <c r="J98" i="8"/>
  <c r="G98" i="8"/>
  <c r="F98" i="8"/>
  <c r="E98" i="8"/>
  <c r="B98" i="8"/>
  <c r="I97" i="8"/>
  <c r="H97" i="8"/>
  <c r="E97" i="8"/>
  <c r="B97" i="8"/>
  <c r="I95" i="8"/>
  <c r="H95" i="8"/>
  <c r="G95" i="8"/>
  <c r="F95" i="8"/>
  <c r="E95" i="8"/>
  <c r="C95" i="8"/>
  <c r="B95" i="8"/>
  <c r="M93" i="8"/>
  <c r="M92" i="8"/>
  <c r="M91" i="8"/>
  <c r="I91" i="8"/>
  <c r="H91" i="8"/>
  <c r="G91" i="8"/>
  <c r="F91" i="8"/>
  <c r="E90" i="8"/>
  <c r="M89" i="8"/>
  <c r="G88" i="8"/>
  <c r="F88" i="8"/>
  <c r="E88" i="8"/>
  <c r="M87" i="8"/>
  <c r="G87" i="8"/>
  <c r="F87" i="8"/>
  <c r="E87" i="8"/>
  <c r="G86" i="8"/>
  <c r="F86" i="8"/>
  <c r="E86" i="8"/>
  <c r="M85" i="8"/>
  <c r="K85" i="8"/>
  <c r="I85" i="8"/>
  <c r="H85" i="8"/>
  <c r="E85" i="8"/>
  <c r="B85" i="8"/>
  <c r="G84" i="8"/>
  <c r="F84" i="8"/>
  <c r="E84" i="8"/>
  <c r="B84" i="8"/>
  <c r="M83" i="8"/>
  <c r="I83" i="8"/>
  <c r="H83" i="8"/>
  <c r="E83" i="8"/>
  <c r="B83" i="8"/>
  <c r="K82" i="8"/>
  <c r="J82" i="8"/>
  <c r="G82" i="8"/>
  <c r="F82" i="8"/>
  <c r="E82" i="8"/>
  <c r="B82" i="8"/>
  <c r="M81" i="8"/>
  <c r="I81" i="8"/>
  <c r="H81" i="8"/>
  <c r="E81" i="8"/>
  <c r="B81" i="8"/>
  <c r="M79" i="8"/>
  <c r="I79" i="8"/>
  <c r="H79" i="8"/>
  <c r="G79" i="8"/>
  <c r="F79" i="8"/>
  <c r="E79" i="8"/>
  <c r="C79" i="8"/>
  <c r="B79" i="8"/>
  <c r="M78" i="8"/>
  <c r="M77" i="8"/>
  <c r="I76" i="8"/>
  <c r="H76" i="8"/>
  <c r="G76" i="8"/>
  <c r="F76" i="8"/>
  <c r="M75" i="8"/>
  <c r="E75" i="8"/>
  <c r="M73" i="8"/>
  <c r="G73" i="8"/>
  <c r="F73" i="8"/>
  <c r="E73" i="8"/>
  <c r="G72" i="8"/>
  <c r="F72" i="8"/>
  <c r="E72" i="8"/>
  <c r="M71" i="8"/>
  <c r="G71" i="8"/>
  <c r="F71" i="8"/>
  <c r="E71" i="8"/>
  <c r="I70" i="8"/>
  <c r="H70" i="8"/>
  <c r="E70" i="8"/>
  <c r="B70" i="8"/>
  <c r="M69" i="8"/>
  <c r="G69" i="8"/>
  <c r="F69" i="8"/>
  <c r="E69" i="8"/>
  <c r="B69" i="8"/>
  <c r="I68" i="8"/>
  <c r="H68" i="8"/>
  <c r="E68" i="8"/>
  <c r="B68" i="8"/>
  <c r="M67" i="8"/>
  <c r="K67" i="8"/>
  <c r="J67" i="8"/>
  <c r="G67" i="8"/>
  <c r="F67" i="8"/>
  <c r="E67" i="8"/>
  <c r="B67" i="8"/>
  <c r="I66" i="8"/>
  <c r="H66" i="8"/>
  <c r="E66" i="8"/>
  <c r="B66" i="8"/>
  <c r="M65" i="8"/>
  <c r="M64" i="8"/>
  <c r="I64" i="8"/>
  <c r="H64" i="8"/>
  <c r="G64" i="8"/>
  <c r="F64" i="8"/>
  <c r="E64" i="8"/>
  <c r="C64" i="8"/>
  <c r="B64" i="8"/>
  <c r="M62" i="8"/>
  <c r="I61" i="8"/>
  <c r="H61" i="8"/>
  <c r="G61" i="8"/>
  <c r="F61" i="8"/>
  <c r="M60" i="8"/>
  <c r="E60" i="8"/>
  <c r="M58" i="8"/>
  <c r="G58" i="8"/>
  <c r="F58" i="8"/>
  <c r="E58" i="8"/>
  <c r="G57" i="8"/>
  <c r="F57" i="8"/>
  <c r="E57" i="8"/>
  <c r="M56" i="8"/>
  <c r="G56" i="8"/>
  <c r="F56" i="8"/>
  <c r="E56" i="8"/>
  <c r="I55" i="8"/>
  <c r="H55" i="8"/>
  <c r="E55" i="8"/>
  <c r="B55" i="8"/>
  <c r="G54" i="8"/>
  <c r="F54" i="8"/>
  <c r="E54" i="8"/>
  <c r="B54" i="8"/>
  <c r="I53" i="8"/>
  <c r="H53" i="8"/>
  <c r="E53" i="8"/>
  <c r="B53" i="8"/>
  <c r="K52" i="8"/>
  <c r="J52" i="8"/>
  <c r="G52" i="8"/>
  <c r="F52" i="8"/>
  <c r="E52" i="8"/>
  <c r="B52" i="8"/>
  <c r="M51" i="8"/>
  <c r="I51" i="8"/>
  <c r="H51" i="8"/>
  <c r="E51" i="8"/>
  <c r="B51" i="8"/>
  <c r="M49" i="8"/>
  <c r="I49" i="8"/>
  <c r="H49" i="8"/>
  <c r="G49" i="8"/>
  <c r="F49" i="8"/>
  <c r="E49" i="8"/>
  <c r="C49" i="8"/>
  <c r="B49" i="8"/>
  <c r="M48" i="8"/>
  <c r="M46" i="8"/>
  <c r="I45" i="8"/>
  <c r="H45" i="8"/>
  <c r="G45" i="8"/>
  <c r="F45" i="8"/>
  <c r="M44" i="8"/>
  <c r="E44" i="8"/>
  <c r="M43" i="8"/>
  <c r="M42" i="8"/>
  <c r="G42" i="8"/>
  <c r="F42" i="8"/>
  <c r="E42" i="8"/>
  <c r="G41" i="8"/>
  <c r="F41" i="8"/>
  <c r="E41" i="8"/>
  <c r="M40" i="8"/>
  <c r="G40" i="8"/>
  <c r="F40" i="8"/>
  <c r="E40" i="8"/>
  <c r="M39" i="8"/>
  <c r="I39" i="8"/>
  <c r="H39" i="8"/>
  <c r="E39" i="8"/>
  <c r="B39" i="8"/>
  <c r="M38" i="8"/>
  <c r="G38" i="8"/>
  <c r="F38" i="8"/>
  <c r="E38" i="8"/>
  <c r="B38" i="8"/>
  <c r="I37" i="8"/>
  <c r="H37" i="8"/>
  <c r="E37" i="8"/>
  <c r="B37" i="8"/>
  <c r="K36" i="8"/>
  <c r="J36" i="8"/>
  <c r="G36" i="8"/>
  <c r="F36" i="8"/>
  <c r="E36" i="8"/>
  <c r="B36" i="8"/>
  <c r="I35" i="8"/>
  <c r="H35" i="8"/>
  <c r="E35" i="8"/>
  <c r="B35" i="8"/>
  <c r="I34" i="8"/>
  <c r="H34" i="8"/>
  <c r="G34" i="8"/>
  <c r="F34" i="8"/>
  <c r="E34" i="8"/>
  <c r="C34" i="8"/>
  <c r="B34" i="8"/>
  <c r="M29" i="8"/>
  <c r="M28" i="8"/>
  <c r="G28" i="8"/>
  <c r="F28" i="8"/>
  <c r="E28" i="8"/>
  <c r="M27" i="8"/>
  <c r="G27" i="8"/>
  <c r="F27" i="8"/>
  <c r="E27" i="8"/>
  <c r="G26" i="8"/>
  <c r="F26" i="8"/>
  <c r="E26" i="8"/>
  <c r="G24" i="8"/>
  <c r="F24" i="8"/>
  <c r="E24" i="8"/>
  <c r="I23" i="8"/>
  <c r="H23" i="8"/>
  <c r="M22" i="8"/>
  <c r="K22" i="8"/>
  <c r="J22" i="8"/>
  <c r="G22" i="8"/>
  <c r="F22" i="8"/>
  <c r="E22" i="8"/>
  <c r="M21" i="8"/>
  <c r="M20" i="8"/>
  <c r="I19" i="8"/>
  <c r="O15" i="8"/>
  <c r="T35" i="8" s="1"/>
  <c r="N15" i="8"/>
  <c r="O35" i="8" s="1"/>
  <c r="M7" i="8"/>
  <c r="M6" i="8"/>
  <c r="M5" i="8"/>
  <c r="B4" i="8"/>
  <c r="A21" i="1"/>
  <c r="S93" i="11" l="1"/>
  <c r="P5" i="12"/>
  <c r="V21" i="7"/>
  <c r="R85" i="18"/>
  <c r="R87" i="15"/>
  <c r="T89" i="13"/>
  <c r="D191" i="5" s="1"/>
  <c r="O91" i="13"/>
  <c r="P91" i="13" s="1"/>
  <c r="S85" i="13"/>
  <c r="D162" i="5" s="1"/>
  <c r="E162" i="5" s="1"/>
  <c r="S93" i="13"/>
  <c r="P8" i="13"/>
  <c r="S91" i="13"/>
  <c r="R92" i="12"/>
  <c r="T87" i="12"/>
  <c r="J136" i="5" s="1"/>
  <c r="N8" i="12"/>
  <c r="N52" i="12" s="1"/>
  <c r="O52" i="12" s="1"/>
  <c r="P6" i="11"/>
  <c r="P10" i="11"/>
  <c r="P5" i="11"/>
  <c r="N5" i="10"/>
  <c r="N28" i="10" s="1"/>
  <c r="N10" i="10"/>
  <c r="N54" i="10" s="1"/>
  <c r="P6" i="10"/>
  <c r="N6" i="10"/>
  <c r="N78" i="10" s="1"/>
  <c r="S78" i="10" s="1"/>
  <c r="P9" i="10"/>
  <c r="P10" i="10"/>
  <c r="P5" i="10"/>
  <c r="O83" i="10"/>
  <c r="P83" i="10" s="1"/>
  <c r="T93" i="10"/>
  <c r="P7" i="10"/>
  <c r="T83" i="10"/>
  <c r="J80" i="5" s="1"/>
  <c r="S91" i="10"/>
  <c r="J57" i="5" s="1"/>
  <c r="K57" i="5" s="1"/>
  <c r="T91" i="10"/>
  <c r="J84" i="5" s="1"/>
  <c r="P7" i="11"/>
  <c r="R91" i="11"/>
  <c r="P8" i="11"/>
  <c r="R92" i="11"/>
  <c r="N5" i="11"/>
  <c r="N43" i="11" s="1"/>
  <c r="R43" i="11" s="1"/>
  <c r="N10" i="11"/>
  <c r="N54" i="11" s="1"/>
  <c r="O54" i="11" s="1"/>
  <c r="P54" i="11" s="1"/>
  <c r="N9" i="11"/>
  <c r="N53" i="11" s="1"/>
  <c r="O53" i="11" s="1"/>
  <c r="P53" i="11" s="1"/>
  <c r="R85" i="11"/>
  <c r="Q88" i="11"/>
  <c r="T67" i="11"/>
  <c r="D127" i="5" s="1"/>
  <c r="O87" i="11"/>
  <c r="Q87" i="11" s="1"/>
  <c r="O93" i="11"/>
  <c r="P93" i="11" s="1"/>
  <c r="O67" i="11"/>
  <c r="P67" i="11" s="1"/>
  <c r="O69" i="11"/>
  <c r="P69" i="11" s="1"/>
  <c r="D138" i="5"/>
  <c r="T87" i="11"/>
  <c r="D136" i="5" s="1"/>
  <c r="S92" i="11"/>
  <c r="R91" i="12"/>
  <c r="N10" i="12"/>
  <c r="N54" i="12" s="1"/>
  <c r="S54" i="12" s="1"/>
  <c r="P10" i="12"/>
  <c r="R85" i="12"/>
  <c r="N5" i="12"/>
  <c r="N43" i="12" s="1"/>
  <c r="R43" i="12" s="1"/>
  <c r="Q88" i="12"/>
  <c r="O83" i="12"/>
  <c r="P83" i="12" s="1"/>
  <c r="T69" i="12"/>
  <c r="J128" i="5" s="1"/>
  <c r="S83" i="12"/>
  <c r="J107" i="5" s="1"/>
  <c r="K107" i="5" s="1"/>
  <c r="P13" i="12"/>
  <c r="Q36" i="13"/>
  <c r="S36" i="13"/>
  <c r="R91" i="13"/>
  <c r="N6" i="13"/>
  <c r="N78" i="13" s="1"/>
  <c r="R92" i="13"/>
  <c r="P5" i="13"/>
  <c r="Q88" i="13"/>
  <c r="N8" i="13"/>
  <c r="N52" i="13" s="1"/>
  <c r="S52" i="13" s="1"/>
  <c r="R85" i="13"/>
  <c r="N10" i="13"/>
  <c r="N54" i="13" s="1"/>
  <c r="S54" i="13" s="1"/>
  <c r="O67" i="13"/>
  <c r="P67" i="13" s="1"/>
  <c r="O58" i="13"/>
  <c r="P58" i="13" s="1"/>
  <c r="O69" i="13"/>
  <c r="Q69" i="13" s="1"/>
  <c r="N13" i="13"/>
  <c r="N33" i="13" s="1"/>
  <c r="O33" i="13" s="1"/>
  <c r="P33" i="13" s="1"/>
  <c r="P10" i="14"/>
  <c r="S36" i="14"/>
  <c r="N9" i="14"/>
  <c r="N53" i="14" s="1"/>
  <c r="O53" i="14" s="1"/>
  <c r="P53" i="14" s="1"/>
  <c r="P8" i="14"/>
  <c r="R85" i="14"/>
  <c r="Q88" i="14"/>
  <c r="R93" i="14"/>
  <c r="R92" i="14"/>
  <c r="N6" i="14"/>
  <c r="N78" i="14" s="1"/>
  <c r="T69" i="14"/>
  <c r="J182" i="5" s="1"/>
  <c r="S85" i="14"/>
  <c r="J162" i="5" s="1"/>
  <c r="K162" i="5" s="1"/>
  <c r="S91" i="14"/>
  <c r="S93" i="14"/>
  <c r="O69" i="14"/>
  <c r="Q69" i="14" s="1"/>
  <c r="T83" i="14"/>
  <c r="J188" i="5" s="1"/>
  <c r="O85" i="14"/>
  <c r="P85" i="14" s="1"/>
  <c r="O91" i="14"/>
  <c r="P91" i="14" s="1"/>
  <c r="O93" i="14"/>
  <c r="P93" i="14" s="1"/>
  <c r="J192" i="5"/>
  <c r="O71" i="15"/>
  <c r="P71" i="15" s="1"/>
  <c r="T91" i="15"/>
  <c r="T83" i="15"/>
  <c r="D242" i="5" s="1"/>
  <c r="S92" i="15"/>
  <c r="N6" i="16"/>
  <c r="N78" i="16" s="1"/>
  <c r="S78" i="16" s="1"/>
  <c r="O91" i="16"/>
  <c r="P91" i="16" s="1"/>
  <c r="S91" i="16"/>
  <c r="T73" i="16"/>
  <c r="J238" i="5" s="1"/>
  <c r="T83" i="16"/>
  <c r="J242" i="5" s="1"/>
  <c r="O85" i="16"/>
  <c r="Q85" i="16" s="1"/>
  <c r="O87" i="16"/>
  <c r="Q87" i="16" s="1"/>
  <c r="S87" i="16"/>
  <c r="J217" i="5" s="1"/>
  <c r="K217" i="5" s="1"/>
  <c r="O58" i="16"/>
  <c r="S85" i="16"/>
  <c r="J216" i="5" s="1"/>
  <c r="K216" i="5" s="1"/>
  <c r="P10" i="17"/>
  <c r="P8" i="17"/>
  <c r="T71" i="17"/>
  <c r="D291" i="5" s="1"/>
  <c r="P6" i="17"/>
  <c r="P5" i="17"/>
  <c r="T91" i="17"/>
  <c r="T93" i="17"/>
  <c r="T73" i="18"/>
  <c r="J292" i="5" s="1"/>
  <c r="S92" i="18"/>
  <c r="O93" i="18"/>
  <c r="P93" i="18" s="1"/>
  <c r="N5" i="18"/>
  <c r="N39" i="18" s="1"/>
  <c r="N9" i="18"/>
  <c r="N53" i="18" s="1"/>
  <c r="S53" i="18" s="1"/>
  <c r="P7" i="18"/>
  <c r="T92" i="18"/>
  <c r="S93" i="18"/>
  <c r="J273" i="5" s="1"/>
  <c r="K273" i="5" s="1"/>
  <c r="O73" i="18"/>
  <c r="P73" i="18" s="1"/>
  <c r="R89" i="18"/>
  <c r="T91" i="18"/>
  <c r="T83" i="18"/>
  <c r="J296" i="5" s="1"/>
  <c r="V24" i="7"/>
  <c r="V27" i="7"/>
  <c r="V44" i="7"/>
  <c r="V15" i="7"/>
  <c r="V16" i="7"/>
  <c r="V20" i="7"/>
  <c r="V48" i="7"/>
  <c r="V25" i="7"/>
  <c r="V28" i="7"/>
  <c r="V47" i="7"/>
  <c r="P13" i="16"/>
  <c r="N12" i="15"/>
  <c r="N32" i="15" s="1"/>
  <c r="O32" i="15" s="1"/>
  <c r="Q32" i="15" s="1"/>
  <c r="S32" i="15" s="1"/>
  <c r="P12" i="14"/>
  <c r="N12" i="11"/>
  <c r="N32" i="11" s="1"/>
  <c r="O32" i="11" s="1"/>
  <c r="P32" i="11" s="1"/>
  <c r="R51" i="7"/>
  <c r="C82" i="4" s="1"/>
  <c r="V11" i="7"/>
  <c r="V12" i="7"/>
  <c r="V19" i="7"/>
  <c r="V23" i="7"/>
  <c r="V42" i="7"/>
  <c r="V46" i="7"/>
  <c r="V22" i="7"/>
  <c r="V26" i="7"/>
  <c r="V41" i="7"/>
  <c r="V45" i="7"/>
  <c r="V49" i="7"/>
  <c r="S85" i="18"/>
  <c r="J270" i="5" s="1"/>
  <c r="K270" i="5" s="1"/>
  <c r="O67" i="18"/>
  <c r="P67" i="18" s="1"/>
  <c r="O85" i="18"/>
  <c r="P85" i="18" s="1"/>
  <c r="O87" i="18"/>
  <c r="Q87" i="18" s="1"/>
  <c r="S87" i="18"/>
  <c r="J271" i="5" s="1"/>
  <c r="K271" i="5" s="1"/>
  <c r="O91" i="18"/>
  <c r="Q91" i="18" s="1"/>
  <c r="O58" i="18"/>
  <c r="T67" i="18"/>
  <c r="J289" i="5" s="1"/>
  <c r="O83" i="18"/>
  <c r="T69" i="17"/>
  <c r="D290" i="5" s="1"/>
  <c r="T85" i="17"/>
  <c r="D297" i="5" s="1"/>
  <c r="D273" i="5"/>
  <c r="E273" i="5" s="1"/>
  <c r="T92" i="17"/>
  <c r="O69" i="17"/>
  <c r="O71" i="17"/>
  <c r="P71" i="17" s="1"/>
  <c r="T67" i="16"/>
  <c r="J235" i="5" s="1"/>
  <c r="O73" i="16"/>
  <c r="P73" i="16" s="1"/>
  <c r="O83" i="16"/>
  <c r="P83" i="16" s="1"/>
  <c r="O89" i="16"/>
  <c r="Q89" i="16" s="1"/>
  <c r="S92" i="16"/>
  <c r="J219" i="5" s="1"/>
  <c r="K219" i="5" s="1"/>
  <c r="O93" i="16"/>
  <c r="P93" i="16" s="1"/>
  <c r="O67" i="16"/>
  <c r="P67" i="16" s="1"/>
  <c r="O92" i="16"/>
  <c r="Q92" i="16" s="1"/>
  <c r="T93" i="16"/>
  <c r="J246" i="5" s="1"/>
  <c r="Q73" i="16"/>
  <c r="S89" i="16"/>
  <c r="J218" i="5" s="1"/>
  <c r="K218" i="5" s="1"/>
  <c r="P92" i="15"/>
  <c r="Q92" i="15"/>
  <c r="O67" i="15"/>
  <c r="P67" i="15" s="1"/>
  <c r="O73" i="15"/>
  <c r="P73" i="15" s="1"/>
  <c r="O85" i="15"/>
  <c r="P85" i="15" s="1"/>
  <c r="O93" i="15"/>
  <c r="P93" i="15" s="1"/>
  <c r="T67" i="15"/>
  <c r="D235" i="5" s="1"/>
  <c r="S85" i="15"/>
  <c r="D216" i="5" s="1"/>
  <c r="E216" i="5" s="1"/>
  <c r="O91" i="15"/>
  <c r="P91" i="15" s="1"/>
  <c r="T92" i="15"/>
  <c r="S93" i="15"/>
  <c r="O58" i="15"/>
  <c r="O83" i="15"/>
  <c r="O58" i="14"/>
  <c r="P58" i="14" s="1"/>
  <c r="S92" i="14"/>
  <c r="O67" i="14"/>
  <c r="P67" i="14" s="1"/>
  <c r="T89" i="14"/>
  <c r="J191" i="5" s="1"/>
  <c r="T67" i="14"/>
  <c r="J181" i="5" s="1"/>
  <c r="O83" i="14"/>
  <c r="P83" i="14" s="1"/>
  <c r="T87" i="14"/>
  <c r="J190" i="5" s="1"/>
  <c r="O92" i="14"/>
  <c r="P92" i="14" s="1"/>
  <c r="T67" i="13"/>
  <c r="D181" i="5" s="1"/>
  <c r="O83" i="13"/>
  <c r="P83" i="13" s="1"/>
  <c r="T87" i="13"/>
  <c r="D190" i="5" s="1"/>
  <c r="O92" i="13"/>
  <c r="P92" i="13" s="1"/>
  <c r="T69" i="13"/>
  <c r="D182" i="5" s="1"/>
  <c r="T83" i="13"/>
  <c r="D188" i="5" s="1"/>
  <c r="O85" i="13"/>
  <c r="P85" i="13" s="1"/>
  <c r="O93" i="13"/>
  <c r="P93" i="13" s="1"/>
  <c r="D192" i="5"/>
  <c r="S92" i="13"/>
  <c r="S58" i="12"/>
  <c r="J96" i="5" s="1"/>
  <c r="K96" i="5" s="1"/>
  <c r="O69" i="12"/>
  <c r="S85" i="12"/>
  <c r="J108" i="5" s="1"/>
  <c r="K108" i="5" s="1"/>
  <c r="T89" i="12"/>
  <c r="J137" i="5" s="1"/>
  <c r="O91" i="12"/>
  <c r="P91" i="12" s="1"/>
  <c r="S93" i="12"/>
  <c r="O58" i="11"/>
  <c r="P58" i="11" s="1"/>
  <c r="T69" i="11"/>
  <c r="D128" i="5" s="1"/>
  <c r="O83" i="11"/>
  <c r="P83" i="11" s="1"/>
  <c r="O85" i="11"/>
  <c r="P85" i="11" s="1"/>
  <c r="S89" i="11"/>
  <c r="D110" i="5" s="1"/>
  <c r="E110" i="5" s="1"/>
  <c r="O89" i="11"/>
  <c r="P89" i="11" s="1"/>
  <c r="O85" i="10"/>
  <c r="P85" i="10" s="1"/>
  <c r="O92" i="10"/>
  <c r="P92" i="10" s="1"/>
  <c r="O67" i="10"/>
  <c r="P67" i="10" s="1"/>
  <c r="O69" i="10"/>
  <c r="S85" i="10"/>
  <c r="J54" i="5" s="1"/>
  <c r="K54" i="5" s="1"/>
  <c r="S92" i="10"/>
  <c r="O93" i="10"/>
  <c r="P93" i="10" s="1"/>
  <c r="O58" i="10"/>
  <c r="P58" i="10" s="1"/>
  <c r="T69" i="10"/>
  <c r="J74" i="5" s="1"/>
  <c r="T67" i="10"/>
  <c r="J73" i="5" s="1"/>
  <c r="F119" i="4"/>
  <c r="H131" i="4"/>
  <c r="T71" i="13"/>
  <c r="D183" i="5" s="1"/>
  <c r="O71" i="13"/>
  <c r="P71" i="13" s="1"/>
  <c r="O71" i="10"/>
  <c r="P71" i="10" s="1"/>
  <c r="T71" i="10"/>
  <c r="J75" i="5" s="1"/>
  <c r="S73" i="10"/>
  <c r="J49" i="5" s="1"/>
  <c r="K49" i="5" s="1"/>
  <c r="R87" i="10"/>
  <c r="N7" i="11"/>
  <c r="N79" i="11" s="1"/>
  <c r="O79" i="11" s="1"/>
  <c r="P79" i="11" s="1"/>
  <c r="O71" i="11"/>
  <c r="P71" i="11" s="1"/>
  <c r="T71" i="11"/>
  <c r="D129" i="5" s="1"/>
  <c r="S73" i="11"/>
  <c r="D103" i="5" s="1"/>
  <c r="E103" i="5" s="1"/>
  <c r="O91" i="11"/>
  <c r="P91" i="11" s="1"/>
  <c r="N6" i="12"/>
  <c r="N78" i="12" s="1"/>
  <c r="S78" i="12" s="1"/>
  <c r="P8" i="12"/>
  <c r="O92" i="12"/>
  <c r="P92" i="12" s="1"/>
  <c r="P6" i="13"/>
  <c r="S71" i="13"/>
  <c r="D156" i="5" s="1"/>
  <c r="E156" i="5" s="1"/>
  <c r="P7" i="14"/>
  <c r="N7" i="14"/>
  <c r="N45" i="14" s="1"/>
  <c r="S45" i="14" s="1"/>
  <c r="P6" i="14"/>
  <c r="N5" i="14"/>
  <c r="N43" i="14" s="1"/>
  <c r="S43" i="14" s="1"/>
  <c r="T71" i="14"/>
  <c r="J183" i="5" s="1"/>
  <c r="O71" i="14"/>
  <c r="P71" i="14" s="1"/>
  <c r="N7" i="15"/>
  <c r="N79" i="15" s="1"/>
  <c r="S79" i="15" s="1"/>
  <c r="P5" i="15"/>
  <c r="T87" i="15"/>
  <c r="D244" i="5" s="1"/>
  <c r="O87" i="15"/>
  <c r="P87" i="15" s="1"/>
  <c r="N9" i="16"/>
  <c r="N53" i="16" s="1"/>
  <c r="O53" i="16" s="1"/>
  <c r="P53" i="16" s="1"/>
  <c r="P8" i="16"/>
  <c r="P10" i="16"/>
  <c r="P7" i="16"/>
  <c r="P5" i="16"/>
  <c r="S71" i="10"/>
  <c r="J48" i="5" s="1"/>
  <c r="K48" i="5" s="1"/>
  <c r="T69" i="16"/>
  <c r="J236" i="5" s="1"/>
  <c r="O69" i="16"/>
  <c r="P69" i="16" s="1"/>
  <c r="S69" i="16"/>
  <c r="J209" i="5" s="1"/>
  <c r="K209" i="5" s="1"/>
  <c r="R93" i="17"/>
  <c r="R92" i="17"/>
  <c r="R91" i="17"/>
  <c r="Q88" i="17"/>
  <c r="R85" i="17"/>
  <c r="R89" i="17"/>
  <c r="Q90" i="17"/>
  <c r="R87" i="17"/>
  <c r="P7" i="8"/>
  <c r="P8" i="10"/>
  <c r="R89" i="10"/>
  <c r="Q90" i="10"/>
  <c r="A33" i="4"/>
  <c r="N7" i="10"/>
  <c r="N79" i="10" s="1"/>
  <c r="S79" i="10" s="1"/>
  <c r="N9" i="10"/>
  <c r="N53" i="10" s="1"/>
  <c r="S53" i="10" s="1"/>
  <c r="Q36" i="10"/>
  <c r="O73" i="10"/>
  <c r="O87" i="10"/>
  <c r="S87" i="10"/>
  <c r="J55" i="5" s="1"/>
  <c r="K55" i="5" s="1"/>
  <c r="O89" i="10"/>
  <c r="S89" i="10"/>
  <c r="J56" i="5" s="1"/>
  <c r="K56" i="5" s="1"/>
  <c r="Q91" i="10"/>
  <c r="N6" i="11"/>
  <c r="N22" i="11" s="1"/>
  <c r="P9" i="11"/>
  <c r="Q36" i="11"/>
  <c r="O73" i="11"/>
  <c r="S83" i="11"/>
  <c r="D107" i="5" s="1"/>
  <c r="E107" i="5" s="1"/>
  <c r="T85" i="11"/>
  <c r="D135" i="5" s="1"/>
  <c r="O92" i="11"/>
  <c r="P92" i="11" s="1"/>
  <c r="P6" i="12"/>
  <c r="O67" i="12"/>
  <c r="P67" i="12" s="1"/>
  <c r="T71" i="12"/>
  <c r="J129" i="5" s="1"/>
  <c r="O71" i="12"/>
  <c r="O85" i="12"/>
  <c r="P85" i="12" s="1"/>
  <c r="S91" i="12"/>
  <c r="O93" i="12"/>
  <c r="P93" i="12" s="1"/>
  <c r="N5" i="13"/>
  <c r="N77" i="13" s="1"/>
  <c r="S77" i="13" s="1"/>
  <c r="P7" i="13"/>
  <c r="N7" i="13"/>
  <c r="N45" i="13" s="1"/>
  <c r="R45" i="13" s="1"/>
  <c r="P10" i="13"/>
  <c r="P9" i="13"/>
  <c r="Q93" i="13"/>
  <c r="S71" i="14"/>
  <c r="J156" i="5" s="1"/>
  <c r="K156" i="5" s="1"/>
  <c r="P7" i="15"/>
  <c r="P92" i="16"/>
  <c r="T73" i="17"/>
  <c r="D292" i="5" s="1"/>
  <c r="O73" i="17"/>
  <c r="P73" i="17" s="1"/>
  <c r="S73" i="17"/>
  <c r="D265" i="5" s="1"/>
  <c r="E265" i="5" s="1"/>
  <c r="P6" i="15"/>
  <c r="N6" i="15"/>
  <c r="N22" i="15" s="1"/>
  <c r="O22" i="15" s="1"/>
  <c r="R85" i="10"/>
  <c r="Q88" i="10"/>
  <c r="R91" i="10"/>
  <c r="R92" i="10"/>
  <c r="N8" i="11"/>
  <c r="N52" i="11" s="1"/>
  <c r="O52" i="11" s="1"/>
  <c r="S91" i="11"/>
  <c r="P7" i="12"/>
  <c r="N7" i="12"/>
  <c r="N79" i="12" s="1"/>
  <c r="S79" i="12" s="1"/>
  <c r="S36" i="12"/>
  <c r="P9" i="12"/>
  <c r="N9" i="12"/>
  <c r="N53" i="12" s="1"/>
  <c r="S53" i="12" s="1"/>
  <c r="Q58" i="12"/>
  <c r="S67" i="12"/>
  <c r="J100" i="5" s="1"/>
  <c r="K100" i="5" s="1"/>
  <c r="J138" i="5"/>
  <c r="S92" i="12"/>
  <c r="N9" i="13"/>
  <c r="N53" i="13" s="1"/>
  <c r="S53" i="13" s="1"/>
  <c r="P5" i="14"/>
  <c r="P9" i="14"/>
  <c r="N10" i="14"/>
  <c r="N54" i="14" s="1"/>
  <c r="O54" i="14" s="1"/>
  <c r="P54" i="14" s="1"/>
  <c r="N8" i="14"/>
  <c r="N52" i="14" s="1"/>
  <c r="O52" i="14" s="1"/>
  <c r="P9" i="15"/>
  <c r="P8" i="15"/>
  <c r="S87" i="15"/>
  <c r="D217" i="5" s="1"/>
  <c r="E217" i="5" s="1"/>
  <c r="P9" i="16"/>
  <c r="S87" i="17"/>
  <c r="D271" i="5" s="1"/>
  <c r="E271" i="5" s="1"/>
  <c r="O87" i="17"/>
  <c r="P87" i="17" s="1"/>
  <c r="T87" i="17"/>
  <c r="D298" i="5" s="1"/>
  <c r="R87" i="11"/>
  <c r="R89" i="11"/>
  <c r="Q90" i="11"/>
  <c r="N13" i="12"/>
  <c r="N33" i="12" s="1"/>
  <c r="O33" i="12" s="1"/>
  <c r="P33" i="12" s="1"/>
  <c r="S73" i="12"/>
  <c r="J103" i="5" s="1"/>
  <c r="K103" i="5" s="1"/>
  <c r="R87" i="12"/>
  <c r="R89" i="12"/>
  <c r="Q90" i="12"/>
  <c r="P12" i="12"/>
  <c r="S73" i="13"/>
  <c r="D157" i="5" s="1"/>
  <c r="E157" i="5" s="1"/>
  <c r="R87" i="13"/>
  <c r="R89" i="13"/>
  <c r="Q90" i="13"/>
  <c r="S73" i="14"/>
  <c r="J157" i="5" s="1"/>
  <c r="K157" i="5" s="1"/>
  <c r="R87" i="14"/>
  <c r="R89" i="14"/>
  <c r="Q90" i="14"/>
  <c r="N10" i="15"/>
  <c r="N54" i="15" s="1"/>
  <c r="N8" i="15"/>
  <c r="N52" i="15" s="1"/>
  <c r="O52" i="15" s="1"/>
  <c r="P52" i="15" s="1"/>
  <c r="Q90" i="15"/>
  <c r="R93" i="15"/>
  <c r="R92" i="15"/>
  <c r="R91" i="15"/>
  <c r="Q88" i="15"/>
  <c r="R85" i="15"/>
  <c r="S89" i="15"/>
  <c r="D218" i="5" s="1"/>
  <c r="E218" i="5" s="1"/>
  <c r="N5" i="16"/>
  <c r="N47" i="16" s="1"/>
  <c r="N7" i="16"/>
  <c r="N41" i="16" s="1"/>
  <c r="O41" i="16" s="1"/>
  <c r="P41" i="16" s="1"/>
  <c r="N10" i="16"/>
  <c r="N54" i="16" s="1"/>
  <c r="Q36" i="16"/>
  <c r="N7" i="17"/>
  <c r="N23" i="17" s="1"/>
  <c r="O23" i="17" s="1"/>
  <c r="P7" i="17"/>
  <c r="N7" i="18"/>
  <c r="N79" i="18" s="1"/>
  <c r="O79" i="18" s="1"/>
  <c r="P79" i="18" s="1"/>
  <c r="P9" i="18"/>
  <c r="P10" i="18"/>
  <c r="P8" i="18"/>
  <c r="N10" i="18"/>
  <c r="N54" i="18" s="1"/>
  <c r="S54" i="18" s="1"/>
  <c r="N8" i="18"/>
  <c r="N52" i="18" s="1"/>
  <c r="O52" i="18" s="1"/>
  <c r="P52" i="18" s="1"/>
  <c r="T69" i="18"/>
  <c r="J290" i="5" s="1"/>
  <c r="O69" i="18"/>
  <c r="P69" i="18" s="1"/>
  <c r="P92" i="18"/>
  <c r="Q92" i="18"/>
  <c r="L37" i="9"/>
  <c r="Q92" i="11"/>
  <c r="O73" i="12"/>
  <c r="O87" i="12"/>
  <c r="O89" i="12"/>
  <c r="Q67" i="13"/>
  <c r="O73" i="13"/>
  <c r="Q83" i="13"/>
  <c r="O87" i="13"/>
  <c r="O89" i="13"/>
  <c r="Q91" i="13"/>
  <c r="Q58" i="14"/>
  <c r="O73" i="14"/>
  <c r="O87" i="14"/>
  <c r="O89" i="14"/>
  <c r="N5" i="15"/>
  <c r="N47" i="15" s="1"/>
  <c r="N9" i="15"/>
  <c r="N53" i="15" s="1"/>
  <c r="O53" i="15" s="1"/>
  <c r="P53" i="15" s="1"/>
  <c r="Q36" i="15"/>
  <c r="S73" i="15"/>
  <c r="D211" i="5" s="1"/>
  <c r="E211" i="5" s="1"/>
  <c r="Q85" i="15"/>
  <c r="O89" i="15"/>
  <c r="N5" i="17"/>
  <c r="N43" i="17" s="1"/>
  <c r="S89" i="17"/>
  <c r="D272" i="5" s="1"/>
  <c r="E272" i="5" s="1"/>
  <c r="O89" i="17"/>
  <c r="P89" i="17" s="1"/>
  <c r="T89" i="17"/>
  <c r="D299" i="5" s="1"/>
  <c r="P5" i="18"/>
  <c r="Q36" i="18"/>
  <c r="N11" i="13"/>
  <c r="N24" i="13" s="1"/>
  <c r="O24" i="13" s="1"/>
  <c r="P24" i="13" s="1"/>
  <c r="T69" i="15"/>
  <c r="D236" i="5" s="1"/>
  <c r="O69" i="15"/>
  <c r="P69" i="15" s="1"/>
  <c r="Q71" i="15"/>
  <c r="T71" i="15"/>
  <c r="D237" i="5" s="1"/>
  <c r="P6" i="16"/>
  <c r="T71" i="16"/>
  <c r="J237" i="5" s="1"/>
  <c r="O71" i="16"/>
  <c r="P71" i="16" s="1"/>
  <c r="N6" i="17"/>
  <c r="N22" i="17" s="1"/>
  <c r="S22" i="17" s="1"/>
  <c r="N9" i="17"/>
  <c r="N53" i="17" s="1"/>
  <c r="S53" i="17" s="1"/>
  <c r="N10" i="17"/>
  <c r="N65" i="17" s="1"/>
  <c r="N8" i="17"/>
  <c r="N52" i="17" s="1"/>
  <c r="O52" i="17" s="1"/>
  <c r="Q52" i="17" s="1"/>
  <c r="P9" i="17"/>
  <c r="Q36" i="17"/>
  <c r="S36" i="17"/>
  <c r="N6" i="18"/>
  <c r="N48" i="18" s="1"/>
  <c r="P6" i="18"/>
  <c r="L47" i="9"/>
  <c r="L41" i="9"/>
  <c r="L46" i="9"/>
  <c r="L39" i="9"/>
  <c r="L45" i="9"/>
  <c r="L44" i="9"/>
  <c r="D50" i="4"/>
  <c r="A96" i="4"/>
  <c r="S58" i="17"/>
  <c r="D258" i="5" s="1"/>
  <c r="E258" i="5" s="1"/>
  <c r="S67" i="17"/>
  <c r="D262" i="5" s="1"/>
  <c r="E262" i="5" s="1"/>
  <c r="S83" i="17"/>
  <c r="D269" i="5" s="1"/>
  <c r="E269" i="5" s="1"/>
  <c r="S71" i="18"/>
  <c r="J264" i="5" s="1"/>
  <c r="K264" i="5" s="1"/>
  <c r="P36" i="9"/>
  <c r="Z36" i="9"/>
  <c r="U37" i="9"/>
  <c r="W10" i="7"/>
  <c r="W14" i="7"/>
  <c r="W18" i="7"/>
  <c r="W29" i="7"/>
  <c r="W30" i="7"/>
  <c r="W31" i="7"/>
  <c r="W32" i="7"/>
  <c r="W33" i="7"/>
  <c r="W34" i="7"/>
  <c r="W35" i="7"/>
  <c r="W36" i="7"/>
  <c r="W37" i="7"/>
  <c r="W38" i="7"/>
  <c r="W39" i="7"/>
  <c r="K40" i="7"/>
  <c r="W40" i="7"/>
  <c r="N8" i="16"/>
  <c r="N52" i="16" s="1"/>
  <c r="O52" i="16" s="1"/>
  <c r="P52" i="16" s="1"/>
  <c r="R85" i="16"/>
  <c r="Q88" i="16"/>
  <c r="R91" i="16"/>
  <c r="R92" i="16"/>
  <c r="R93" i="16"/>
  <c r="O58" i="17"/>
  <c r="P58" i="17" s="1"/>
  <c r="O67" i="17"/>
  <c r="P67" i="17" s="1"/>
  <c r="T67" i="17"/>
  <c r="D289" i="5" s="1"/>
  <c r="O83" i="17"/>
  <c r="P83" i="17" s="1"/>
  <c r="T83" i="17"/>
  <c r="D296" i="5" s="1"/>
  <c r="O85" i="17"/>
  <c r="P85" i="17" s="1"/>
  <c r="O91" i="17"/>
  <c r="P91" i="17" s="1"/>
  <c r="O92" i="17"/>
  <c r="P92" i="17" s="1"/>
  <c r="O93" i="17"/>
  <c r="P93" i="17" s="1"/>
  <c r="O71" i="18"/>
  <c r="P71" i="18" s="1"/>
  <c r="T71" i="18"/>
  <c r="J291" i="5" s="1"/>
  <c r="R87" i="18"/>
  <c r="O89" i="18"/>
  <c r="P89" i="18" s="1"/>
  <c r="S89" i="18"/>
  <c r="J272" i="5" s="1"/>
  <c r="K272" i="5" s="1"/>
  <c r="R91" i="18"/>
  <c r="R92" i="18"/>
  <c r="U36" i="9"/>
  <c r="AA36" i="9"/>
  <c r="Z37" i="9"/>
  <c r="W11" i="7"/>
  <c r="W15" i="7"/>
  <c r="W19" i="7"/>
  <c r="W20" i="7"/>
  <c r="W21" i="7"/>
  <c r="W22" i="7"/>
  <c r="W23" i="7"/>
  <c r="W24" i="7"/>
  <c r="W25" i="7"/>
  <c r="W26" i="7"/>
  <c r="W27" i="7"/>
  <c r="W28" i="7"/>
  <c r="Q50" i="7"/>
  <c r="Q51" i="7"/>
  <c r="V36" i="9"/>
  <c r="AA73" i="7" a="1"/>
  <c r="AA73" i="7" s="1"/>
  <c r="AC74" i="7" a="1"/>
  <c r="AC74" i="7" s="1"/>
  <c r="V9" i="7"/>
  <c r="W12" i="7"/>
  <c r="V13" i="7"/>
  <c r="W16" i="7"/>
  <c r="V17" i="7"/>
  <c r="S50" i="7"/>
  <c r="R87" i="16"/>
  <c r="R89" i="16"/>
  <c r="N12" i="16"/>
  <c r="N25" i="16" s="1"/>
  <c r="P13" i="17"/>
  <c r="P12" i="17"/>
  <c r="P11" i="18"/>
  <c r="N12" i="18"/>
  <c r="N32" i="18" s="1"/>
  <c r="O32" i="18" s="1"/>
  <c r="P13" i="18"/>
  <c r="L36" i="9"/>
  <c r="K8" i="7"/>
  <c r="T51" i="7"/>
  <c r="R50" i="7"/>
  <c r="W8" i="7"/>
  <c r="W9" i="7"/>
  <c r="V10" i="7"/>
  <c r="W13" i="7"/>
  <c r="V14" i="7"/>
  <c r="W17" i="7"/>
  <c r="V18" i="7"/>
  <c r="V29" i="7"/>
  <c r="V30" i="7"/>
  <c r="V31" i="7"/>
  <c r="V32" i="7"/>
  <c r="V33" i="7"/>
  <c r="V34" i="7"/>
  <c r="V35" i="7"/>
  <c r="V36" i="7"/>
  <c r="V37" i="7"/>
  <c r="V38" i="7"/>
  <c r="V39" i="7"/>
  <c r="V40" i="7"/>
  <c r="T50" i="7"/>
  <c r="S51" i="7"/>
  <c r="W41" i="7"/>
  <c r="W42" i="7"/>
  <c r="W43" i="7"/>
  <c r="W44" i="7"/>
  <c r="W45" i="7"/>
  <c r="W46" i="7"/>
  <c r="W47" i="7"/>
  <c r="W48" i="7"/>
  <c r="W49" i="7"/>
  <c r="E116" i="4"/>
  <c r="E89" i="4"/>
  <c r="N12" i="10"/>
  <c r="N25" i="10" s="1"/>
  <c r="P11" i="10"/>
  <c r="P13" i="10"/>
  <c r="P13" i="11"/>
  <c r="P11" i="11"/>
  <c r="P12" i="11"/>
  <c r="N11" i="12"/>
  <c r="N31" i="12" s="1"/>
  <c r="O31" i="12" s="1"/>
  <c r="N12" i="12"/>
  <c r="N32" i="12" s="1"/>
  <c r="O32" i="12" s="1"/>
  <c r="P32" i="12" s="1"/>
  <c r="P11" i="12"/>
  <c r="P12" i="13"/>
  <c r="P11" i="13"/>
  <c r="P13" i="13"/>
  <c r="P11" i="14"/>
  <c r="N12" i="14"/>
  <c r="N32" i="14" s="1"/>
  <c r="O32" i="14" s="1"/>
  <c r="P13" i="14"/>
  <c r="P12" i="15"/>
  <c r="P11" i="15"/>
  <c r="P13" i="15"/>
  <c r="N11" i="16"/>
  <c r="N24" i="16" s="1"/>
  <c r="O24" i="16" s="1"/>
  <c r="P24" i="16" s="1"/>
  <c r="N13" i="16"/>
  <c r="N26" i="16" s="1"/>
  <c r="O26" i="16" s="1"/>
  <c r="P26" i="16" s="1"/>
  <c r="P12" i="16"/>
  <c r="P11" i="16"/>
  <c r="P11" i="17"/>
  <c r="N11" i="17"/>
  <c r="N31" i="17" s="1"/>
  <c r="O31" i="17" s="1"/>
  <c r="P31" i="17" s="1"/>
  <c r="N12" i="17"/>
  <c r="N25" i="17" s="1"/>
  <c r="O25" i="17" s="1"/>
  <c r="Q25" i="17" s="1"/>
  <c r="S25" i="17" s="1"/>
  <c r="N13" i="17"/>
  <c r="N33" i="17" s="1"/>
  <c r="O33" i="17" s="1"/>
  <c r="P33" i="17" s="1"/>
  <c r="P12" i="18"/>
  <c r="N11" i="18"/>
  <c r="N24" i="18" s="1"/>
  <c r="O24" i="18" s="1"/>
  <c r="P24" i="18" s="1"/>
  <c r="N13" i="18"/>
  <c r="N26" i="18" s="1"/>
  <c r="O26" i="18" s="1"/>
  <c r="P26" i="18" s="1"/>
  <c r="N11" i="15"/>
  <c r="N24" i="15" s="1"/>
  <c r="O24" i="15" s="1"/>
  <c r="P24" i="15" s="1"/>
  <c r="N13" i="15"/>
  <c r="N26" i="15" s="1"/>
  <c r="O26" i="15" s="1"/>
  <c r="P26" i="15" s="1"/>
  <c r="N11" i="14"/>
  <c r="N24" i="14" s="1"/>
  <c r="O24" i="14" s="1"/>
  <c r="P24" i="14" s="1"/>
  <c r="N13" i="14"/>
  <c r="N33" i="14" s="1"/>
  <c r="O33" i="14" s="1"/>
  <c r="P33" i="14" s="1"/>
  <c r="N12" i="13"/>
  <c r="N32" i="13" s="1"/>
  <c r="O32" i="13" s="1"/>
  <c r="P32" i="13" s="1"/>
  <c r="N11" i="11"/>
  <c r="N31" i="11" s="1"/>
  <c r="O31" i="11" s="1"/>
  <c r="P31" i="11" s="1"/>
  <c r="N13" i="11"/>
  <c r="N33" i="11" s="1"/>
  <c r="O33" i="11" s="1"/>
  <c r="P33" i="11" s="1"/>
  <c r="P12" i="10"/>
  <c r="N11" i="10"/>
  <c r="N24" i="10" s="1"/>
  <c r="O24" i="10" s="1"/>
  <c r="P24" i="10" s="1"/>
  <c r="N13" i="10"/>
  <c r="N26" i="10" s="1"/>
  <c r="O26" i="10" s="1"/>
  <c r="P5" i="8"/>
  <c r="N6" i="8"/>
  <c r="P9" i="8"/>
  <c r="P11" i="8"/>
  <c r="P13" i="8"/>
  <c r="AA72" i="7" a="1"/>
  <c r="AA72" i="7" s="1"/>
  <c r="AB70" i="7" a="1"/>
  <c r="AB70" i="7" s="1"/>
  <c r="AG61" i="7" a="1"/>
  <c r="AG61" i="7" s="1"/>
  <c r="AI74" i="7" a="1"/>
  <c r="AI74" i="7" s="1"/>
  <c r="AM70" i="7" a="1"/>
  <c r="AM70" i="7" s="1"/>
  <c r="AO73" i="7" a="1"/>
  <c r="AO73" i="7" s="1"/>
  <c r="AG75" i="7" a="1"/>
  <c r="AG75" i="7" s="1"/>
  <c r="AI73" i="7" a="1"/>
  <c r="AI73" i="7" s="1"/>
  <c r="AK60" i="7" a="1"/>
  <c r="AK60" i="7" s="1"/>
  <c r="AL74" i="7" a="1"/>
  <c r="AL74" i="7" s="1"/>
  <c r="N13" i="8"/>
  <c r="N32" i="8" s="1"/>
  <c r="O32" i="8" s="1"/>
  <c r="Q32" i="8" s="1"/>
  <c r="S32" i="8" s="1"/>
  <c r="N11" i="8"/>
  <c r="P12" i="8"/>
  <c r="E77" i="4"/>
  <c r="C88" i="4"/>
  <c r="C91" i="4"/>
  <c r="C100" i="4"/>
  <c r="E118" i="4"/>
  <c r="F77" i="4"/>
  <c r="E91" i="4"/>
  <c r="E94" i="4"/>
  <c r="C129" i="4"/>
  <c r="N7" i="8"/>
  <c r="P6" i="8"/>
  <c r="N9" i="8"/>
  <c r="N53" i="8" s="1"/>
  <c r="O53" i="8" s="1"/>
  <c r="P53" i="8" s="1"/>
  <c r="N12" i="8"/>
  <c r="E88" i="4"/>
  <c r="R89" i="8"/>
  <c r="K135" i="4" s="1"/>
  <c r="B33" i="4"/>
  <c r="L33" i="4" s="1"/>
  <c r="A15" i="4"/>
  <c r="F99" i="4"/>
  <c r="E103" i="4"/>
  <c r="C112" i="4"/>
  <c r="C126" i="4"/>
  <c r="R87" i="8"/>
  <c r="K133" i="4" s="1"/>
  <c r="N5" i="8"/>
  <c r="S35" i="8"/>
  <c r="R85" i="8"/>
  <c r="K131" i="4" s="1"/>
  <c r="Q88" i="8"/>
  <c r="R91" i="8"/>
  <c r="R92" i="8"/>
  <c r="R93" i="8"/>
  <c r="B15" i="4"/>
  <c r="H15" i="4" s="1"/>
  <c r="H88" i="4"/>
  <c r="F91" i="4"/>
  <c r="H100" i="4"/>
  <c r="F110" i="4"/>
  <c r="H112" i="4"/>
  <c r="E129" i="4"/>
  <c r="Q90" i="8"/>
  <c r="N8" i="8"/>
  <c r="N10" i="8"/>
  <c r="Q35" i="8"/>
  <c r="P8" i="8"/>
  <c r="P10" i="8"/>
  <c r="V37" i="9"/>
  <c r="H129" i="4"/>
  <c r="G88" i="4"/>
  <c r="F89" i="4"/>
  <c r="E93" i="4"/>
  <c r="E100" i="4"/>
  <c r="E102" i="4"/>
  <c r="F121" i="4"/>
  <c r="E126" i="4"/>
  <c r="G129" i="4"/>
  <c r="H133" i="4"/>
  <c r="H93" i="4"/>
  <c r="G100" i="4"/>
  <c r="H102" i="4"/>
  <c r="E112" i="4"/>
  <c r="E114" i="4"/>
  <c r="G126" i="4"/>
  <c r="H135" i="4"/>
  <c r="G112" i="4"/>
  <c r="H114" i="4"/>
  <c r="Z54" i="7" a="1"/>
  <c r="Z54" i="7" s="1"/>
  <c r="Z55" i="7" a="1"/>
  <c r="Z55" i="7" s="1"/>
  <c r="Z56" i="7" a="1"/>
  <c r="Z56" i="7" s="1"/>
  <c r="AL57" i="7" a="1"/>
  <c r="AL57" i="7" s="1"/>
  <c r="Z59" i="7" a="1"/>
  <c r="Z59" i="7" s="1"/>
  <c r="AC61" i="7" a="1"/>
  <c r="AC61" i="7" s="1"/>
  <c r="AL61" i="7" a="1"/>
  <c r="AL61" i="7" s="1"/>
  <c r="AG73" i="7" a="1"/>
  <c r="AG73" i="7" s="1"/>
  <c r="AC75" i="7" a="1"/>
  <c r="AC75" i="7" s="1"/>
  <c r="AL55" i="7" a="1"/>
  <c r="AL55" i="7" s="1"/>
  <c r="AL56" i="7" a="1"/>
  <c r="AL56" i="7" s="1"/>
  <c r="Z58" i="7" a="1"/>
  <c r="Z58" i="7" s="1"/>
  <c r="AL59" i="7" a="1"/>
  <c r="AL59" i="7" s="1"/>
  <c r="AL60" i="7" a="1"/>
  <c r="AL60" i="7" s="1"/>
  <c r="Z62" i="7" a="1"/>
  <c r="Z62" i="7" s="1"/>
  <c r="AM66" i="7" a="1"/>
  <c r="AM66" i="7" s="1"/>
  <c r="AH67" i="7" a="1"/>
  <c r="AH67" i="7" s="1"/>
  <c r="AB68" i="7" a="1"/>
  <c r="AB68" i="7" s="1"/>
  <c r="AM68" i="7" a="1"/>
  <c r="AM68" i="7" s="1"/>
  <c r="AM69" i="7" a="1"/>
  <c r="AM69" i="7" s="1"/>
  <c r="AH70" i="7" a="1"/>
  <c r="AH70" i="7" s="1"/>
  <c r="AB71" i="7" a="1"/>
  <c r="AB71" i="7" s="1"/>
  <c r="AL71" i="7" a="1"/>
  <c r="AL71" i="7" s="1"/>
  <c r="AL72" i="7" a="1"/>
  <c r="AL72" i="7" s="1"/>
  <c r="AK54" i="7" a="1"/>
  <c r="AK54" i="7" s="1"/>
  <c r="AK55" i="7" a="1"/>
  <c r="AK55" i="7" s="1"/>
  <c r="AK56" i="7" a="1"/>
  <c r="AK56" i="7" s="1"/>
  <c r="AK57" i="7" a="1"/>
  <c r="AK57" i="7" s="1"/>
  <c r="AK58" i="7" a="1"/>
  <c r="AK58" i="7" s="1"/>
  <c r="AK59" i="7" a="1"/>
  <c r="AK59" i="7" s="1"/>
  <c r="AC66" i="7" a="1"/>
  <c r="AC66" i="7" s="1"/>
  <c r="AI66" i="7" a="1"/>
  <c r="AI66" i="7" s="1"/>
  <c r="AC67" i="7" a="1"/>
  <c r="AC67" i="7" s="1"/>
  <c r="AI67" i="7" a="1"/>
  <c r="AI67" i="7" s="1"/>
  <c r="AC68" i="7" a="1"/>
  <c r="AC68" i="7" s="1"/>
  <c r="AI68" i="7" a="1"/>
  <c r="AI68" i="7" s="1"/>
  <c r="AC69" i="7" a="1"/>
  <c r="AC69" i="7" s="1"/>
  <c r="AI69" i="7" a="1"/>
  <c r="AI69" i="7" s="1"/>
  <c r="AC70" i="7" a="1"/>
  <c r="AC70" i="7" s="1"/>
  <c r="AI70" i="7" a="1"/>
  <c r="AI70" i="7" s="1"/>
  <c r="AC71" i="7" a="1"/>
  <c r="AC71" i="7" s="1"/>
  <c r="AI71" i="7" a="1"/>
  <c r="AI71" i="7" s="1"/>
  <c r="AM71" i="7" a="1"/>
  <c r="AM71" i="7" s="1"/>
  <c r="AC72" i="7" a="1"/>
  <c r="AC72" i="7" s="1"/>
  <c r="AA74" i="7" a="1"/>
  <c r="AA74" i="7" s="1"/>
  <c r="AL54" i="7" a="1"/>
  <c r="AL54" i="7" s="1"/>
  <c r="Z57" i="7" a="1"/>
  <c r="Z57" i="7" s="1"/>
  <c r="AL58" i="7" a="1"/>
  <c r="AL58" i="7" s="1"/>
  <c r="Z60" i="7" a="1"/>
  <c r="Z60" i="7" s="1"/>
  <c r="AB66" i="7" a="1"/>
  <c r="AB66" i="7" s="1"/>
  <c r="AH66" i="7" a="1"/>
  <c r="AH66" i="7" s="1"/>
  <c r="AB67" i="7" a="1"/>
  <c r="AB67" i="7" s="1"/>
  <c r="AM67" i="7" a="1"/>
  <c r="AM67" i="7" s="1"/>
  <c r="AH68" i="7" a="1"/>
  <c r="AH68" i="7" s="1"/>
  <c r="AB69" i="7" a="1"/>
  <c r="AB69" i="7" s="1"/>
  <c r="AH69" i="7" a="1"/>
  <c r="AH69" i="7" s="1"/>
  <c r="AH71" i="7" a="1"/>
  <c r="AH71" i="7" s="1"/>
  <c r="AF75" i="7" a="1"/>
  <c r="AF75" i="7" s="1"/>
  <c r="AF74" i="7" a="1"/>
  <c r="AF74" i="7" s="1"/>
  <c r="AF73" i="7" a="1"/>
  <c r="AF73" i="7" s="1"/>
  <c r="AF72" i="7" a="1"/>
  <c r="AF72" i="7" s="1"/>
  <c r="AG62" i="7" a="1"/>
  <c r="AG62" i="7" s="1"/>
  <c r="AG63" i="7" a="1"/>
  <c r="AG63" i="7" s="1"/>
  <c r="AH75" i="7" a="1"/>
  <c r="AH75" i="7" s="1"/>
  <c r="AH74" i="7" a="1"/>
  <c r="AH74" i="7" s="1"/>
  <c r="AH73" i="7" a="1"/>
  <c r="AH73" i="7" s="1"/>
  <c r="AH72" i="7" a="1"/>
  <c r="AH72" i="7" s="1"/>
  <c r="AJ73" i="7" a="1"/>
  <c r="AJ73" i="7" s="1"/>
  <c r="AJ75" i="7" a="1"/>
  <c r="AJ75" i="7" s="1"/>
  <c r="AJ74" i="7" a="1"/>
  <c r="AJ74" i="7" s="1"/>
  <c r="AJ72" i="7" a="1"/>
  <c r="AJ72" i="7" s="1"/>
  <c r="AJ70" i="7" a="1"/>
  <c r="AJ70" i="7" s="1"/>
  <c r="AJ69" i="7" a="1"/>
  <c r="AJ69" i="7" s="1"/>
  <c r="AJ68" i="7" a="1"/>
  <c r="AJ68" i="7" s="1"/>
  <c r="AJ67" i="7" a="1"/>
  <c r="AJ67" i="7" s="1"/>
  <c r="AJ66" i="7" a="1"/>
  <c r="AJ66" i="7" s="1"/>
  <c r="AK63" i="7" a="1"/>
  <c r="AK63" i="7" s="1"/>
  <c r="AK61" i="7" a="1"/>
  <c r="AK61" i="7" s="1"/>
  <c r="AK75" i="7" a="1"/>
  <c r="AK75" i="7" s="1"/>
  <c r="AK74" i="7" a="1"/>
  <c r="AK74" i="7" s="1"/>
  <c r="AK72" i="7" a="1"/>
  <c r="AK72" i="7" s="1"/>
  <c r="AK70" i="7" a="1"/>
  <c r="AK70" i="7" s="1"/>
  <c r="AK69" i="7" a="1"/>
  <c r="AK69" i="7" s="1"/>
  <c r="AK68" i="7" a="1"/>
  <c r="AK68" i="7" s="1"/>
  <c r="AK67" i="7" a="1"/>
  <c r="AK67" i="7" s="1"/>
  <c r="AK66" i="7" a="1"/>
  <c r="AK66" i="7" s="1"/>
  <c r="AK62" i="7" a="1"/>
  <c r="AK62" i="7" s="1"/>
  <c r="AM75" i="7" a="1"/>
  <c r="AM75" i="7" s="1"/>
  <c r="AM74" i="7" a="1"/>
  <c r="AM74" i="7" s="1"/>
  <c r="AL73" i="7" a="1"/>
  <c r="AL73" i="7" s="1"/>
  <c r="AM72" i="7" a="1"/>
  <c r="AM72" i="7" s="1"/>
  <c r="AL75" i="7" a="1"/>
  <c r="AL75" i="7" s="1"/>
  <c r="AN73" i="7" a="1"/>
  <c r="AN73" i="7" s="1"/>
  <c r="AO75" i="7" a="1"/>
  <c r="AO75" i="7" s="1"/>
  <c r="AO74" i="7" a="1"/>
  <c r="AO74" i="7" s="1"/>
  <c r="AO72" i="7" a="1"/>
  <c r="AO72" i="7" s="1"/>
  <c r="AO70" i="7" a="1"/>
  <c r="AO70" i="7" s="1"/>
  <c r="AO69" i="7" a="1"/>
  <c r="AO69" i="7" s="1"/>
  <c r="AO68" i="7" a="1"/>
  <c r="AO68" i="7" s="1"/>
  <c r="AO67" i="7" a="1"/>
  <c r="AO67" i="7" s="1"/>
  <c r="AO66" i="7" a="1"/>
  <c r="AO66" i="7" s="1"/>
  <c r="AO62" i="7" a="1"/>
  <c r="AO62" i="7" s="1"/>
  <c r="AN75" i="7" a="1"/>
  <c r="AN75" i="7" s="1"/>
  <c r="AN74" i="7" a="1"/>
  <c r="AN74" i="7" s="1"/>
  <c r="AN72" i="7" a="1"/>
  <c r="AN72" i="7" s="1"/>
  <c r="AN70" i="7" a="1"/>
  <c r="AN70" i="7" s="1"/>
  <c r="AN69" i="7" a="1"/>
  <c r="AN69" i="7" s="1"/>
  <c r="AN68" i="7" a="1"/>
  <c r="AN68" i="7" s="1"/>
  <c r="AN67" i="7" a="1"/>
  <c r="AN67" i="7" s="1"/>
  <c r="AN66" i="7" a="1"/>
  <c r="AN66" i="7" s="1"/>
  <c r="AO63" i="7" a="1"/>
  <c r="AO63" i="7" s="1"/>
  <c r="AO61" i="7" a="1"/>
  <c r="AO61" i="7" s="1"/>
  <c r="AH54" i="7" a="1"/>
  <c r="AH54" i="7" s="1"/>
  <c r="AH55" i="7" a="1"/>
  <c r="AH55" i="7" s="1"/>
  <c r="AH56" i="7" a="1"/>
  <c r="AH56" i="7" s="1"/>
  <c r="AH57" i="7" a="1"/>
  <c r="AH57" i="7" s="1"/>
  <c r="AH58" i="7" a="1"/>
  <c r="AH58" i="7" s="1"/>
  <c r="AH59" i="7" a="1"/>
  <c r="AH59" i="7" s="1"/>
  <c r="AH60" i="7" a="1"/>
  <c r="AH60" i="7" s="1"/>
  <c r="Z61" i="7" a="1"/>
  <c r="Z61" i="7" s="1"/>
  <c r="AH63" i="7" a="1"/>
  <c r="AH63" i="7" s="1"/>
  <c r="AL63" i="7" a="1"/>
  <c r="AL63" i="7" s="1"/>
  <c r="Z66" i="7" a="1"/>
  <c r="Z66" i="7" s="1"/>
  <c r="AF66" i="7" a="1"/>
  <c r="AF66" i="7" s="1"/>
  <c r="Z67" i="7" a="1"/>
  <c r="Z67" i="7" s="1"/>
  <c r="AF67" i="7" a="1"/>
  <c r="AF67" i="7" s="1"/>
  <c r="Z68" i="7" a="1"/>
  <c r="Z68" i="7" s="1"/>
  <c r="AF68" i="7" a="1"/>
  <c r="AF68" i="7" s="1"/>
  <c r="Z69" i="7" a="1"/>
  <c r="Z69" i="7" s="1"/>
  <c r="AF69" i="7" a="1"/>
  <c r="AF69" i="7" s="1"/>
  <c r="Z70" i="7" a="1"/>
  <c r="Z70" i="7" s="1"/>
  <c r="AF70" i="7" a="1"/>
  <c r="AF70" i="7" s="1"/>
  <c r="Z71" i="7" a="1"/>
  <c r="Z71" i="7" s="1"/>
  <c r="AF71" i="7" a="1"/>
  <c r="AF71" i="7" s="1"/>
  <c r="AJ71" i="7" a="1"/>
  <c r="AJ71" i="7" s="1"/>
  <c r="AN71" i="7" a="1"/>
  <c r="AN71" i="7" s="1"/>
  <c r="AG72" i="7" a="1"/>
  <c r="AG72" i="7" s="1"/>
  <c r="AK73" i="7" a="1"/>
  <c r="AK73" i="7" s="1"/>
  <c r="AI75" i="7" a="1"/>
  <c r="AI75" i="7" s="1"/>
  <c r="Z75" i="7" a="1"/>
  <c r="Z75" i="7" s="1"/>
  <c r="Z74" i="7" a="1"/>
  <c r="Z74" i="7" s="1"/>
  <c r="Z73" i="7" a="1"/>
  <c r="Z73" i="7" s="1"/>
  <c r="Z72" i="7" a="1"/>
  <c r="Z72" i="7" s="1"/>
  <c r="AB75" i="7" a="1"/>
  <c r="AB75" i="7" s="1"/>
  <c r="AB74" i="7" a="1"/>
  <c r="AB74" i="7" s="1"/>
  <c r="AB73" i="7" a="1"/>
  <c r="AB73" i="7" s="1"/>
  <c r="AB72" i="7" a="1"/>
  <c r="AB72" i="7" s="1"/>
  <c r="AC62" i="7" a="1"/>
  <c r="AC62" i="7" s="1"/>
  <c r="AC63" i="7" a="1"/>
  <c r="AC63" i="7" s="1"/>
  <c r="AE73" i="7" a="1"/>
  <c r="AE73" i="7" s="1"/>
  <c r="AC54" i="7" a="1"/>
  <c r="AC54" i="7" s="1"/>
  <c r="AG54" i="7" a="1"/>
  <c r="AG54" i="7" s="1"/>
  <c r="AO54" i="7" a="1"/>
  <c r="AO54" i="7" s="1"/>
  <c r="AC55" i="7" a="1"/>
  <c r="AC55" i="7" s="1"/>
  <c r="AG55" i="7" a="1"/>
  <c r="AG55" i="7" s="1"/>
  <c r="AO55" i="7" a="1"/>
  <c r="AO55" i="7" s="1"/>
  <c r="AC56" i="7" a="1"/>
  <c r="AC56" i="7" s="1"/>
  <c r="AG56" i="7" a="1"/>
  <c r="AG56" i="7" s="1"/>
  <c r="AO56" i="7" a="1"/>
  <c r="AO56" i="7" s="1"/>
  <c r="AC57" i="7" a="1"/>
  <c r="AC57" i="7" s="1"/>
  <c r="AG57" i="7" a="1"/>
  <c r="AG57" i="7" s="1"/>
  <c r="AO57" i="7" a="1"/>
  <c r="AO57" i="7" s="1"/>
  <c r="AC58" i="7" a="1"/>
  <c r="AC58" i="7" s="1"/>
  <c r="AG58" i="7" a="1"/>
  <c r="AG58" i="7" s="1"/>
  <c r="AO58" i="7" a="1"/>
  <c r="AO58" i="7" s="1"/>
  <c r="AC59" i="7" a="1"/>
  <c r="AC59" i="7" s="1"/>
  <c r="AG59" i="7" a="1"/>
  <c r="AG59" i="7" s="1"/>
  <c r="AO59" i="7" a="1"/>
  <c r="AO59" i="7" s="1"/>
  <c r="AC60" i="7" a="1"/>
  <c r="AC60" i="7" s="1"/>
  <c r="AG60" i="7" a="1"/>
  <c r="AG60" i="7" s="1"/>
  <c r="AO60" i="7" a="1"/>
  <c r="AO60" i="7" s="1"/>
  <c r="AH61" i="7" a="1"/>
  <c r="AH61" i="7" s="1"/>
  <c r="AH62" i="7" a="1"/>
  <c r="AH62" i="7" s="1"/>
  <c r="AL62" i="7" a="1"/>
  <c r="AL62" i="7" s="1"/>
  <c r="Z63" i="7" a="1"/>
  <c r="Z63" i="7" s="1"/>
  <c r="AA66" i="7" a="1"/>
  <c r="AA66" i="7" s="1"/>
  <c r="AG66" i="7" a="1"/>
  <c r="AG66" i="7" s="1"/>
  <c r="AL66" i="7" a="1"/>
  <c r="AL66" i="7" s="1"/>
  <c r="AA67" i="7" a="1"/>
  <c r="AA67" i="7" s="1"/>
  <c r="AG67" i="7" a="1"/>
  <c r="AG67" i="7" s="1"/>
  <c r="AL67" i="7" a="1"/>
  <c r="AL67" i="7" s="1"/>
  <c r="AA68" i="7" a="1"/>
  <c r="AA68" i="7" s="1"/>
  <c r="AG68" i="7" a="1"/>
  <c r="AG68" i="7" s="1"/>
  <c r="AL68" i="7" a="1"/>
  <c r="AL68" i="7" s="1"/>
  <c r="AA69" i="7" a="1"/>
  <c r="AA69" i="7" s="1"/>
  <c r="AG69" i="7" a="1"/>
  <c r="AG69" i="7" s="1"/>
  <c r="AL69" i="7" a="1"/>
  <c r="AL69" i="7" s="1"/>
  <c r="AA70" i="7" a="1"/>
  <c r="AA70" i="7" s="1"/>
  <c r="AG70" i="7" a="1"/>
  <c r="AG70" i="7" s="1"/>
  <c r="AL70" i="7" a="1"/>
  <c r="AL70" i="7" s="1"/>
  <c r="AA71" i="7" a="1"/>
  <c r="AA71" i="7" s="1"/>
  <c r="AG71" i="7" a="1"/>
  <c r="AG71" i="7" s="1"/>
  <c r="AK71" i="7" a="1"/>
  <c r="AK71" i="7" s="1"/>
  <c r="AO71" i="7" a="1"/>
  <c r="AO71" i="7" s="1"/>
  <c r="AI72" i="7" a="1"/>
  <c r="AI72" i="7" s="1"/>
  <c r="AC73" i="7" a="1"/>
  <c r="AC73" i="7" s="1"/>
  <c r="AM73" i="7" a="1"/>
  <c r="AM73" i="7" s="1"/>
  <c r="AG74" i="7" a="1"/>
  <c r="AG74" i="7" s="1"/>
  <c r="AA75" i="7" a="1"/>
  <c r="AA75" i="7" s="1"/>
  <c r="K34" i="4"/>
  <c r="P37" i="9"/>
  <c r="K16" i="4"/>
  <c r="AA37" i="9"/>
  <c r="J34" i="4"/>
  <c r="L40" i="9"/>
  <c r="W36" i="9"/>
  <c r="AB36" i="9"/>
  <c r="J16" i="4"/>
  <c r="H76" i="4"/>
  <c r="F76" i="4"/>
  <c r="E76" i="4"/>
  <c r="C76" i="4"/>
  <c r="L42" i="9"/>
  <c r="G76" i="4"/>
  <c r="H77" i="4"/>
  <c r="G77" i="4"/>
  <c r="G89" i="4"/>
  <c r="C89" i="4"/>
  <c r="H89" i="4"/>
  <c r="H91" i="4"/>
  <c r="G91" i="4"/>
  <c r="C77" i="4"/>
  <c r="E110" i="4"/>
  <c r="H110" i="4"/>
  <c r="G110" i="4"/>
  <c r="C110" i="4"/>
  <c r="E119" i="4"/>
  <c r="H119" i="4"/>
  <c r="G119" i="4"/>
  <c r="C119" i="4"/>
  <c r="E127" i="4"/>
  <c r="H127" i="4"/>
  <c r="G127" i="4"/>
  <c r="C127" i="4"/>
  <c r="E99" i="4"/>
  <c r="H99" i="4"/>
  <c r="G99" i="4"/>
  <c r="C99" i="4"/>
  <c r="E121" i="4"/>
  <c r="H121" i="4"/>
  <c r="G121" i="4"/>
  <c r="C121" i="4"/>
  <c r="F127" i="4"/>
  <c r="F94" i="4"/>
  <c r="F103" i="4"/>
  <c r="F116" i="4"/>
  <c r="F118" i="4"/>
  <c r="F126" i="4"/>
  <c r="E131" i="4"/>
  <c r="E133" i="4"/>
  <c r="E135" i="4"/>
  <c r="F93" i="4"/>
  <c r="C94" i="4"/>
  <c r="G94" i="4"/>
  <c r="F102" i="4"/>
  <c r="C103" i="4"/>
  <c r="G103" i="4"/>
  <c r="F114" i="4"/>
  <c r="C116" i="4"/>
  <c r="G116" i="4"/>
  <c r="C118" i="4"/>
  <c r="G118" i="4"/>
  <c r="F88" i="4"/>
  <c r="C93" i="4"/>
  <c r="G93" i="4"/>
  <c r="H94" i="4"/>
  <c r="F100" i="4"/>
  <c r="C102" i="4"/>
  <c r="G102" i="4"/>
  <c r="F112" i="4"/>
  <c r="C114" i="4"/>
  <c r="G114" i="4"/>
  <c r="F129" i="4"/>
  <c r="C131" i="4"/>
  <c r="G131" i="4"/>
  <c r="C133" i="4"/>
  <c r="G133" i="4"/>
  <c r="C135" i="4"/>
  <c r="G135" i="4"/>
  <c r="AD54" i="7" a="1"/>
  <c r="AD54" i="7" s="1"/>
  <c r="AD63" i="7" a="1"/>
  <c r="AD63" i="7" s="1"/>
  <c r="AD56" i="7" a="1"/>
  <c r="AD56" i="7" s="1"/>
  <c r="AD62" i="7" a="1"/>
  <c r="AD62" i="7" s="1"/>
  <c r="AE66" i="7" a="1"/>
  <c r="AE66" i="7" s="1"/>
  <c r="AE70" i="7" a="1"/>
  <c r="AE70" i="7" s="1"/>
  <c r="AE72" i="7" a="1"/>
  <c r="AE72" i="7" s="1"/>
  <c r="AE74" i="7" a="1"/>
  <c r="AE74" i="7" s="1"/>
  <c r="AD58" i="7" a="1"/>
  <c r="AD58" i="7" s="1"/>
  <c r="AD61" i="7" a="1"/>
  <c r="AD61" i="7" s="1"/>
  <c r="AE67" i="7" a="1"/>
  <c r="AE67" i="7" s="1"/>
  <c r="AE69" i="7" a="1"/>
  <c r="AE69" i="7" s="1"/>
  <c r="AE75" i="7" a="1"/>
  <c r="AE75" i="7" s="1"/>
  <c r="AD60" i="7" a="1"/>
  <c r="AD60" i="7" s="1"/>
  <c r="AE68" i="7" a="1"/>
  <c r="AE68" i="7" s="1"/>
  <c r="AE71" i="7" a="1"/>
  <c r="AE71" i="7" s="1"/>
  <c r="AD55" i="7" a="1"/>
  <c r="AD55" i="7" s="1"/>
  <c r="AD57" i="7" a="1"/>
  <c r="AD57" i="7" s="1"/>
  <c r="AD59" i="7" a="1"/>
  <c r="AD59" i="7" s="1"/>
  <c r="AD66" i="7" a="1"/>
  <c r="AD66" i="7" s="1"/>
  <c r="AD67" i="7" a="1"/>
  <c r="AD67" i="7" s="1"/>
  <c r="AD68" i="7" a="1"/>
  <c r="AD68" i="7" s="1"/>
  <c r="AD69" i="7" a="1"/>
  <c r="AD69" i="7" s="1"/>
  <c r="AD70" i="7" a="1"/>
  <c r="AD70" i="7" s="1"/>
  <c r="AD71" i="7" a="1"/>
  <c r="AD71" i="7" s="1"/>
  <c r="AD72" i="7" a="1"/>
  <c r="AD72" i="7" s="1"/>
  <c r="AD73" i="7" a="1"/>
  <c r="AD73" i="7" s="1"/>
  <c r="AD74" i="7" a="1"/>
  <c r="AD74" i="7" s="1"/>
  <c r="AD75" i="7" a="1"/>
  <c r="AD75" i="7" s="1"/>
  <c r="O52" i="10"/>
  <c r="P52" i="10" s="1"/>
  <c r="S52" i="10"/>
  <c r="P89" i="16" l="1"/>
  <c r="Q83" i="12"/>
  <c r="Q92" i="10"/>
  <c r="A37" i="4"/>
  <c r="D96" i="4"/>
  <c r="Q93" i="18"/>
  <c r="A82" i="4"/>
  <c r="F106" i="4"/>
  <c r="Q92" i="14"/>
  <c r="D111" i="5"/>
  <c r="E111" i="5" s="1"/>
  <c r="P87" i="16"/>
  <c r="D165" i="5"/>
  <c r="E165" i="5" s="1"/>
  <c r="A61" i="4"/>
  <c r="Q85" i="12"/>
  <c r="Q73" i="18"/>
  <c r="J300" i="5"/>
  <c r="I50" i="4"/>
  <c r="B106" i="4"/>
  <c r="M106" i="4" s="1"/>
  <c r="P69" i="13"/>
  <c r="Q83" i="16"/>
  <c r="D19" i="4"/>
  <c r="C61" i="4"/>
  <c r="F96" i="4"/>
  <c r="B50" i="4"/>
  <c r="B96" i="4"/>
  <c r="B19" i="4"/>
  <c r="B71" i="4"/>
  <c r="H106" i="4"/>
  <c r="B61" i="4"/>
  <c r="C106" i="4"/>
  <c r="AH77" i="7"/>
  <c r="D37" i="4"/>
  <c r="D71" i="4"/>
  <c r="D106" i="4"/>
  <c r="D61" i="4"/>
  <c r="H96" i="4"/>
  <c r="B37" i="4"/>
  <c r="M37" i="4" s="1"/>
  <c r="B82" i="4"/>
  <c r="M82" i="4" s="1"/>
  <c r="C19" i="4"/>
  <c r="C71" i="4"/>
  <c r="A50" i="4"/>
  <c r="D82" i="4"/>
  <c r="A19" i="4"/>
  <c r="A71" i="4"/>
  <c r="A106" i="4"/>
  <c r="C50" i="4"/>
  <c r="C96" i="4"/>
  <c r="C37" i="4"/>
  <c r="P91" i="18"/>
  <c r="Q71" i="17"/>
  <c r="D300" i="5"/>
  <c r="T26" i="10"/>
  <c r="Q73" i="15"/>
  <c r="D246" i="5"/>
  <c r="Q85" i="13"/>
  <c r="Q58" i="13"/>
  <c r="S52" i="12"/>
  <c r="Q58" i="11"/>
  <c r="Q91" i="11"/>
  <c r="N77" i="10"/>
  <c r="O77" i="10" s="1"/>
  <c r="N47" i="10"/>
  <c r="O47" i="10" s="1"/>
  <c r="Q47" i="10" s="1"/>
  <c r="N21" i="10"/>
  <c r="T21" i="10" s="1"/>
  <c r="P87" i="11"/>
  <c r="T58" i="11"/>
  <c r="D123" i="5" s="1"/>
  <c r="Q69" i="11"/>
  <c r="N39" i="10"/>
  <c r="S39" i="10" s="1"/>
  <c r="N43" i="10"/>
  <c r="S43" i="10" s="1"/>
  <c r="Q85" i="11"/>
  <c r="N65" i="10"/>
  <c r="O65" i="10" s="1"/>
  <c r="Q83" i="10"/>
  <c r="D76" i="4"/>
  <c r="D99" i="4"/>
  <c r="D112" i="4"/>
  <c r="Q53" i="11"/>
  <c r="D77" i="4"/>
  <c r="D114" i="4"/>
  <c r="D91" i="4"/>
  <c r="D116" i="4"/>
  <c r="D119" i="4"/>
  <c r="D135" i="4"/>
  <c r="D127" i="4"/>
  <c r="D103" i="4"/>
  <c r="D94" i="4"/>
  <c r="D110" i="4"/>
  <c r="D122" i="4"/>
  <c r="D9" i="4"/>
  <c r="N89" i="8"/>
  <c r="N83" i="8"/>
  <c r="N67" i="8"/>
  <c r="N58" i="8"/>
  <c r="D27" i="4"/>
  <c r="N91" i="8"/>
  <c r="N87" i="8"/>
  <c r="N85" i="8"/>
  <c r="N73" i="8"/>
  <c r="N71" i="8"/>
  <c r="N69" i="8"/>
  <c r="D67" i="4"/>
  <c r="D137" i="4"/>
  <c r="D57" i="4"/>
  <c r="D46" i="4"/>
  <c r="D28" i="4"/>
  <c r="D138" i="4"/>
  <c r="D58" i="4"/>
  <c r="D47" i="4"/>
  <c r="D68" i="4"/>
  <c r="D10" i="4"/>
  <c r="N92" i="8"/>
  <c r="D123" i="4"/>
  <c r="D139" i="4"/>
  <c r="D59" i="4"/>
  <c r="D48" i="4"/>
  <c r="D69" i="4"/>
  <c r="N93" i="8"/>
  <c r="D124" i="4"/>
  <c r="D11" i="4"/>
  <c r="D29" i="4"/>
  <c r="D133" i="4"/>
  <c r="D131" i="4"/>
  <c r="D129" i="4"/>
  <c r="D100" i="4"/>
  <c r="D89" i="4"/>
  <c r="N20" i="8"/>
  <c r="S20" i="8" s="1"/>
  <c r="D54" i="4"/>
  <c r="D24" i="4"/>
  <c r="D64" i="4"/>
  <c r="D43" i="4"/>
  <c r="D6" i="4"/>
  <c r="D121" i="4"/>
  <c r="D102" i="4"/>
  <c r="D93" i="4"/>
  <c r="N29" i="8"/>
  <c r="S29" i="8" s="1"/>
  <c r="D66" i="4"/>
  <c r="D45" i="4"/>
  <c r="D8" i="4"/>
  <c r="D56" i="4"/>
  <c r="D26" i="4"/>
  <c r="N43" i="8"/>
  <c r="S43" i="8" s="1"/>
  <c r="D25" i="4"/>
  <c r="D44" i="4"/>
  <c r="D65" i="4"/>
  <c r="D7" i="4"/>
  <c r="D55" i="4"/>
  <c r="D88" i="4"/>
  <c r="D126" i="4"/>
  <c r="D118" i="4"/>
  <c r="S53" i="11"/>
  <c r="O78" i="10"/>
  <c r="P78" i="10" s="1"/>
  <c r="N44" i="10"/>
  <c r="O44" i="10" s="1"/>
  <c r="Q44" i="10" s="1"/>
  <c r="N22" i="10"/>
  <c r="T22" i="10" s="1"/>
  <c r="N29" i="10"/>
  <c r="O29" i="10" s="1"/>
  <c r="N48" i="10"/>
  <c r="S48" i="10" s="1"/>
  <c r="N40" i="10"/>
  <c r="S40" i="10" s="1"/>
  <c r="T53" i="11"/>
  <c r="N65" i="11"/>
  <c r="S65" i="11" s="1"/>
  <c r="S54" i="11"/>
  <c r="N47" i="11"/>
  <c r="S47" i="11" s="1"/>
  <c r="S43" i="11"/>
  <c r="N39" i="11"/>
  <c r="R39" i="11" s="1"/>
  <c r="O43" i="11"/>
  <c r="P43" i="11" s="1"/>
  <c r="T58" i="10"/>
  <c r="J69" i="5" s="1"/>
  <c r="N28" i="11"/>
  <c r="T28" i="11" s="1"/>
  <c r="N21" i="11"/>
  <c r="S21" i="11" s="1"/>
  <c r="N77" i="11"/>
  <c r="O77" i="11" s="1"/>
  <c r="Q58" i="10"/>
  <c r="Q85" i="10"/>
  <c r="S43" i="12"/>
  <c r="Q67" i="10"/>
  <c r="N47" i="12"/>
  <c r="R47" i="12" s="1"/>
  <c r="N28" i="12"/>
  <c r="O28" i="12" s="1"/>
  <c r="T52" i="11"/>
  <c r="Q67" i="11"/>
  <c r="Q93" i="11"/>
  <c r="O54" i="12"/>
  <c r="T54" i="12" s="1"/>
  <c r="N65" i="12"/>
  <c r="S65" i="12" s="1"/>
  <c r="Q83" i="11"/>
  <c r="N39" i="12"/>
  <c r="O39" i="12" s="1"/>
  <c r="Q39" i="12" s="1"/>
  <c r="N29" i="14"/>
  <c r="S29" i="14" s="1"/>
  <c r="N21" i="12"/>
  <c r="R21" i="12" s="1"/>
  <c r="N77" i="12"/>
  <c r="O77" i="12" s="1"/>
  <c r="Q77" i="12" s="1"/>
  <c r="O43" i="12"/>
  <c r="P43" i="12" s="1"/>
  <c r="N65" i="13"/>
  <c r="S65" i="13" s="1"/>
  <c r="Q92" i="12"/>
  <c r="O54" i="13"/>
  <c r="T54" i="13" s="1"/>
  <c r="Q93" i="12"/>
  <c r="Q91" i="12"/>
  <c r="N44" i="14"/>
  <c r="R44" i="14" s="1"/>
  <c r="N48" i="14"/>
  <c r="R48" i="14" s="1"/>
  <c r="N22" i="14"/>
  <c r="S22" i="14" s="1"/>
  <c r="T33" i="13"/>
  <c r="N40" i="14"/>
  <c r="O40" i="14" s="1"/>
  <c r="Q40" i="14" s="1"/>
  <c r="N22" i="13"/>
  <c r="R22" i="13" s="1"/>
  <c r="N40" i="13"/>
  <c r="S40" i="13" s="1"/>
  <c r="N44" i="13"/>
  <c r="O44" i="13" s="1"/>
  <c r="Q44" i="13" s="1"/>
  <c r="N48" i="13"/>
  <c r="O48" i="13" s="1"/>
  <c r="Q48" i="13" s="1"/>
  <c r="O52" i="13"/>
  <c r="T52" i="13" s="1"/>
  <c r="N29" i="13"/>
  <c r="T29" i="13" s="1"/>
  <c r="Q92" i="13"/>
  <c r="Q33" i="13"/>
  <c r="S33" i="13" s="1"/>
  <c r="N26" i="13"/>
  <c r="O26" i="13" s="1"/>
  <c r="P26" i="13" s="1"/>
  <c r="S53" i="14"/>
  <c r="N29" i="16"/>
  <c r="T29" i="16" s="1"/>
  <c r="N48" i="16"/>
  <c r="R48" i="16" s="1"/>
  <c r="Q85" i="14"/>
  <c r="Q83" i="14"/>
  <c r="O78" i="16"/>
  <c r="P78" i="16" s="1"/>
  <c r="N22" i="16"/>
  <c r="R22" i="16" s="1"/>
  <c r="Q67" i="14"/>
  <c r="J165" i="5"/>
  <c r="K165" i="5" s="1"/>
  <c r="Q91" i="14"/>
  <c r="Q93" i="14"/>
  <c r="P69" i="14"/>
  <c r="D219" i="5"/>
  <c r="E219" i="5" s="1"/>
  <c r="N44" i="16"/>
  <c r="S44" i="16" s="1"/>
  <c r="N40" i="16"/>
  <c r="R40" i="16" s="1"/>
  <c r="O53" i="18"/>
  <c r="P53" i="18" s="1"/>
  <c r="P85" i="16"/>
  <c r="Q91" i="16"/>
  <c r="Q67" i="16"/>
  <c r="P58" i="16"/>
  <c r="Q58" i="16"/>
  <c r="N47" i="18"/>
  <c r="S47" i="18" s="1"/>
  <c r="N28" i="18"/>
  <c r="R28" i="18" s="1"/>
  <c r="N21" i="18"/>
  <c r="R21" i="18" s="1"/>
  <c r="N77" i="18"/>
  <c r="S77" i="18" s="1"/>
  <c r="N43" i="18"/>
  <c r="S43" i="18" s="1"/>
  <c r="T32" i="11"/>
  <c r="P87" i="18"/>
  <c r="AM77" i="7"/>
  <c r="AK77" i="7"/>
  <c r="AI77" i="7"/>
  <c r="AJ77" i="7"/>
  <c r="N25" i="11"/>
  <c r="O25" i="11" s="1"/>
  <c r="P25" i="11" s="1"/>
  <c r="E106" i="4"/>
  <c r="N25" i="15"/>
  <c r="O25" i="15" s="1"/>
  <c r="T32" i="14"/>
  <c r="Q32" i="11"/>
  <c r="S32" i="11" s="1"/>
  <c r="T22" i="17"/>
  <c r="L106" i="4"/>
  <c r="I106" i="4"/>
  <c r="L82" i="4"/>
  <c r="I82" i="4"/>
  <c r="F82" i="4"/>
  <c r="E82" i="4"/>
  <c r="G82" i="4"/>
  <c r="H82" i="4"/>
  <c r="P83" i="18"/>
  <c r="Q83" i="18"/>
  <c r="Q85" i="18"/>
  <c r="P58" i="18"/>
  <c r="Q58" i="18"/>
  <c r="Q67" i="18"/>
  <c r="E33" i="4"/>
  <c r="D33" i="4"/>
  <c r="P69" i="17"/>
  <c r="Q69" i="17"/>
  <c r="T58" i="17"/>
  <c r="D285" i="5" s="1"/>
  <c r="Q93" i="16"/>
  <c r="P83" i="15"/>
  <c r="Q83" i="15"/>
  <c r="Q87" i="15"/>
  <c r="Q67" i="15"/>
  <c r="Q93" i="15"/>
  <c r="Q58" i="15"/>
  <c r="P58" i="15"/>
  <c r="M33" i="4"/>
  <c r="I33" i="4"/>
  <c r="Q91" i="15"/>
  <c r="Q71" i="13"/>
  <c r="Q69" i="12"/>
  <c r="P69" i="12"/>
  <c r="F33" i="4"/>
  <c r="Q89" i="11"/>
  <c r="N25" i="18"/>
  <c r="O25" i="18" s="1"/>
  <c r="P25" i="18" s="1"/>
  <c r="S52" i="11"/>
  <c r="P69" i="10"/>
  <c r="Q69" i="10"/>
  <c r="Q93" i="10"/>
  <c r="N77" i="17"/>
  <c r="O77" i="17" s="1"/>
  <c r="Q77" i="17" s="1"/>
  <c r="N43" i="13"/>
  <c r="R43" i="13" s="1"/>
  <c r="H33" i="4"/>
  <c r="G33" i="4"/>
  <c r="T58" i="18"/>
  <c r="J285" i="5" s="1"/>
  <c r="C33" i="4"/>
  <c r="O79" i="12"/>
  <c r="P79" i="12" s="1"/>
  <c r="N30" i="11"/>
  <c r="R30" i="11" s="1"/>
  <c r="F15" i="4"/>
  <c r="O53" i="17"/>
  <c r="P53" i="17" s="1"/>
  <c r="N60" i="10"/>
  <c r="O60" i="10" s="1"/>
  <c r="Q60" i="10" s="1"/>
  <c r="N23" i="18"/>
  <c r="O23" i="18" s="1"/>
  <c r="O54" i="18"/>
  <c r="T54" i="18" s="1"/>
  <c r="N78" i="18"/>
  <c r="O78" i="18" s="1"/>
  <c r="N41" i="10"/>
  <c r="R41" i="10" s="1"/>
  <c r="M15" i="4"/>
  <c r="N45" i="15"/>
  <c r="S45" i="15" s="1"/>
  <c r="N49" i="17"/>
  <c r="O49" i="17" s="1"/>
  <c r="T58" i="13"/>
  <c r="D177" i="5" s="1"/>
  <c r="S52" i="17"/>
  <c r="N43" i="16"/>
  <c r="S43" i="16" s="1"/>
  <c r="T33" i="12"/>
  <c r="T23" i="17"/>
  <c r="O79" i="15"/>
  <c r="P79" i="15" s="1"/>
  <c r="Q33" i="12"/>
  <c r="S33" i="12" s="1"/>
  <c r="N28" i="17"/>
  <c r="S28" i="17" s="1"/>
  <c r="N21" i="17"/>
  <c r="S21" i="17" s="1"/>
  <c r="S52" i="15"/>
  <c r="R45" i="14"/>
  <c r="T79" i="11"/>
  <c r="N41" i="14"/>
  <c r="S41" i="14" s="1"/>
  <c r="N30" i="14"/>
  <c r="O30" i="14" s="1"/>
  <c r="Q30" i="14" s="1"/>
  <c r="N77" i="15"/>
  <c r="O77" i="15" s="1"/>
  <c r="Q77" i="15" s="1"/>
  <c r="S52" i="14"/>
  <c r="Q79" i="11"/>
  <c r="O79" i="10"/>
  <c r="P79" i="10" s="1"/>
  <c r="N49" i="12"/>
  <c r="R49" i="12" s="1"/>
  <c r="N64" i="18"/>
  <c r="O64" i="18" s="1"/>
  <c r="Q64" i="18" s="1"/>
  <c r="N51" i="18"/>
  <c r="S51" i="18" s="1"/>
  <c r="N39" i="17"/>
  <c r="O39" i="17" s="1"/>
  <c r="Q39" i="17" s="1"/>
  <c r="N65" i="16"/>
  <c r="O65" i="16" s="1"/>
  <c r="Q65" i="16" s="1"/>
  <c r="S53" i="15"/>
  <c r="N30" i="10"/>
  <c r="T30" i="10" s="1"/>
  <c r="O53" i="10"/>
  <c r="P53" i="10" s="1"/>
  <c r="N23" i="11"/>
  <c r="O23" i="11" s="1"/>
  <c r="Q23" i="11" s="1"/>
  <c r="N49" i="11"/>
  <c r="R49" i="11" s="1"/>
  <c r="N23" i="14"/>
  <c r="S23" i="14" s="1"/>
  <c r="Q79" i="18"/>
  <c r="N49" i="18"/>
  <c r="O49" i="18" s="1"/>
  <c r="Q49" i="18" s="1"/>
  <c r="N62" i="18"/>
  <c r="O62" i="18" s="1"/>
  <c r="Q62" i="18" s="1"/>
  <c r="T79" i="18"/>
  <c r="N29" i="18"/>
  <c r="R29" i="18" s="1"/>
  <c r="N39" i="15"/>
  <c r="R39" i="15" s="1"/>
  <c r="N47" i="13"/>
  <c r="O47" i="13" s="1"/>
  <c r="Q47" i="13" s="1"/>
  <c r="N21" i="15"/>
  <c r="R21" i="15" s="1"/>
  <c r="N43" i="15"/>
  <c r="O43" i="15" s="1"/>
  <c r="N75" i="13"/>
  <c r="S75" i="13" s="1"/>
  <c r="D158" i="5" s="1"/>
  <c r="E158" i="5" s="1"/>
  <c r="O77" i="13"/>
  <c r="P77" i="13" s="1"/>
  <c r="N45" i="10"/>
  <c r="R45" i="10" s="1"/>
  <c r="N64" i="10"/>
  <c r="O64" i="10" s="1"/>
  <c r="Q64" i="10" s="1"/>
  <c r="N62" i="10"/>
  <c r="S62" i="10" s="1"/>
  <c r="J44" i="5" s="1"/>
  <c r="K44" i="5" s="1"/>
  <c r="S79" i="18"/>
  <c r="N56" i="18"/>
  <c r="O56" i="18" s="1"/>
  <c r="Q56" i="18" s="1"/>
  <c r="N81" i="18"/>
  <c r="S81" i="18" s="1"/>
  <c r="J268" i="5" s="1"/>
  <c r="K268" i="5" s="1"/>
  <c r="N22" i="18"/>
  <c r="O22" i="18" s="1"/>
  <c r="N44" i="18"/>
  <c r="S44" i="18" s="1"/>
  <c r="N28" i="13"/>
  <c r="S28" i="13" s="1"/>
  <c r="S52" i="16"/>
  <c r="N65" i="15"/>
  <c r="O65" i="15" s="1"/>
  <c r="Q65" i="15" s="1"/>
  <c r="N28" i="15"/>
  <c r="T28" i="15" s="1"/>
  <c r="N39" i="13"/>
  <c r="R39" i="13" s="1"/>
  <c r="N49" i="10"/>
  <c r="R49" i="10" s="1"/>
  <c r="N23" i="10"/>
  <c r="O23" i="10" s="1"/>
  <c r="N81" i="10"/>
  <c r="S81" i="10" s="1"/>
  <c r="J52" i="5" s="1"/>
  <c r="K52" i="5" s="1"/>
  <c r="N75" i="10"/>
  <c r="O75" i="10" s="1"/>
  <c r="Q75" i="10" s="1"/>
  <c r="N65" i="18"/>
  <c r="S65" i="18" s="1"/>
  <c r="D78" i="4"/>
  <c r="B78" i="4" s="1"/>
  <c r="N45" i="18"/>
  <c r="S45" i="18" s="1"/>
  <c r="N60" i="18"/>
  <c r="O60" i="18" s="1"/>
  <c r="Q60" i="18" s="1"/>
  <c r="N30" i="18"/>
  <c r="O30" i="18" s="1"/>
  <c r="N75" i="18"/>
  <c r="S75" i="18" s="1"/>
  <c r="J266" i="5" s="1"/>
  <c r="K266" i="5" s="1"/>
  <c r="N40" i="18"/>
  <c r="S40" i="18" s="1"/>
  <c r="S53" i="16"/>
  <c r="N41" i="15"/>
  <c r="R41" i="15" s="1"/>
  <c r="N32" i="16"/>
  <c r="O32" i="16" s="1"/>
  <c r="Q32" i="16" s="1"/>
  <c r="S32" i="16" s="1"/>
  <c r="N21" i="13"/>
  <c r="S21" i="13" s="1"/>
  <c r="N64" i="13"/>
  <c r="O64" i="13" s="1"/>
  <c r="Q64" i="13" s="1"/>
  <c r="N51" i="13"/>
  <c r="S51" i="13" s="1"/>
  <c r="D148" i="5" s="1"/>
  <c r="E148" i="5" s="1"/>
  <c r="O53" i="12"/>
  <c r="P53" i="12" s="1"/>
  <c r="N51" i="10"/>
  <c r="R51" i="10" s="1"/>
  <c r="N41" i="18"/>
  <c r="S41" i="18" s="1"/>
  <c r="N56" i="10"/>
  <c r="O56" i="10" s="1"/>
  <c r="P56" i="10" s="1"/>
  <c r="R22" i="17"/>
  <c r="T58" i="14"/>
  <c r="J177" i="5" s="1"/>
  <c r="N31" i="13"/>
  <c r="O31" i="13" s="1"/>
  <c r="Q31" i="13" s="1"/>
  <c r="S31" i="13" s="1"/>
  <c r="T58" i="16"/>
  <c r="J231" i="5" s="1"/>
  <c r="T58" i="12"/>
  <c r="J123" i="5" s="1"/>
  <c r="N23" i="15"/>
  <c r="S23" i="15" s="1"/>
  <c r="N62" i="13"/>
  <c r="S62" i="13" s="1"/>
  <c r="D152" i="5" s="1"/>
  <c r="E152" i="5" s="1"/>
  <c r="N81" i="13"/>
  <c r="O81" i="13" s="1"/>
  <c r="Q81" i="13" s="1"/>
  <c r="N32" i="10"/>
  <c r="O32" i="10" s="1"/>
  <c r="Q32" i="10" s="1"/>
  <c r="S32" i="10" s="1"/>
  <c r="N23" i="13"/>
  <c r="O23" i="13" s="1"/>
  <c r="Q23" i="13" s="1"/>
  <c r="N79" i="17"/>
  <c r="O79" i="17" s="1"/>
  <c r="Q52" i="18"/>
  <c r="N79" i="14"/>
  <c r="O79" i="14" s="1"/>
  <c r="O45" i="13"/>
  <c r="Q45" i="13" s="1"/>
  <c r="S79" i="11"/>
  <c r="N41" i="11"/>
  <c r="S41" i="11" s="1"/>
  <c r="N49" i="13"/>
  <c r="R49" i="13" s="1"/>
  <c r="N23" i="12"/>
  <c r="S23" i="12" s="1"/>
  <c r="N41" i="17"/>
  <c r="O41" i="17" s="1"/>
  <c r="Q41" i="17" s="1"/>
  <c r="N30" i="17"/>
  <c r="O30" i="17" s="1"/>
  <c r="S52" i="18"/>
  <c r="N54" i="17"/>
  <c r="S54" i="17" s="1"/>
  <c r="N47" i="17"/>
  <c r="O47" i="17" s="1"/>
  <c r="S23" i="17"/>
  <c r="N49" i="15"/>
  <c r="R49" i="15" s="1"/>
  <c r="N21" i="16"/>
  <c r="T21" i="16" s="1"/>
  <c r="N62" i="16"/>
  <c r="O62" i="16" s="1"/>
  <c r="Q62" i="16" s="1"/>
  <c r="N77" i="16"/>
  <c r="S77" i="16" s="1"/>
  <c r="Q52" i="15"/>
  <c r="N79" i="13"/>
  <c r="O79" i="13" s="1"/>
  <c r="Q79" i="13" s="1"/>
  <c r="N75" i="12"/>
  <c r="O75" i="12" s="1"/>
  <c r="Q75" i="12" s="1"/>
  <c r="O45" i="14"/>
  <c r="P45" i="14" s="1"/>
  <c r="S45" i="13"/>
  <c r="N45" i="12"/>
  <c r="O45" i="12" s="1"/>
  <c r="Q45" i="12" s="1"/>
  <c r="N26" i="12"/>
  <c r="O26" i="12" s="1"/>
  <c r="P26" i="12" s="1"/>
  <c r="N41" i="13"/>
  <c r="O41" i="13" s="1"/>
  <c r="P41" i="13" s="1"/>
  <c r="N49" i="14"/>
  <c r="S49" i="14" s="1"/>
  <c r="N30" i="12"/>
  <c r="R30" i="12" s="1"/>
  <c r="N41" i="12"/>
  <c r="S41" i="12" s="1"/>
  <c r="D104" i="4"/>
  <c r="B104" i="4" s="1"/>
  <c r="T52" i="18"/>
  <c r="T52" i="15"/>
  <c r="N51" i="11"/>
  <c r="S51" i="11" s="1"/>
  <c r="N45" i="17"/>
  <c r="S45" i="17" s="1"/>
  <c r="R23" i="17"/>
  <c r="N28" i="16"/>
  <c r="S28" i="16" s="1"/>
  <c r="N81" i="15"/>
  <c r="S81" i="15" s="1"/>
  <c r="D214" i="5" s="1"/>
  <c r="E214" i="5" s="1"/>
  <c r="N60" i="13"/>
  <c r="O60" i="13" s="1"/>
  <c r="Q60" i="13" s="1"/>
  <c r="N30" i="15"/>
  <c r="R30" i="15" s="1"/>
  <c r="N39" i="16"/>
  <c r="R39" i="16" s="1"/>
  <c r="N56" i="13"/>
  <c r="S56" i="13" s="1"/>
  <c r="D149" i="5" s="1"/>
  <c r="N56" i="11"/>
  <c r="S56" i="11" s="1"/>
  <c r="D95" i="5" s="1"/>
  <c r="N45" i="11"/>
  <c r="S45" i="11" s="1"/>
  <c r="N30" i="13"/>
  <c r="S30" i="13" s="1"/>
  <c r="N44" i="17"/>
  <c r="S44" i="17" s="1"/>
  <c r="N78" i="15"/>
  <c r="O78" i="15" s="1"/>
  <c r="Q78" i="15" s="1"/>
  <c r="N28" i="14"/>
  <c r="O28" i="14" s="1"/>
  <c r="N48" i="12"/>
  <c r="S48" i="12" s="1"/>
  <c r="N64" i="11"/>
  <c r="O64" i="11" s="1"/>
  <c r="Q64" i="11" s="1"/>
  <c r="N60" i="14"/>
  <c r="S60" i="14" s="1"/>
  <c r="J151" i="5" s="1"/>
  <c r="K151" i="5" s="1"/>
  <c r="N56" i="12"/>
  <c r="O56" i="12" s="1"/>
  <c r="P56" i="12" s="1"/>
  <c r="N65" i="14"/>
  <c r="O65" i="14" s="1"/>
  <c r="P65" i="14" s="1"/>
  <c r="O22" i="17"/>
  <c r="P22" i="17" s="1"/>
  <c r="N75" i="17"/>
  <c r="S75" i="17" s="1"/>
  <c r="D266" i="5" s="1"/>
  <c r="E266" i="5" s="1"/>
  <c r="S41" i="16"/>
  <c r="N60" i="16"/>
  <c r="O60" i="16" s="1"/>
  <c r="N56" i="14"/>
  <c r="O56" i="14" s="1"/>
  <c r="S22" i="15"/>
  <c r="N22" i="12"/>
  <c r="O22" i="12" s="1"/>
  <c r="S54" i="14"/>
  <c r="N60" i="11"/>
  <c r="O60" i="11" s="1"/>
  <c r="T60" i="11" s="1"/>
  <c r="D124" i="5" s="1"/>
  <c r="T58" i="15"/>
  <c r="D231" i="5" s="1"/>
  <c r="N56" i="15"/>
  <c r="S56" i="15" s="1"/>
  <c r="D203" i="5" s="1"/>
  <c r="R43" i="14"/>
  <c r="N64" i="17"/>
  <c r="S64" i="17" s="1"/>
  <c r="R41" i="16"/>
  <c r="N29" i="15"/>
  <c r="S29" i="15" s="1"/>
  <c r="N75" i="16"/>
  <c r="O75" i="16" s="1"/>
  <c r="Q75" i="16" s="1"/>
  <c r="N81" i="16"/>
  <c r="S81" i="16" s="1"/>
  <c r="J214" i="5" s="1"/>
  <c r="K214" i="5" s="1"/>
  <c r="T22" i="15"/>
  <c r="N60" i="12"/>
  <c r="O60" i="12" s="1"/>
  <c r="N48" i="17"/>
  <c r="S48" i="17" s="1"/>
  <c r="N30" i="16"/>
  <c r="O30" i="16" s="1"/>
  <c r="N39" i="14"/>
  <c r="O39" i="14" s="1"/>
  <c r="Q39" i="14" s="1"/>
  <c r="T54" i="14"/>
  <c r="N44" i="11"/>
  <c r="S44" i="11" s="1"/>
  <c r="N29" i="11"/>
  <c r="S29" i="11" s="1"/>
  <c r="N40" i="11"/>
  <c r="O40" i="11" s="1"/>
  <c r="Q40" i="11" s="1"/>
  <c r="N51" i="12"/>
  <c r="O51" i="12" s="1"/>
  <c r="T51" i="12" s="1"/>
  <c r="N79" i="16"/>
  <c r="O79" i="16" s="1"/>
  <c r="P79" i="16" s="1"/>
  <c r="N40" i="17"/>
  <c r="O40" i="17" s="1"/>
  <c r="Q40" i="17" s="1"/>
  <c r="N56" i="17"/>
  <c r="S56" i="17" s="1"/>
  <c r="D257" i="5" s="1"/>
  <c r="N51" i="17"/>
  <c r="O51" i="17" s="1"/>
  <c r="Q51" i="17" s="1"/>
  <c r="N40" i="15"/>
  <c r="O40" i="15" s="1"/>
  <c r="N44" i="15"/>
  <c r="S44" i="15" s="1"/>
  <c r="N75" i="15"/>
  <c r="O75" i="15" s="1"/>
  <c r="Q75" i="15" s="1"/>
  <c r="N47" i="14"/>
  <c r="O47" i="14" s="1"/>
  <c r="Q47" i="14" s="1"/>
  <c r="N51" i="15"/>
  <c r="S51" i="15" s="1"/>
  <c r="N64" i="15"/>
  <c r="S64" i="15" s="1"/>
  <c r="N75" i="14"/>
  <c r="O75" i="14" s="1"/>
  <c r="Q75" i="14" s="1"/>
  <c r="N21" i="14"/>
  <c r="T21" i="14" s="1"/>
  <c r="R22" i="15"/>
  <c r="N40" i="12"/>
  <c r="S40" i="12" s="1"/>
  <c r="N64" i="12"/>
  <c r="S64" i="12" s="1"/>
  <c r="N64" i="14"/>
  <c r="S64" i="14" s="1"/>
  <c r="N81" i="14"/>
  <c r="O81" i="14" s="1"/>
  <c r="Q81" i="14" s="1"/>
  <c r="N48" i="11"/>
  <c r="S48" i="11" s="1"/>
  <c r="N44" i="12"/>
  <c r="S44" i="12" s="1"/>
  <c r="O53" i="13"/>
  <c r="P53" i="13" s="1"/>
  <c r="N78" i="17"/>
  <c r="S78" i="17" s="1"/>
  <c r="N29" i="17"/>
  <c r="R29" i="17" s="1"/>
  <c r="N45" i="16"/>
  <c r="S45" i="16" s="1"/>
  <c r="N49" i="16"/>
  <c r="O49" i="16" s="1"/>
  <c r="N23" i="16"/>
  <c r="T23" i="16" s="1"/>
  <c r="N81" i="17"/>
  <c r="S81" i="17" s="1"/>
  <c r="D268" i="5" s="1"/>
  <c r="E268" i="5" s="1"/>
  <c r="N62" i="17"/>
  <c r="O62" i="17" s="1"/>
  <c r="Q62" i="17" s="1"/>
  <c r="N60" i="17"/>
  <c r="O60" i="17" s="1"/>
  <c r="N48" i="15"/>
  <c r="O48" i="15" s="1"/>
  <c r="Q48" i="15" s="1"/>
  <c r="N62" i="15"/>
  <c r="S62" i="15" s="1"/>
  <c r="D206" i="5" s="1"/>
  <c r="E206" i="5" s="1"/>
  <c r="O43" i="14"/>
  <c r="T43" i="14" s="1"/>
  <c r="N56" i="16"/>
  <c r="S56" i="16" s="1"/>
  <c r="J203" i="5" s="1"/>
  <c r="N51" i="16"/>
  <c r="R51" i="16" s="1"/>
  <c r="N64" i="16"/>
  <c r="O64" i="16" s="1"/>
  <c r="Q64" i="16" s="1"/>
  <c r="N60" i="15"/>
  <c r="O60" i="15" s="1"/>
  <c r="Q60" i="15" s="1"/>
  <c r="N62" i="14"/>
  <c r="O62" i="14" s="1"/>
  <c r="Q62" i="14" s="1"/>
  <c r="O78" i="12"/>
  <c r="P78" i="12" s="1"/>
  <c r="N62" i="11"/>
  <c r="S62" i="11" s="1"/>
  <c r="D98" i="5" s="1"/>
  <c r="E98" i="5" s="1"/>
  <c r="N81" i="11"/>
  <c r="O81" i="11" s="1"/>
  <c r="Q81" i="11" s="1"/>
  <c r="Q54" i="14"/>
  <c r="N51" i="14"/>
  <c r="R51" i="14" s="1"/>
  <c r="N75" i="11"/>
  <c r="S75" i="11" s="1"/>
  <c r="D104" i="5" s="1"/>
  <c r="E104" i="5" s="1"/>
  <c r="N78" i="11"/>
  <c r="O78" i="11" s="1"/>
  <c r="N62" i="12"/>
  <c r="O62" i="12" s="1"/>
  <c r="P62" i="12" s="1"/>
  <c r="N29" i="12"/>
  <c r="S29" i="12" s="1"/>
  <c r="N77" i="14"/>
  <c r="O77" i="14" s="1"/>
  <c r="P77" i="14" s="1"/>
  <c r="N81" i="12"/>
  <c r="O81" i="12" s="1"/>
  <c r="P81" i="12" s="1"/>
  <c r="Q32" i="14"/>
  <c r="S32" i="14" s="1"/>
  <c r="P32" i="14"/>
  <c r="H105" i="4"/>
  <c r="D105" i="4"/>
  <c r="A95" i="4"/>
  <c r="C81" i="4"/>
  <c r="C70" i="4"/>
  <c r="C60" i="4"/>
  <c r="I49" i="4"/>
  <c r="A49" i="4"/>
  <c r="C36" i="4"/>
  <c r="C18" i="4"/>
  <c r="C105" i="4"/>
  <c r="H95" i="4"/>
  <c r="D95" i="4"/>
  <c r="B81" i="4"/>
  <c r="B70" i="4"/>
  <c r="B60" i="4"/>
  <c r="D49" i="4"/>
  <c r="B36" i="4"/>
  <c r="B18" i="4"/>
  <c r="F105" i="4"/>
  <c r="B105" i="4"/>
  <c r="C95" i="4"/>
  <c r="A81" i="4"/>
  <c r="A70" i="4"/>
  <c r="A60" i="4"/>
  <c r="C49" i="4"/>
  <c r="A36" i="4"/>
  <c r="A18" i="4"/>
  <c r="A105" i="4"/>
  <c r="F95" i="4"/>
  <c r="B95" i="4"/>
  <c r="D81" i="4"/>
  <c r="D70" i="4"/>
  <c r="D60" i="4"/>
  <c r="B49" i="4"/>
  <c r="D36" i="4"/>
  <c r="D18" i="4"/>
  <c r="B34" i="4"/>
  <c r="B16" i="4"/>
  <c r="A34" i="4"/>
  <c r="A16" i="4"/>
  <c r="C34" i="4"/>
  <c r="C16" i="4"/>
  <c r="P87" i="14"/>
  <c r="Q87" i="14"/>
  <c r="P89" i="13"/>
  <c r="Q89" i="13"/>
  <c r="P73" i="13"/>
  <c r="Q73" i="13"/>
  <c r="Q73" i="12"/>
  <c r="P73" i="12"/>
  <c r="P71" i="12"/>
  <c r="Q71" i="12"/>
  <c r="P73" i="11"/>
  <c r="Q73" i="11"/>
  <c r="P87" i="10"/>
  <c r="Q87" i="10"/>
  <c r="Q85" i="17"/>
  <c r="Q71" i="14"/>
  <c r="Q67" i="12"/>
  <c r="Q83" i="17"/>
  <c r="P87" i="13"/>
  <c r="Q87" i="13"/>
  <c r="Q89" i="12"/>
  <c r="P89" i="12"/>
  <c r="Q69" i="15"/>
  <c r="Q91" i="17"/>
  <c r="Q71" i="18"/>
  <c r="Q58" i="17"/>
  <c r="P89" i="15"/>
  <c r="Q89" i="15"/>
  <c r="Q87" i="12"/>
  <c r="P87" i="12"/>
  <c r="Q69" i="18"/>
  <c r="J111" i="5"/>
  <c r="K111" i="5" s="1"/>
  <c r="P89" i="10"/>
  <c r="Q89" i="10"/>
  <c r="Q87" i="17"/>
  <c r="Q92" i="17"/>
  <c r="Q71" i="10"/>
  <c r="H19" i="4"/>
  <c r="M19" i="4"/>
  <c r="I19" i="4"/>
  <c r="E19" i="4"/>
  <c r="Q67" i="17"/>
  <c r="Q71" i="16"/>
  <c r="P89" i="14"/>
  <c r="Q89" i="14"/>
  <c r="P73" i="14"/>
  <c r="Q73" i="14"/>
  <c r="Q89" i="18"/>
  <c r="Q73" i="17"/>
  <c r="P73" i="10"/>
  <c r="Q73" i="10"/>
  <c r="Q89" i="17"/>
  <c r="Q93" i="17"/>
  <c r="Q69" i="16"/>
  <c r="Q71" i="11"/>
  <c r="Q32" i="12"/>
  <c r="S32" i="12" s="1"/>
  <c r="T32" i="12"/>
  <c r="N25" i="12"/>
  <c r="O25" i="12" s="1"/>
  <c r="P25" i="12" s="1"/>
  <c r="Q24" i="18"/>
  <c r="S24" i="18" s="1"/>
  <c r="N24" i="12"/>
  <c r="O24" i="12" s="1"/>
  <c r="Q24" i="12" s="1"/>
  <c r="S24" i="12" s="1"/>
  <c r="Q26" i="15"/>
  <c r="S26" i="15" s="1"/>
  <c r="N25" i="14"/>
  <c r="O25" i="14" s="1"/>
  <c r="P25" i="14" s="1"/>
  <c r="N24" i="17"/>
  <c r="O24" i="17" s="1"/>
  <c r="Q24" i="17" s="1"/>
  <c r="S24" i="17" s="1"/>
  <c r="N33" i="16"/>
  <c r="O33" i="16" s="1"/>
  <c r="P33" i="16" s="1"/>
  <c r="T24" i="18"/>
  <c r="N31" i="16"/>
  <c r="O31" i="16" s="1"/>
  <c r="P31" i="16" s="1"/>
  <c r="N26" i="17"/>
  <c r="O26" i="17" s="1"/>
  <c r="Q26" i="17" s="1"/>
  <c r="S26" i="17" s="1"/>
  <c r="N31" i="18"/>
  <c r="O31" i="18" s="1"/>
  <c r="Q31" i="18" s="1"/>
  <c r="S31" i="18" s="1"/>
  <c r="N32" i="17"/>
  <c r="O32" i="17" s="1"/>
  <c r="Q32" i="17" s="1"/>
  <c r="S32" i="17" s="1"/>
  <c r="N33" i="18"/>
  <c r="O33" i="18" s="1"/>
  <c r="Q33" i="18" s="1"/>
  <c r="S33" i="18" s="1"/>
  <c r="N33" i="15"/>
  <c r="O33" i="15" s="1"/>
  <c r="P33" i="15" s="1"/>
  <c r="T26" i="15"/>
  <c r="T32" i="13"/>
  <c r="N31" i="14"/>
  <c r="O31" i="14" s="1"/>
  <c r="Q31" i="14" s="1"/>
  <c r="S31" i="14" s="1"/>
  <c r="T33" i="11"/>
  <c r="N31" i="15"/>
  <c r="O31" i="15" s="1"/>
  <c r="Q31" i="15" s="1"/>
  <c r="S31" i="15" s="1"/>
  <c r="T33" i="14"/>
  <c r="N26" i="11"/>
  <c r="O26" i="11" s="1"/>
  <c r="P26" i="11" s="1"/>
  <c r="N26" i="14"/>
  <c r="O26" i="14" s="1"/>
  <c r="P26" i="14" s="1"/>
  <c r="Q33" i="14"/>
  <c r="S33" i="14" s="1"/>
  <c r="P26" i="10"/>
  <c r="Q32" i="13"/>
  <c r="S32" i="13" s="1"/>
  <c r="N25" i="13"/>
  <c r="O25" i="13" s="1"/>
  <c r="P25" i="13" s="1"/>
  <c r="Q26" i="10"/>
  <c r="S26" i="10" s="1"/>
  <c r="D13" i="4"/>
  <c r="I13" i="4" s="1"/>
  <c r="N24" i="11"/>
  <c r="O24" i="11" s="1"/>
  <c r="Q24" i="11" s="1"/>
  <c r="S24" i="11" s="1"/>
  <c r="N33" i="10"/>
  <c r="O33" i="10" s="1"/>
  <c r="T33" i="10" s="1"/>
  <c r="N31" i="10"/>
  <c r="O31" i="10" s="1"/>
  <c r="Q31" i="10" s="1"/>
  <c r="S31" i="10" s="1"/>
  <c r="D12" i="4"/>
  <c r="I30" i="4" s="1"/>
  <c r="Q33" i="11"/>
  <c r="S33" i="11" s="1"/>
  <c r="N48" i="8"/>
  <c r="S48" i="8" s="1"/>
  <c r="N28" i="8"/>
  <c r="O28" i="8" s="1"/>
  <c r="N39" i="8"/>
  <c r="R39" i="8" s="1"/>
  <c r="N78" i="8"/>
  <c r="O78" i="8" s="1"/>
  <c r="P78" i="8" s="1"/>
  <c r="N21" i="8"/>
  <c r="R21" i="8" s="1"/>
  <c r="N49" i="8"/>
  <c r="S49" i="8" s="1"/>
  <c r="D14" i="4"/>
  <c r="I32" i="4" s="1"/>
  <c r="D32" i="4"/>
  <c r="N79" i="8"/>
  <c r="O79" i="8" s="1"/>
  <c r="Q79" i="8" s="1"/>
  <c r="N22" i="8"/>
  <c r="R22" i="8" s="1"/>
  <c r="N40" i="8"/>
  <c r="R40" i="8" s="1"/>
  <c r="N44" i="8"/>
  <c r="S44" i="8" s="1"/>
  <c r="N25" i="8"/>
  <c r="O25" i="8" s="1"/>
  <c r="Q25" i="8" s="1"/>
  <c r="S25" i="8" s="1"/>
  <c r="D80" i="4"/>
  <c r="A80" i="4" s="1"/>
  <c r="D79" i="4"/>
  <c r="A79" i="4" s="1"/>
  <c r="N65" i="8"/>
  <c r="S65" i="8" s="1"/>
  <c r="N54" i="8"/>
  <c r="O54" i="8" s="1"/>
  <c r="Q54" i="8" s="1"/>
  <c r="D30" i="4"/>
  <c r="AL77" i="7"/>
  <c r="AO77" i="7"/>
  <c r="AN77" i="7"/>
  <c r="N31" i="8"/>
  <c r="N64" i="8"/>
  <c r="O64" i="8" s="1"/>
  <c r="D31" i="4"/>
  <c r="N38" i="8"/>
  <c r="S38" i="8" s="1"/>
  <c r="N51" i="8"/>
  <c r="S51" i="8" s="1"/>
  <c r="N56" i="8"/>
  <c r="S56" i="8" s="1"/>
  <c r="L89" i="4" s="1"/>
  <c r="N30" i="8"/>
  <c r="N23" i="8"/>
  <c r="N24" i="8"/>
  <c r="N46" i="8"/>
  <c r="R46" i="8" s="1"/>
  <c r="N52" i="8"/>
  <c r="O52" i="8" s="1"/>
  <c r="N60" i="8"/>
  <c r="O60" i="8" s="1"/>
  <c r="N77" i="8"/>
  <c r="S77" i="8" s="1"/>
  <c r="N27" i="8"/>
  <c r="T27" i="8" s="1"/>
  <c r="N81" i="8"/>
  <c r="S81" i="8" s="1"/>
  <c r="L127" i="4" s="1"/>
  <c r="N75" i="8"/>
  <c r="S75" i="8" s="1"/>
  <c r="L119" i="4" s="1"/>
  <c r="N62" i="8"/>
  <c r="O62" i="8" s="1"/>
  <c r="N42" i="8"/>
  <c r="S42" i="8" s="1"/>
  <c r="S53" i="8"/>
  <c r="L15" i="4"/>
  <c r="E15" i="4"/>
  <c r="D15" i="4"/>
  <c r="C15" i="4"/>
  <c r="I15" i="4"/>
  <c r="G15" i="4"/>
  <c r="AF77" i="7"/>
  <c r="AG77" i="7"/>
  <c r="Z77" i="7"/>
  <c r="AA77" i="7"/>
  <c r="AC77" i="7"/>
  <c r="AB77" i="7"/>
  <c r="B35" i="4"/>
  <c r="C35" i="4"/>
  <c r="B17" i="4"/>
  <c r="A17" i="4"/>
  <c r="A35" i="4"/>
  <c r="C17" i="4"/>
  <c r="T52" i="16"/>
  <c r="Q54" i="11"/>
  <c r="T33" i="17"/>
  <c r="T54" i="11"/>
  <c r="AE77" i="7"/>
  <c r="AD77" i="7"/>
  <c r="T53" i="15"/>
  <c r="Q24" i="15"/>
  <c r="S24" i="15" s="1"/>
  <c r="T24" i="13"/>
  <c r="Q53" i="14"/>
  <c r="Q26" i="16"/>
  <c r="S26" i="16" s="1"/>
  <c r="Q52" i="16"/>
  <c r="Q53" i="15"/>
  <c r="Q24" i="14"/>
  <c r="S24" i="14" s="1"/>
  <c r="T31" i="17"/>
  <c r="Q31" i="17"/>
  <c r="S31" i="17" s="1"/>
  <c r="Q52" i="10"/>
  <c r="T53" i="8"/>
  <c r="Q53" i="8"/>
  <c r="Q24" i="13"/>
  <c r="S24" i="13" s="1"/>
  <c r="Q31" i="11"/>
  <c r="S31" i="11" s="1"/>
  <c r="T53" i="14"/>
  <c r="T24" i="10"/>
  <c r="Q24" i="10"/>
  <c r="S24" i="10" s="1"/>
  <c r="T26" i="16"/>
  <c r="T24" i="14"/>
  <c r="T52" i="10"/>
  <c r="O54" i="16"/>
  <c r="S54" i="16"/>
  <c r="S47" i="16"/>
  <c r="O47" i="16"/>
  <c r="R47" i="16"/>
  <c r="P52" i="14"/>
  <c r="T52" i="14"/>
  <c r="O54" i="10"/>
  <c r="Q54" i="10" s="1"/>
  <c r="S54" i="10"/>
  <c r="P32" i="18"/>
  <c r="T32" i="18"/>
  <c r="T24" i="16"/>
  <c r="R47" i="15"/>
  <c r="O47" i="15"/>
  <c r="Q47" i="15" s="1"/>
  <c r="S47" i="15"/>
  <c r="S78" i="14"/>
  <c r="O78" i="14"/>
  <c r="Q78" i="14" s="1"/>
  <c r="P52" i="11"/>
  <c r="Q52" i="11"/>
  <c r="S28" i="10"/>
  <c r="O28" i="10"/>
  <c r="R28" i="10"/>
  <c r="T28" i="10"/>
  <c r="S54" i="15"/>
  <c r="O54" i="15"/>
  <c r="Q54" i="15" s="1"/>
  <c r="P23" i="17"/>
  <c r="Q23" i="17"/>
  <c r="Q32" i="18"/>
  <c r="S32" i="18" s="1"/>
  <c r="R48" i="18"/>
  <c r="O48" i="18"/>
  <c r="Q48" i="18" s="1"/>
  <c r="S48" i="18"/>
  <c r="O65" i="17"/>
  <c r="S65" i="17"/>
  <c r="P25" i="17"/>
  <c r="T25" i="17"/>
  <c r="O25" i="16"/>
  <c r="Q53" i="16"/>
  <c r="T53" i="16"/>
  <c r="P22" i="15"/>
  <c r="Q22" i="15"/>
  <c r="Q52" i="14"/>
  <c r="P31" i="12"/>
  <c r="T31" i="12"/>
  <c r="P52" i="12"/>
  <c r="Q52" i="12"/>
  <c r="O25" i="10"/>
  <c r="R22" i="11"/>
  <c r="T22" i="11"/>
  <c r="S22" i="11"/>
  <c r="O22" i="11"/>
  <c r="P52" i="17"/>
  <c r="T52" i="17"/>
  <c r="S39" i="18"/>
  <c r="O39" i="18"/>
  <c r="Q39" i="18" s="1"/>
  <c r="R39" i="18"/>
  <c r="Q26" i="18"/>
  <c r="S26" i="18" s="1"/>
  <c r="T41" i="16"/>
  <c r="T26" i="18"/>
  <c r="R43" i="17"/>
  <c r="S43" i="17"/>
  <c r="O43" i="17"/>
  <c r="Q33" i="17"/>
  <c r="S33" i="17" s="1"/>
  <c r="Q24" i="16"/>
  <c r="S24" i="16" s="1"/>
  <c r="Q41" i="16"/>
  <c r="T32" i="15"/>
  <c r="P32" i="15"/>
  <c r="T24" i="15"/>
  <c r="S78" i="13"/>
  <c r="O78" i="13"/>
  <c r="Q78" i="13" s="1"/>
  <c r="Q31" i="12"/>
  <c r="S31" i="12" s="1"/>
  <c r="T52" i="12"/>
  <c r="T31" i="11"/>
  <c r="P32" i="8"/>
  <c r="T32" i="8"/>
  <c r="H37" i="4" l="1"/>
  <c r="G37" i="4"/>
  <c r="E37" i="4"/>
  <c r="I37" i="4"/>
  <c r="G106" i="4"/>
  <c r="F37" i="4"/>
  <c r="L37" i="4" s="1"/>
  <c r="M50" i="4"/>
  <c r="H50" i="4"/>
  <c r="F50" i="4"/>
  <c r="E50" i="4"/>
  <c r="L50" i="4"/>
  <c r="G50" i="4"/>
  <c r="I71" i="4"/>
  <c r="L71" i="4"/>
  <c r="E71" i="4"/>
  <c r="G71" i="4"/>
  <c r="H71" i="4"/>
  <c r="F71" i="4"/>
  <c r="M71" i="4"/>
  <c r="G19" i="4"/>
  <c r="F19" i="4"/>
  <c r="L19" i="4" s="1"/>
  <c r="M61" i="4"/>
  <c r="E61" i="4"/>
  <c r="F61" i="4"/>
  <c r="G61" i="4"/>
  <c r="I61" i="4"/>
  <c r="L61" i="4"/>
  <c r="H61" i="4"/>
  <c r="I96" i="4"/>
  <c r="G96" i="4"/>
  <c r="L96" i="4"/>
  <c r="M96" i="4"/>
  <c r="E96" i="4"/>
  <c r="R43" i="10"/>
  <c r="R47" i="10"/>
  <c r="S77" i="10"/>
  <c r="J51" i="5" s="1"/>
  <c r="K51" i="5" s="1"/>
  <c r="S47" i="10"/>
  <c r="R39" i="10"/>
  <c r="R21" i="10"/>
  <c r="O21" i="10"/>
  <c r="Q21" i="10" s="1"/>
  <c r="O39" i="10"/>
  <c r="Q39" i="10" s="1"/>
  <c r="S21" i="10"/>
  <c r="O43" i="10"/>
  <c r="Q43" i="10" s="1"/>
  <c r="T29" i="8"/>
  <c r="S65" i="10"/>
  <c r="T20" i="8"/>
  <c r="O22" i="10"/>
  <c r="Q22" i="10" s="1"/>
  <c r="O43" i="8"/>
  <c r="P43" i="8" s="1"/>
  <c r="R43" i="8"/>
  <c r="O20" i="8"/>
  <c r="P20" i="8" s="1"/>
  <c r="R20" i="8"/>
  <c r="R29" i="8"/>
  <c r="O29" i="8"/>
  <c r="P29" i="8" s="1"/>
  <c r="R48" i="10"/>
  <c r="R44" i="10"/>
  <c r="A11" i="4"/>
  <c r="B11" i="4"/>
  <c r="B48" i="4"/>
  <c r="A48" i="4"/>
  <c r="L48" i="4"/>
  <c r="S92" i="8"/>
  <c r="T92" i="8"/>
  <c r="O92" i="8"/>
  <c r="B58" i="4"/>
  <c r="A58" i="4"/>
  <c r="B57" i="4"/>
  <c r="A57" i="4"/>
  <c r="S71" i="8"/>
  <c r="T71" i="8"/>
  <c r="O71" i="8"/>
  <c r="S91" i="8"/>
  <c r="O91" i="8"/>
  <c r="T91" i="8"/>
  <c r="T83" i="8"/>
  <c r="O83" i="8"/>
  <c r="S83" i="8"/>
  <c r="B124" i="4"/>
  <c r="A124" i="4"/>
  <c r="B59" i="4"/>
  <c r="A59" i="4"/>
  <c r="A10" i="4"/>
  <c r="B10" i="4"/>
  <c r="A138" i="4"/>
  <c r="B138" i="4"/>
  <c r="A137" i="4"/>
  <c r="B137" i="4"/>
  <c r="S73" i="8"/>
  <c r="T73" i="8"/>
  <c r="O73" i="8"/>
  <c r="B27" i="4"/>
  <c r="A27" i="4"/>
  <c r="S89" i="8"/>
  <c r="O89" i="8"/>
  <c r="T89" i="8"/>
  <c r="S93" i="8"/>
  <c r="O93" i="8"/>
  <c r="T93" i="8"/>
  <c r="A139" i="4"/>
  <c r="B139" i="4"/>
  <c r="A68" i="4"/>
  <c r="B68" i="4"/>
  <c r="B28" i="4"/>
  <c r="A28" i="4"/>
  <c r="A67" i="4"/>
  <c r="B67" i="4"/>
  <c r="S85" i="8"/>
  <c r="O85" i="8"/>
  <c r="T85" i="8"/>
  <c r="O58" i="8"/>
  <c r="Q58" i="8" s="1"/>
  <c r="I91" i="4" s="1"/>
  <c r="S58" i="8"/>
  <c r="A9" i="4"/>
  <c r="B9" i="4"/>
  <c r="L77" i="4"/>
  <c r="B29" i="4"/>
  <c r="A29" i="4"/>
  <c r="A69" i="4"/>
  <c r="B69" i="4"/>
  <c r="B123" i="4"/>
  <c r="A123" i="4"/>
  <c r="B47" i="4"/>
  <c r="A47" i="4"/>
  <c r="L47" i="4"/>
  <c r="B46" i="4"/>
  <c r="L46" i="4"/>
  <c r="A46" i="4"/>
  <c r="S69" i="8"/>
  <c r="T69" i="8"/>
  <c r="O69" i="8"/>
  <c r="S87" i="8"/>
  <c r="T87" i="8"/>
  <c r="O87" i="8"/>
  <c r="T67" i="8"/>
  <c r="S67" i="8"/>
  <c r="O67" i="8"/>
  <c r="B122" i="4"/>
  <c r="A122" i="4"/>
  <c r="B65" i="4"/>
  <c r="A65" i="4"/>
  <c r="A64" i="4"/>
  <c r="B64" i="4"/>
  <c r="D50" i="5"/>
  <c r="E50" i="5" s="1"/>
  <c r="B44" i="4"/>
  <c r="A44" i="4"/>
  <c r="L44" i="4"/>
  <c r="B56" i="4"/>
  <c r="A56" i="4"/>
  <c r="B24" i="4"/>
  <c r="A24" i="4"/>
  <c r="B66" i="4"/>
  <c r="A66" i="4"/>
  <c r="D52" i="5"/>
  <c r="E52" i="5" s="1"/>
  <c r="L126" i="4"/>
  <c r="M23" i="5" s="1"/>
  <c r="B55" i="4"/>
  <c r="A55" i="4"/>
  <c r="B25" i="4"/>
  <c r="A25" i="4"/>
  <c r="A8" i="4"/>
  <c r="B8" i="4"/>
  <c r="A6" i="4"/>
  <c r="B6" i="4"/>
  <c r="B54" i="4"/>
  <c r="A54" i="4"/>
  <c r="B26" i="4"/>
  <c r="A26" i="4"/>
  <c r="D41" i="5"/>
  <c r="E41" i="5" s="1"/>
  <c r="A7" i="4"/>
  <c r="B7" i="4"/>
  <c r="B45" i="4"/>
  <c r="A45" i="4"/>
  <c r="L45" i="4"/>
  <c r="B43" i="4"/>
  <c r="L43" i="4"/>
  <c r="A43" i="4"/>
  <c r="O47" i="12"/>
  <c r="P47" i="12" s="1"/>
  <c r="S44" i="10"/>
  <c r="O40" i="10"/>
  <c r="Q40" i="10" s="1"/>
  <c r="S47" i="12"/>
  <c r="R40" i="10"/>
  <c r="O65" i="11"/>
  <c r="P65" i="11" s="1"/>
  <c r="Q78" i="10"/>
  <c r="O48" i="10"/>
  <c r="P48" i="10" s="1"/>
  <c r="T78" i="10"/>
  <c r="S29" i="10"/>
  <c r="R22" i="10"/>
  <c r="S22" i="10"/>
  <c r="T29" i="10"/>
  <c r="R29" i="10"/>
  <c r="O47" i="11"/>
  <c r="P47" i="11" s="1"/>
  <c r="R47" i="11"/>
  <c r="S39" i="12"/>
  <c r="J91" i="5" s="1"/>
  <c r="K91" i="5" s="1"/>
  <c r="O39" i="11"/>
  <c r="Q39" i="11" s="1"/>
  <c r="R28" i="11"/>
  <c r="T21" i="11"/>
  <c r="O28" i="11"/>
  <c r="P28" i="11" s="1"/>
  <c r="S39" i="11"/>
  <c r="R21" i="11"/>
  <c r="O21" i="11"/>
  <c r="P21" i="11" s="1"/>
  <c r="O44" i="14"/>
  <c r="Q44" i="14" s="1"/>
  <c r="S77" i="11"/>
  <c r="Q43" i="11"/>
  <c r="T43" i="11"/>
  <c r="S28" i="11"/>
  <c r="S28" i="12"/>
  <c r="T28" i="12"/>
  <c r="R28" i="12"/>
  <c r="J99" i="5"/>
  <c r="K99" i="5" s="1"/>
  <c r="T29" i="14"/>
  <c r="Q54" i="12"/>
  <c r="P54" i="12"/>
  <c r="O29" i="14"/>
  <c r="P29" i="14" s="1"/>
  <c r="R29" i="14"/>
  <c r="O21" i="12"/>
  <c r="P21" i="12" s="1"/>
  <c r="O65" i="12"/>
  <c r="Q65" i="12" s="1"/>
  <c r="P54" i="13"/>
  <c r="T43" i="12"/>
  <c r="R39" i="12"/>
  <c r="Q43" i="12"/>
  <c r="S21" i="12"/>
  <c r="O65" i="13"/>
  <c r="P65" i="13" s="1"/>
  <c r="S77" i="12"/>
  <c r="J105" i="5" s="1"/>
  <c r="K105" i="5" s="1"/>
  <c r="T21" i="12"/>
  <c r="S44" i="13"/>
  <c r="S44" i="14"/>
  <c r="J146" i="5" s="1"/>
  <c r="K146" i="5" s="1"/>
  <c r="S48" i="13"/>
  <c r="Q54" i="13"/>
  <c r="T22" i="13"/>
  <c r="R22" i="14"/>
  <c r="T22" i="14"/>
  <c r="R40" i="13"/>
  <c r="S48" i="14"/>
  <c r="O48" i="14"/>
  <c r="P48" i="14" s="1"/>
  <c r="O22" i="13"/>
  <c r="P22" i="13" s="1"/>
  <c r="S22" i="13"/>
  <c r="O22" i="14"/>
  <c r="Q22" i="14" s="1"/>
  <c r="O29" i="13"/>
  <c r="P29" i="13" s="1"/>
  <c r="S29" i="13"/>
  <c r="D144" i="5" s="1"/>
  <c r="O40" i="13"/>
  <c r="Q40" i="13" s="1"/>
  <c r="O40" i="16"/>
  <c r="P40" i="16" s="1"/>
  <c r="O22" i="16"/>
  <c r="Q22" i="16" s="1"/>
  <c r="O48" i="16"/>
  <c r="P48" i="16" s="1"/>
  <c r="S40" i="14"/>
  <c r="R40" i="14"/>
  <c r="R48" i="13"/>
  <c r="S22" i="16"/>
  <c r="S48" i="16"/>
  <c r="T22" i="16"/>
  <c r="R29" i="13"/>
  <c r="R44" i="13"/>
  <c r="Q26" i="13"/>
  <c r="S26" i="13" s="1"/>
  <c r="Q52" i="13"/>
  <c r="T26" i="13"/>
  <c r="P52" i="13"/>
  <c r="R29" i="16"/>
  <c r="O29" i="16"/>
  <c r="P29" i="16" s="1"/>
  <c r="S29" i="16"/>
  <c r="Q78" i="16"/>
  <c r="T78" i="16"/>
  <c r="R44" i="16"/>
  <c r="O44" i="16"/>
  <c r="Q44" i="16" s="1"/>
  <c r="Q25" i="11"/>
  <c r="S25" i="11" s="1"/>
  <c r="S40" i="16"/>
  <c r="T53" i="18"/>
  <c r="Q53" i="18"/>
  <c r="O77" i="18"/>
  <c r="Q77" i="18" s="1"/>
  <c r="R47" i="18"/>
  <c r="O47" i="18"/>
  <c r="Q47" i="18" s="1"/>
  <c r="R43" i="18"/>
  <c r="O28" i="18"/>
  <c r="Q28" i="18" s="1"/>
  <c r="S28" i="18"/>
  <c r="S21" i="18"/>
  <c r="O21" i="18"/>
  <c r="P21" i="18" s="1"/>
  <c r="T21" i="18"/>
  <c r="T28" i="18"/>
  <c r="O43" i="18"/>
  <c r="Q43" i="18" s="1"/>
  <c r="T25" i="11"/>
  <c r="Q25" i="18"/>
  <c r="S25" i="18" s="1"/>
  <c r="T25" i="18"/>
  <c r="S78" i="18"/>
  <c r="J267" i="5" s="1"/>
  <c r="K267" i="5" s="1"/>
  <c r="D94" i="5"/>
  <c r="E94" i="5" s="1"/>
  <c r="T56" i="10"/>
  <c r="J68" i="5" s="1"/>
  <c r="O45" i="15"/>
  <c r="T45" i="15" s="1"/>
  <c r="R21" i="14"/>
  <c r="S43" i="15"/>
  <c r="D200" i="5" s="1"/>
  <c r="E200" i="5" s="1"/>
  <c r="T79" i="12"/>
  <c r="O43" i="13"/>
  <c r="P43" i="13" s="1"/>
  <c r="T23" i="14"/>
  <c r="S41" i="10"/>
  <c r="J37" i="5" s="1"/>
  <c r="K37" i="5" s="1"/>
  <c r="R43" i="16"/>
  <c r="S49" i="17"/>
  <c r="Q79" i="12"/>
  <c r="S30" i="18"/>
  <c r="T23" i="11"/>
  <c r="S56" i="10"/>
  <c r="J41" i="5" s="1"/>
  <c r="K41" i="5" s="1"/>
  <c r="S43" i="13"/>
  <c r="D146" i="5" s="1"/>
  <c r="E146" i="5" s="1"/>
  <c r="R45" i="15"/>
  <c r="S77" i="15"/>
  <c r="S49" i="18"/>
  <c r="J255" i="5" s="1"/>
  <c r="K255" i="5" s="1"/>
  <c r="S22" i="18"/>
  <c r="S65" i="16"/>
  <c r="O41" i="10"/>
  <c r="Q41" i="10" s="1"/>
  <c r="T79" i="15"/>
  <c r="O39" i="15"/>
  <c r="Q39" i="15" s="1"/>
  <c r="T30" i="11"/>
  <c r="A78" i="4"/>
  <c r="O43" i="16"/>
  <c r="T43" i="16" s="1"/>
  <c r="O30" i="11"/>
  <c r="Q30" i="11" s="1"/>
  <c r="R21" i="13"/>
  <c r="T53" i="17"/>
  <c r="O41" i="14"/>
  <c r="P41" i="14" s="1"/>
  <c r="S23" i="18"/>
  <c r="S77" i="17"/>
  <c r="T53" i="12"/>
  <c r="J121" i="5" s="1"/>
  <c r="S23" i="10"/>
  <c r="S30" i="11"/>
  <c r="D90" i="5" s="1"/>
  <c r="S49" i="11"/>
  <c r="D93" i="5" s="1"/>
  <c r="E93" i="5" s="1"/>
  <c r="T23" i="18"/>
  <c r="Q53" i="17"/>
  <c r="R49" i="17"/>
  <c r="R23" i="18"/>
  <c r="P54" i="18"/>
  <c r="S60" i="10"/>
  <c r="J43" i="5" s="1"/>
  <c r="K43" i="5" s="1"/>
  <c r="Q54" i="18"/>
  <c r="T53" i="10"/>
  <c r="O49" i="10"/>
  <c r="Q49" i="10" s="1"/>
  <c r="S39" i="17"/>
  <c r="Q79" i="15"/>
  <c r="R30" i="17"/>
  <c r="R30" i="14"/>
  <c r="P30" i="14"/>
  <c r="O41" i="15"/>
  <c r="T41" i="15" s="1"/>
  <c r="R21" i="17"/>
  <c r="O81" i="18"/>
  <c r="P81" i="18" s="1"/>
  <c r="T29" i="18"/>
  <c r="T21" i="13"/>
  <c r="R40" i="18"/>
  <c r="O28" i="17"/>
  <c r="Q28" i="17" s="1"/>
  <c r="T23" i="15"/>
  <c r="S62" i="18"/>
  <c r="J260" i="5" s="1"/>
  <c r="K260" i="5" s="1"/>
  <c r="T28" i="17"/>
  <c r="O51" i="10"/>
  <c r="P51" i="10" s="1"/>
  <c r="T77" i="13"/>
  <c r="T28" i="16"/>
  <c r="O28" i="15"/>
  <c r="Q28" i="15" s="1"/>
  <c r="T23" i="13"/>
  <c r="T21" i="17"/>
  <c r="S30" i="10"/>
  <c r="S79" i="13"/>
  <c r="D159" i="5" s="1"/>
  <c r="E159" i="5" s="1"/>
  <c r="R47" i="13"/>
  <c r="S64" i="18"/>
  <c r="O40" i="18"/>
  <c r="T40" i="18" s="1"/>
  <c r="R28" i="17"/>
  <c r="R51" i="18"/>
  <c r="S51" i="10"/>
  <c r="J40" i="5" s="1"/>
  <c r="K40" i="5" s="1"/>
  <c r="R48" i="12"/>
  <c r="S28" i="15"/>
  <c r="R23" i="16"/>
  <c r="R23" i="14"/>
  <c r="O30" i="10"/>
  <c r="P30" i="10" s="1"/>
  <c r="R45" i="12"/>
  <c r="R45" i="18"/>
  <c r="S40" i="15"/>
  <c r="R44" i="18"/>
  <c r="O81" i="10"/>
  <c r="Q81" i="10" s="1"/>
  <c r="O23" i="14"/>
  <c r="Q23" i="14" s="1"/>
  <c r="O49" i="11"/>
  <c r="P49" i="11" s="1"/>
  <c r="T22" i="18"/>
  <c r="S47" i="14"/>
  <c r="S39" i="15"/>
  <c r="S51" i="17"/>
  <c r="D256" i="5" s="1"/>
  <c r="E256" i="5" s="1"/>
  <c r="O75" i="13"/>
  <c r="Q75" i="13" s="1"/>
  <c r="S49" i="12"/>
  <c r="S23" i="11"/>
  <c r="T23" i="10"/>
  <c r="P23" i="11"/>
  <c r="O75" i="18"/>
  <c r="Q75" i="18" s="1"/>
  <c r="R23" i="10"/>
  <c r="S22" i="12"/>
  <c r="O56" i="16"/>
  <c r="Q56" i="16" s="1"/>
  <c r="O30" i="15"/>
  <c r="Q30" i="15" s="1"/>
  <c r="Q53" i="12"/>
  <c r="S65" i="15"/>
  <c r="D207" i="5" s="1"/>
  <c r="E207" i="5" s="1"/>
  <c r="O56" i="15"/>
  <c r="Q56" i="15" s="1"/>
  <c r="R49" i="18"/>
  <c r="O49" i="15"/>
  <c r="Q49" i="15" s="1"/>
  <c r="T28" i="14"/>
  <c r="R22" i="18"/>
  <c r="T56" i="12"/>
  <c r="J122" i="5" s="1"/>
  <c r="T29" i="15"/>
  <c r="S60" i="17"/>
  <c r="D259" i="5" s="1"/>
  <c r="E259" i="5" s="1"/>
  <c r="T62" i="12"/>
  <c r="J125" i="5" s="1"/>
  <c r="S62" i="14"/>
  <c r="J152" i="5" s="1"/>
  <c r="K152" i="5" s="1"/>
  <c r="S49" i="16"/>
  <c r="R23" i="11"/>
  <c r="O49" i="12"/>
  <c r="P49" i="12" s="1"/>
  <c r="O62" i="10"/>
  <c r="P62" i="10" s="1"/>
  <c r="R40" i="11"/>
  <c r="S64" i="10"/>
  <c r="J45" i="5" s="1"/>
  <c r="K45" i="5" s="1"/>
  <c r="S49" i="10"/>
  <c r="S81" i="11"/>
  <c r="D106" i="5" s="1"/>
  <c r="E106" i="5" s="1"/>
  <c r="R51" i="13"/>
  <c r="T30" i="18"/>
  <c r="R39" i="17"/>
  <c r="O51" i="13"/>
  <c r="Q51" i="13" s="1"/>
  <c r="P43" i="14"/>
  <c r="O51" i="18"/>
  <c r="Q51" i="18" s="1"/>
  <c r="O21" i="17"/>
  <c r="P21" i="17" s="1"/>
  <c r="R43" i="15"/>
  <c r="R30" i="18"/>
  <c r="O29" i="18"/>
  <c r="Q29" i="18" s="1"/>
  <c r="Q79" i="10"/>
  <c r="R30" i="10"/>
  <c r="O60" i="14"/>
  <c r="Q60" i="14" s="1"/>
  <c r="S39" i="14"/>
  <c r="Q53" i="10"/>
  <c r="S41" i="15"/>
  <c r="A104" i="4"/>
  <c r="S29" i="18"/>
  <c r="O45" i="16"/>
  <c r="Q45" i="16" s="1"/>
  <c r="S30" i="14"/>
  <c r="T79" i="10"/>
  <c r="J261" i="5"/>
  <c r="K261" i="5" s="1"/>
  <c r="O65" i="18"/>
  <c r="Q65" i="18" s="1"/>
  <c r="S60" i="15"/>
  <c r="D205" i="5" s="1"/>
  <c r="E205" i="5" s="1"/>
  <c r="Q56" i="10"/>
  <c r="S78" i="11"/>
  <c r="T30" i="14"/>
  <c r="R41" i="14"/>
  <c r="Q26" i="12"/>
  <c r="S26" i="12" s="1"/>
  <c r="S41" i="17"/>
  <c r="S39" i="13"/>
  <c r="O62" i="15"/>
  <c r="Q62" i="15" s="1"/>
  <c r="O28" i="13"/>
  <c r="P28" i="13" s="1"/>
  <c r="O45" i="10"/>
  <c r="Q45" i="10" s="1"/>
  <c r="O81" i="15"/>
  <c r="Q81" i="15" s="1"/>
  <c r="S64" i="13"/>
  <c r="D153" i="5" s="1"/>
  <c r="E153" i="5" s="1"/>
  <c r="T30" i="12"/>
  <c r="O21" i="15"/>
  <c r="P21" i="15" s="1"/>
  <c r="R44" i="11"/>
  <c r="R41" i="18"/>
  <c r="T29" i="11"/>
  <c r="S45" i="10"/>
  <c r="R44" i="15"/>
  <c r="T28" i="13"/>
  <c r="P60" i="11"/>
  <c r="O39" i="13"/>
  <c r="T39" i="13" s="1"/>
  <c r="S60" i="18"/>
  <c r="J259" i="5" s="1"/>
  <c r="K259" i="5" s="1"/>
  <c r="R41" i="12"/>
  <c r="S45" i="12"/>
  <c r="J92" i="5" s="1"/>
  <c r="K92" i="5" s="1"/>
  <c r="R28" i="16"/>
  <c r="S47" i="13"/>
  <c r="O54" i="17"/>
  <c r="Q54" i="17" s="1"/>
  <c r="O21" i="13"/>
  <c r="P21" i="13" s="1"/>
  <c r="S62" i="16"/>
  <c r="J206" i="5" s="1"/>
  <c r="K206" i="5" s="1"/>
  <c r="R47" i="17"/>
  <c r="S40" i="17"/>
  <c r="O45" i="18"/>
  <c r="Q45" i="18" s="1"/>
  <c r="R28" i="13"/>
  <c r="O48" i="12"/>
  <c r="T48" i="12" s="1"/>
  <c r="P45" i="13"/>
  <c r="T21" i="15"/>
  <c r="O44" i="18"/>
  <c r="P44" i="18" s="1"/>
  <c r="R28" i="15"/>
  <c r="R23" i="15"/>
  <c r="S75" i="10"/>
  <c r="J50" i="5" s="1"/>
  <c r="K50" i="5" s="1"/>
  <c r="O39" i="16"/>
  <c r="Q39" i="16" s="1"/>
  <c r="R21" i="16"/>
  <c r="R23" i="12"/>
  <c r="O41" i="18"/>
  <c r="P41" i="18" s="1"/>
  <c r="T23" i="12"/>
  <c r="S21" i="15"/>
  <c r="Q22" i="17"/>
  <c r="O44" i="17"/>
  <c r="P44" i="17" s="1"/>
  <c r="P23" i="13"/>
  <c r="S56" i="18"/>
  <c r="J257" i="5" s="1"/>
  <c r="K257" i="5" s="1"/>
  <c r="R51" i="11"/>
  <c r="R40" i="12"/>
  <c r="O28" i="16"/>
  <c r="P28" i="16" s="1"/>
  <c r="O81" i="17"/>
  <c r="Q81" i="17" s="1"/>
  <c r="S29" i="17"/>
  <c r="O64" i="15"/>
  <c r="Q64" i="15" s="1"/>
  <c r="S30" i="16"/>
  <c r="R48" i="17"/>
  <c r="S48" i="15"/>
  <c r="S39" i="16"/>
  <c r="O21" i="16"/>
  <c r="P21" i="16" s="1"/>
  <c r="R23" i="13"/>
  <c r="T65" i="14"/>
  <c r="Q77" i="13"/>
  <c r="S65" i="14"/>
  <c r="J153" i="5" s="1"/>
  <c r="K153" i="5" s="1"/>
  <c r="O23" i="12"/>
  <c r="P23" i="12" s="1"/>
  <c r="S23" i="13"/>
  <c r="S78" i="15"/>
  <c r="R41" i="13"/>
  <c r="S75" i="14"/>
  <c r="J158" i="5" s="1"/>
  <c r="K158" i="5" s="1"/>
  <c r="S60" i="13"/>
  <c r="D151" i="5" s="1"/>
  <c r="E151" i="5" s="1"/>
  <c r="O64" i="12"/>
  <c r="T64" i="12" s="1"/>
  <c r="Q43" i="14"/>
  <c r="O77" i="16"/>
  <c r="P77" i="16" s="1"/>
  <c r="S62" i="17"/>
  <c r="D260" i="5" s="1"/>
  <c r="E260" i="5" s="1"/>
  <c r="T81" i="12"/>
  <c r="J133" i="5" s="1"/>
  <c r="T45" i="14"/>
  <c r="O75" i="17"/>
  <c r="Q75" i="17" s="1"/>
  <c r="O56" i="17"/>
  <c r="T56" i="17" s="1"/>
  <c r="D284" i="5" s="1"/>
  <c r="S40" i="11"/>
  <c r="T30" i="17"/>
  <c r="O56" i="11"/>
  <c r="Q56" i="11" s="1"/>
  <c r="R45" i="17"/>
  <c r="R45" i="16"/>
  <c r="O44" i="12"/>
  <c r="Q44" i="12" s="1"/>
  <c r="O41" i="11"/>
  <c r="P41" i="11" s="1"/>
  <c r="R29" i="11"/>
  <c r="O75" i="11"/>
  <c r="P75" i="11" s="1"/>
  <c r="O81" i="16"/>
  <c r="Q81" i="16" s="1"/>
  <c r="O44" i="15"/>
  <c r="Q44" i="15" s="1"/>
  <c r="O64" i="17"/>
  <c r="T64" i="17" s="1"/>
  <c r="O29" i="17"/>
  <c r="Q29" i="17" s="1"/>
  <c r="O51" i="11"/>
  <c r="Q51" i="11" s="1"/>
  <c r="O56" i="13"/>
  <c r="Q56" i="13" s="1"/>
  <c r="S56" i="14"/>
  <c r="J149" i="5" s="1"/>
  <c r="K149" i="5" s="1"/>
  <c r="T30" i="16"/>
  <c r="S64" i="16"/>
  <c r="R44" i="17"/>
  <c r="R48" i="11"/>
  <c r="Q33" i="16"/>
  <c r="S33" i="16" s="1"/>
  <c r="S60" i="11"/>
  <c r="D97" i="5" s="1"/>
  <c r="E97" i="5" s="1"/>
  <c r="T26" i="12"/>
  <c r="O41" i="12"/>
  <c r="Q41" i="12" s="1"/>
  <c r="O29" i="11"/>
  <c r="Q29" i="11" s="1"/>
  <c r="O40" i="12"/>
  <c r="Q40" i="12" s="1"/>
  <c r="S75" i="12"/>
  <c r="J104" i="5" s="1"/>
  <c r="K104" i="5" s="1"/>
  <c r="T29" i="17"/>
  <c r="Q60" i="11"/>
  <c r="T45" i="13"/>
  <c r="S60" i="16"/>
  <c r="J205" i="5" s="1"/>
  <c r="K205" i="5" s="1"/>
  <c r="S47" i="17"/>
  <c r="R30" i="16"/>
  <c r="T33" i="16"/>
  <c r="R40" i="17"/>
  <c r="R41" i="17"/>
  <c r="S79" i="17"/>
  <c r="O62" i="11"/>
  <c r="Q62" i="11" s="1"/>
  <c r="Q77" i="14"/>
  <c r="S64" i="11"/>
  <c r="D99" i="5" s="1"/>
  <c r="E99" i="5" s="1"/>
  <c r="O62" i="13"/>
  <c r="Q62" i="13" s="1"/>
  <c r="O23" i="15"/>
  <c r="Q23" i="15" s="1"/>
  <c r="O48" i="11"/>
  <c r="Q48" i="11" s="1"/>
  <c r="S21" i="16"/>
  <c r="T30" i="13"/>
  <c r="S30" i="12"/>
  <c r="Q65" i="14"/>
  <c r="S77" i="14"/>
  <c r="O51" i="14"/>
  <c r="Q51" i="14" s="1"/>
  <c r="T77" i="14"/>
  <c r="O51" i="16"/>
  <c r="Q51" i="16" s="1"/>
  <c r="R30" i="13"/>
  <c r="R51" i="12"/>
  <c r="Q51" i="12"/>
  <c r="O30" i="12"/>
  <c r="Q30" i="12" s="1"/>
  <c r="O29" i="12"/>
  <c r="P29" i="12" s="1"/>
  <c r="Q53" i="13"/>
  <c r="O30" i="13"/>
  <c r="P30" i="13" s="1"/>
  <c r="O21" i="14"/>
  <c r="P21" i="14" s="1"/>
  <c r="R29" i="15"/>
  <c r="R28" i="14"/>
  <c r="O64" i="14"/>
  <c r="Q64" i="14" s="1"/>
  <c r="T22" i="12"/>
  <c r="R47" i="14"/>
  <c r="S30" i="15"/>
  <c r="S60" i="12"/>
  <c r="J97" i="5" s="1"/>
  <c r="K97" i="5" s="1"/>
  <c r="O49" i="13"/>
  <c r="P49" i="13" s="1"/>
  <c r="O49" i="14"/>
  <c r="P49" i="14" s="1"/>
  <c r="O45" i="11"/>
  <c r="Q45" i="11" s="1"/>
  <c r="R39" i="14"/>
  <c r="P51" i="12"/>
  <c r="Q62" i="12"/>
  <c r="S21" i="14"/>
  <c r="O29" i="15"/>
  <c r="Q29" i="15" s="1"/>
  <c r="S30" i="17"/>
  <c r="J256" i="5"/>
  <c r="K256" i="5" s="1"/>
  <c r="S28" i="14"/>
  <c r="R22" i="12"/>
  <c r="S79" i="14"/>
  <c r="T30" i="15"/>
  <c r="S75" i="15"/>
  <c r="D212" i="5" s="1"/>
  <c r="E212" i="5" s="1"/>
  <c r="R49" i="16"/>
  <c r="S81" i="13"/>
  <c r="D160" i="5" s="1"/>
  <c r="E160" i="5" s="1"/>
  <c r="R51" i="17"/>
  <c r="O45" i="17"/>
  <c r="Q45" i="17" s="1"/>
  <c r="T41" i="13"/>
  <c r="Q56" i="12"/>
  <c r="Q41" i="13"/>
  <c r="S51" i="12"/>
  <c r="J94" i="5" s="1"/>
  <c r="K94" i="5" s="1"/>
  <c r="S81" i="12"/>
  <c r="J106" i="5" s="1"/>
  <c r="K106" i="5" s="1"/>
  <c r="S41" i="13"/>
  <c r="D145" i="5" s="1"/>
  <c r="E145" i="5" s="1"/>
  <c r="R45" i="11"/>
  <c r="S49" i="15"/>
  <c r="R49" i="14"/>
  <c r="A31" i="4"/>
  <c r="Q45" i="14"/>
  <c r="Q81" i="12"/>
  <c r="T53" i="13"/>
  <c r="R44" i="12"/>
  <c r="R41" i="11"/>
  <c r="S49" i="13"/>
  <c r="S62" i="12"/>
  <c r="J98" i="5" s="1"/>
  <c r="K98" i="5" s="1"/>
  <c r="S56" i="12"/>
  <c r="J95" i="5" s="1"/>
  <c r="K95" i="5" s="1"/>
  <c r="S75" i="16"/>
  <c r="J212" i="5" s="1"/>
  <c r="K212" i="5" s="1"/>
  <c r="S51" i="14"/>
  <c r="J148" i="5" s="1"/>
  <c r="K148" i="5" s="1"/>
  <c r="R51" i="15"/>
  <c r="O78" i="17"/>
  <c r="Q78" i="17" s="1"/>
  <c r="R48" i="15"/>
  <c r="S81" i="14"/>
  <c r="J160" i="5" s="1"/>
  <c r="K160" i="5" s="1"/>
  <c r="S51" i="16"/>
  <c r="J202" i="5" s="1"/>
  <c r="K202" i="5" s="1"/>
  <c r="O23" i="16"/>
  <c r="P23" i="16" s="1"/>
  <c r="O44" i="11"/>
  <c r="Q44" i="11" s="1"/>
  <c r="O51" i="15"/>
  <c r="P51" i="15" s="1"/>
  <c r="O48" i="17"/>
  <c r="Q48" i="17" s="1"/>
  <c r="R40" i="15"/>
  <c r="S23" i="16"/>
  <c r="T79" i="16"/>
  <c r="R29" i="12"/>
  <c r="T29" i="12"/>
  <c r="Q78" i="12"/>
  <c r="Q79" i="16"/>
  <c r="T78" i="12"/>
  <c r="S79" i="16"/>
  <c r="J213" i="5" s="1"/>
  <c r="K213" i="5" s="1"/>
  <c r="L60" i="4"/>
  <c r="I60" i="4"/>
  <c r="M60" i="4"/>
  <c r="E60" i="4"/>
  <c r="H60" i="4"/>
  <c r="F60" i="4"/>
  <c r="G60" i="4"/>
  <c r="E16" i="4"/>
  <c r="L16" i="4"/>
  <c r="F16" i="4"/>
  <c r="E34" i="4"/>
  <c r="M16" i="4"/>
  <c r="F34" i="4"/>
  <c r="L49" i="4"/>
  <c r="H49" i="4"/>
  <c r="F49" i="4"/>
  <c r="M49" i="4"/>
  <c r="E49" i="4"/>
  <c r="G49" i="4"/>
  <c r="L95" i="4"/>
  <c r="I95" i="4"/>
  <c r="E95" i="4"/>
  <c r="G95" i="4"/>
  <c r="M95" i="4"/>
  <c r="M18" i="4"/>
  <c r="F18" i="4"/>
  <c r="L18" i="4" s="1"/>
  <c r="E18" i="4"/>
  <c r="G18" i="4"/>
  <c r="H18" i="4"/>
  <c r="I18" i="4"/>
  <c r="H70" i="4"/>
  <c r="I70" i="4"/>
  <c r="M70" i="4"/>
  <c r="G70" i="4"/>
  <c r="F70" i="4"/>
  <c r="L70" i="4"/>
  <c r="E70" i="4"/>
  <c r="M34" i="4"/>
  <c r="L34" i="4"/>
  <c r="F36" i="4"/>
  <c r="L36" i="4" s="1"/>
  <c r="H36" i="4"/>
  <c r="M36" i="4"/>
  <c r="G36" i="4"/>
  <c r="I36" i="4"/>
  <c r="E36" i="4"/>
  <c r="L81" i="4"/>
  <c r="E81" i="4"/>
  <c r="M81" i="4"/>
  <c r="G81" i="4"/>
  <c r="H81" i="4"/>
  <c r="F81" i="4"/>
  <c r="I81" i="4"/>
  <c r="L105" i="4"/>
  <c r="G105" i="4"/>
  <c r="I105" i="4"/>
  <c r="E105" i="4"/>
  <c r="M105" i="4"/>
  <c r="T25" i="12"/>
  <c r="Q25" i="12"/>
  <c r="S25" i="12" s="1"/>
  <c r="T25" i="13"/>
  <c r="Q25" i="14"/>
  <c r="S25" i="14" s="1"/>
  <c r="T33" i="15"/>
  <c r="T25" i="14"/>
  <c r="T31" i="16"/>
  <c r="Q31" i="16"/>
  <c r="S31" i="16" s="1"/>
  <c r="Q33" i="15"/>
  <c r="S33" i="15" s="1"/>
  <c r="Q26" i="11"/>
  <c r="S26" i="11" s="1"/>
  <c r="I31" i="4"/>
  <c r="S28" i="8"/>
  <c r="T26" i="11"/>
  <c r="T26" i="14"/>
  <c r="Q26" i="14"/>
  <c r="S26" i="14" s="1"/>
  <c r="A32" i="4"/>
  <c r="B32" i="4"/>
  <c r="G32" i="4" s="1"/>
  <c r="P33" i="10"/>
  <c r="A12" i="4"/>
  <c r="Q33" i="10"/>
  <c r="S33" i="10" s="1"/>
  <c r="Q25" i="13"/>
  <c r="S25" i="13" s="1"/>
  <c r="A13" i="4"/>
  <c r="T78" i="8"/>
  <c r="T31" i="10"/>
  <c r="P31" i="10"/>
  <c r="I12" i="4"/>
  <c r="A30" i="4"/>
  <c r="R48" i="8"/>
  <c r="O22" i="8"/>
  <c r="Q22" i="8" s="1"/>
  <c r="Q78" i="8"/>
  <c r="O48" i="8"/>
  <c r="P48" i="8" s="1"/>
  <c r="S78" i="8"/>
  <c r="T28" i="8"/>
  <c r="R28" i="8"/>
  <c r="O49" i="8"/>
  <c r="Q49" i="8" s="1"/>
  <c r="S39" i="8"/>
  <c r="O39" i="8"/>
  <c r="P39" i="8" s="1"/>
  <c r="O56" i="8"/>
  <c r="Q56" i="8" s="1"/>
  <c r="R49" i="8"/>
  <c r="S21" i="8"/>
  <c r="O21" i="8"/>
  <c r="P21" i="8" s="1"/>
  <c r="T21" i="8"/>
  <c r="I14" i="4"/>
  <c r="A14" i="4"/>
  <c r="B80" i="4"/>
  <c r="M80" i="4" s="1"/>
  <c r="S40" i="8"/>
  <c r="B14" i="4"/>
  <c r="G14" i="4" s="1"/>
  <c r="B13" i="4"/>
  <c r="L31" i="4" s="1"/>
  <c r="O31" i="8"/>
  <c r="Q31" i="8" s="1"/>
  <c r="S31" i="8" s="1"/>
  <c r="O40" i="8"/>
  <c r="Q40" i="8" s="1"/>
  <c r="R44" i="8"/>
  <c r="B79" i="4"/>
  <c r="I79" i="4" s="1"/>
  <c r="O44" i="8"/>
  <c r="Q44" i="8" s="1"/>
  <c r="R42" i="8"/>
  <c r="O81" i="8"/>
  <c r="Q81" i="8" s="1"/>
  <c r="O65" i="8"/>
  <c r="Q65" i="8" s="1"/>
  <c r="B30" i="4"/>
  <c r="H30" i="4" s="1"/>
  <c r="S79" i="8"/>
  <c r="S22" i="8"/>
  <c r="T22" i="8"/>
  <c r="O75" i="8"/>
  <c r="Q75" i="8" s="1"/>
  <c r="B31" i="4"/>
  <c r="F31" i="4" s="1"/>
  <c r="S54" i="8"/>
  <c r="S62" i="8"/>
  <c r="L100" i="4" s="1"/>
  <c r="S64" i="8"/>
  <c r="L103" i="4" s="1"/>
  <c r="S60" i="8"/>
  <c r="L94" i="4" s="1"/>
  <c r="B12" i="4"/>
  <c r="F12" i="4" s="1"/>
  <c r="R38" i="8"/>
  <c r="O77" i="8"/>
  <c r="Q77" i="8" s="1"/>
  <c r="O51" i="8"/>
  <c r="Q51" i="8" s="1"/>
  <c r="O38" i="8"/>
  <c r="Q38" i="8" s="1"/>
  <c r="O23" i="8"/>
  <c r="Q23" i="8" s="1"/>
  <c r="S23" i="8" s="1"/>
  <c r="O24" i="8"/>
  <c r="Q24" i="8" s="1"/>
  <c r="S24" i="8" s="1"/>
  <c r="R51" i="8"/>
  <c r="O42" i="8"/>
  <c r="Q42" i="8" s="1"/>
  <c r="R27" i="8"/>
  <c r="O27" i="8"/>
  <c r="Q27" i="8" s="1"/>
  <c r="O46" i="8"/>
  <c r="Q46" i="8" s="1"/>
  <c r="S27" i="8"/>
  <c r="S46" i="8"/>
  <c r="D39" i="5" s="1"/>
  <c r="E39" i="5" s="1"/>
  <c r="S52" i="8"/>
  <c r="O30" i="8"/>
  <c r="Q30" i="8" s="1"/>
  <c r="S30" i="8" s="1"/>
  <c r="M17" i="4"/>
  <c r="L17" i="4"/>
  <c r="E17" i="4"/>
  <c r="F17" i="4"/>
  <c r="E35" i="4"/>
  <c r="F35" i="4"/>
  <c r="M35" i="4"/>
  <c r="L35" i="4"/>
  <c r="D92" i="5"/>
  <c r="E92" i="5" s="1"/>
  <c r="J253" i="5"/>
  <c r="K253" i="5" s="1"/>
  <c r="D261" i="5"/>
  <c r="E261" i="5" s="1"/>
  <c r="D202" i="5"/>
  <c r="E202" i="5" s="1"/>
  <c r="D254" i="5"/>
  <c r="E254" i="5" s="1"/>
  <c r="P40" i="11"/>
  <c r="T40" i="11"/>
  <c r="P40" i="14"/>
  <c r="T40" i="14"/>
  <c r="P24" i="11"/>
  <c r="T24" i="11"/>
  <c r="P45" i="12"/>
  <c r="T45" i="12"/>
  <c r="P77" i="15"/>
  <c r="T77" i="15"/>
  <c r="P65" i="15"/>
  <c r="T65" i="15"/>
  <c r="P75" i="16"/>
  <c r="T75" i="16"/>
  <c r="J239" i="5" s="1"/>
  <c r="P65" i="16"/>
  <c r="T65" i="16"/>
  <c r="P39" i="18"/>
  <c r="T39" i="18"/>
  <c r="P49" i="18"/>
  <c r="T49" i="18"/>
  <c r="T64" i="18"/>
  <c r="P64" i="18"/>
  <c r="P22" i="11"/>
  <c r="Q22" i="11"/>
  <c r="P28" i="12"/>
  <c r="Q28" i="12"/>
  <c r="Q28" i="14"/>
  <c r="P28" i="14"/>
  <c r="T60" i="17"/>
  <c r="D286" i="5" s="1"/>
  <c r="P60" i="17"/>
  <c r="P79" i="17"/>
  <c r="T79" i="17"/>
  <c r="P40" i="15"/>
  <c r="T40" i="15"/>
  <c r="P78" i="11"/>
  <c r="T78" i="11"/>
  <c r="P79" i="8"/>
  <c r="T79" i="8"/>
  <c r="Q28" i="10"/>
  <c r="P28" i="10"/>
  <c r="P23" i="10"/>
  <c r="Q23" i="10"/>
  <c r="P78" i="14"/>
  <c r="T78" i="14"/>
  <c r="P81" i="14"/>
  <c r="T81" i="14"/>
  <c r="J187" i="5" s="1"/>
  <c r="P77" i="11"/>
  <c r="T77" i="11"/>
  <c r="E95" i="5"/>
  <c r="P31" i="13"/>
  <c r="T31" i="13"/>
  <c r="P43" i="15"/>
  <c r="T43" i="15"/>
  <c r="P49" i="16"/>
  <c r="T49" i="16"/>
  <c r="T60" i="12"/>
  <c r="J124" i="5" s="1"/>
  <c r="P60" i="12"/>
  <c r="P31" i="14"/>
  <c r="T31" i="14"/>
  <c r="T64" i="8"/>
  <c r="P64" i="8"/>
  <c r="D38" i="5"/>
  <c r="E38" i="5" s="1"/>
  <c r="P25" i="15"/>
  <c r="T25" i="15"/>
  <c r="T47" i="16"/>
  <c r="P47" i="16"/>
  <c r="P54" i="16"/>
  <c r="T54" i="16"/>
  <c r="P77" i="10"/>
  <c r="T77" i="10"/>
  <c r="P65" i="10"/>
  <c r="T65" i="10"/>
  <c r="P78" i="13"/>
  <c r="T78" i="13"/>
  <c r="P75" i="12"/>
  <c r="T75" i="12"/>
  <c r="J131" i="5" s="1"/>
  <c r="T60" i="15"/>
  <c r="D232" i="5" s="1"/>
  <c r="P60" i="15"/>
  <c r="E203" i="5"/>
  <c r="P43" i="17"/>
  <c r="T43" i="17"/>
  <c r="P78" i="18"/>
  <c r="T78" i="18"/>
  <c r="P26" i="17"/>
  <c r="T26" i="17"/>
  <c r="P49" i="17"/>
  <c r="T49" i="17"/>
  <c r="P32" i="17"/>
  <c r="T32" i="17"/>
  <c r="P60" i="8"/>
  <c r="T60" i="8"/>
  <c r="M94" i="4" s="1"/>
  <c r="P25" i="10"/>
  <c r="T25" i="10"/>
  <c r="E149" i="5"/>
  <c r="P56" i="14"/>
  <c r="T56" i="14"/>
  <c r="J176" i="5" s="1"/>
  <c r="P60" i="16"/>
  <c r="T60" i="16"/>
  <c r="J232" i="5" s="1"/>
  <c r="P25" i="16"/>
  <c r="T25" i="16"/>
  <c r="P47" i="17"/>
  <c r="T47" i="17"/>
  <c r="P65" i="17"/>
  <c r="T65" i="17"/>
  <c r="P40" i="17"/>
  <c r="T40" i="17"/>
  <c r="Q23" i="18"/>
  <c r="P23" i="18"/>
  <c r="M104" i="4"/>
  <c r="G104" i="4"/>
  <c r="C104" i="4"/>
  <c r="L104" i="4"/>
  <c r="F104" i="4"/>
  <c r="I104" i="4"/>
  <c r="E104" i="4"/>
  <c r="H104" i="4"/>
  <c r="P62" i="8"/>
  <c r="T62" i="8"/>
  <c r="M100" i="4" s="1"/>
  <c r="P44" i="10"/>
  <c r="T44" i="10"/>
  <c r="P64" i="11"/>
  <c r="T64" i="11"/>
  <c r="Q22" i="12"/>
  <c r="P22" i="12"/>
  <c r="P79" i="14"/>
  <c r="T79" i="14"/>
  <c r="T64" i="16"/>
  <c r="P64" i="16"/>
  <c r="P47" i="14"/>
  <c r="T47" i="14"/>
  <c r="P62" i="17"/>
  <c r="T62" i="17"/>
  <c r="D287" i="5" s="1"/>
  <c r="P24" i="12"/>
  <c r="T24" i="12"/>
  <c r="P51" i="17"/>
  <c r="T51" i="17"/>
  <c r="T60" i="18"/>
  <c r="J286" i="5" s="1"/>
  <c r="P60" i="18"/>
  <c r="I78" i="4"/>
  <c r="E78" i="4"/>
  <c r="H78" i="4"/>
  <c r="M78" i="4"/>
  <c r="G78" i="4"/>
  <c r="C78" i="4"/>
  <c r="L78" i="4"/>
  <c r="F78" i="4"/>
  <c r="P54" i="8"/>
  <c r="T54" i="8"/>
  <c r="P29" i="10"/>
  <c r="Q29" i="10"/>
  <c r="Q25" i="15"/>
  <c r="S25" i="15" s="1"/>
  <c r="J200" i="5"/>
  <c r="K200" i="5" s="1"/>
  <c r="Q77" i="10"/>
  <c r="T60" i="13"/>
  <c r="D178" i="5" s="1"/>
  <c r="P60" i="13"/>
  <c r="P39" i="14"/>
  <c r="T39" i="14"/>
  <c r="P31" i="15"/>
  <c r="T31" i="15"/>
  <c r="P56" i="18"/>
  <c r="T56" i="18"/>
  <c r="J284" i="5" s="1"/>
  <c r="P25" i="8"/>
  <c r="T25" i="8"/>
  <c r="Q25" i="10"/>
  <c r="S25" i="10" s="1"/>
  <c r="Q25" i="16"/>
  <c r="S25" i="16" s="1"/>
  <c r="Q47" i="17"/>
  <c r="P41" i="17"/>
  <c r="T41" i="17"/>
  <c r="Q60" i="17"/>
  <c r="P22" i="18"/>
  <c r="Q22" i="18"/>
  <c r="Q79" i="17"/>
  <c r="P48" i="15"/>
  <c r="T48" i="15"/>
  <c r="Q40" i="15"/>
  <c r="Q62" i="8"/>
  <c r="Q78" i="11"/>
  <c r="P64" i="13"/>
  <c r="T64" i="13"/>
  <c r="Q77" i="11"/>
  <c r="P62" i="14"/>
  <c r="T62" i="14"/>
  <c r="J179" i="5" s="1"/>
  <c r="Q43" i="15"/>
  <c r="K203" i="5"/>
  <c r="P75" i="15"/>
  <c r="T75" i="15"/>
  <c r="D239" i="5" s="1"/>
  <c r="P78" i="15"/>
  <c r="T78" i="15"/>
  <c r="Q49" i="16"/>
  <c r="P81" i="13"/>
  <c r="T81" i="13"/>
  <c r="D187" i="5" s="1"/>
  <c r="Q60" i="12"/>
  <c r="P62" i="18"/>
  <c r="T62" i="18"/>
  <c r="J287" i="5" s="1"/>
  <c r="J254" i="5"/>
  <c r="K254" i="5" s="1"/>
  <c r="Q64" i="8"/>
  <c r="Q47" i="16"/>
  <c r="Q54" i="16"/>
  <c r="P77" i="17"/>
  <c r="T77" i="17"/>
  <c r="P52" i="8"/>
  <c r="T52" i="8"/>
  <c r="Q52" i="8"/>
  <c r="T64" i="10"/>
  <c r="P64" i="10"/>
  <c r="Q65" i="10"/>
  <c r="P28" i="8"/>
  <c r="Q28" i="8"/>
  <c r="P77" i="12"/>
  <c r="T77" i="12"/>
  <c r="T81" i="11"/>
  <c r="D133" i="5" s="1"/>
  <c r="P81" i="11"/>
  <c r="P79" i="13"/>
  <c r="T79" i="13"/>
  <c r="P75" i="14"/>
  <c r="T75" i="14"/>
  <c r="J185" i="5" s="1"/>
  <c r="P47" i="13"/>
  <c r="T47" i="13"/>
  <c r="Q43" i="17"/>
  <c r="P39" i="17"/>
  <c r="T39" i="17"/>
  <c r="Q78" i="18"/>
  <c r="Q49" i="17"/>
  <c r="P31" i="18"/>
  <c r="T31" i="18"/>
  <c r="P39" i="12"/>
  <c r="T39" i="12"/>
  <c r="Q60" i="8"/>
  <c r="T47" i="10"/>
  <c r="P47" i="10"/>
  <c r="P60" i="10"/>
  <c r="T60" i="10"/>
  <c r="J70" i="5" s="1"/>
  <c r="P48" i="13"/>
  <c r="T48" i="13"/>
  <c r="Q56" i="14"/>
  <c r="Q60" i="16"/>
  <c r="P62" i="16"/>
  <c r="T62" i="16"/>
  <c r="J233" i="5" s="1"/>
  <c r="Q65" i="17"/>
  <c r="P48" i="18"/>
  <c r="T48" i="18"/>
  <c r="P30" i="16"/>
  <c r="Q30" i="16"/>
  <c r="Q30" i="17"/>
  <c r="P30" i="17"/>
  <c r="P24" i="17"/>
  <c r="T24" i="17"/>
  <c r="D251" i="5"/>
  <c r="P54" i="15"/>
  <c r="T54" i="15"/>
  <c r="E257" i="5"/>
  <c r="P32" i="10"/>
  <c r="T32" i="10"/>
  <c r="Q79" i="14"/>
  <c r="P47" i="15"/>
  <c r="T47" i="15"/>
  <c r="P32" i="16"/>
  <c r="T32" i="16"/>
  <c r="Q30" i="18"/>
  <c r="P30" i="18"/>
  <c r="P44" i="13"/>
  <c r="T44" i="13"/>
  <c r="P33" i="18"/>
  <c r="T33" i="18"/>
  <c r="P75" i="10"/>
  <c r="T75" i="10"/>
  <c r="J77" i="5" s="1"/>
  <c r="P54" i="10"/>
  <c r="T54" i="10"/>
  <c r="P21" i="10" l="1"/>
  <c r="P40" i="10"/>
  <c r="J39" i="5"/>
  <c r="K39" i="5" s="1"/>
  <c r="T43" i="10"/>
  <c r="P43" i="10"/>
  <c r="P39" i="10"/>
  <c r="T39" i="10"/>
  <c r="Q48" i="10"/>
  <c r="T65" i="11"/>
  <c r="D126" i="5" s="1"/>
  <c r="P22" i="10"/>
  <c r="T43" i="8"/>
  <c r="Q43" i="8"/>
  <c r="Q20" i="8"/>
  <c r="J199" i="5"/>
  <c r="K199" i="5" s="1"/>
  <c r="J201" i="5"/>
  <c r="K201" i="5" s="1"/>
  <c r="T47" i="11"/>
  <c r="Q29" i="8"/>
  <c r="Q47" i="11"/>
  <c r="L121" i="4"/>
  <c r="J143" i="5"/>
  <c r="L76" i="4"/>
  <c r="L88" i="4"/>
  <c r="M12" i="5" s="1"/>
  <c r="L118" i="4"/>
  <c r="M21" i="5" s="1"/>
  <c r="T47" i="12"/>
  <c r="M102" i="4"/>
  <c r="M103" i="4"/>
  <c r="I118" i="4"/>
  <c r="I119" i="4"/>
  <c r="D46" i="5"/>
  <c r="E46" i="5" s="1"/>
  <c r="L110" i="4"/>
  <c r="M17" i="5" s="1"/>
  <c r="D55" i="5"/>
  <c r="E55" i="5" s="1"/>
  <c r="L133" i="4"/>
  <c r="M26" i="5" s="1"/>
  <c r="M69" i="4"/>
  <c r="G69" i="4"/>
  <c r="K69" i="4"/>
  <c r="L69" i="4"/>
  <c r="I69" i="4"/>
  <c r="F69" i="4"/>
  <c r="C69" i="4"/>
  <c r="H69" i="4"/>
  <c r="E69" i="4"/>
  <c r="D42" i="5"/>
  <c r="E42" i="5" s="1"/>
  <c r="L91" i="4"/>
  <c r="M13" i="5" s="1"/>
  <c r="P85" i="8"/>
  <c r="F131" i="4"/>
  <c r="Q85" i="8"/>
  <c r="I131" i="4" s="1"/>
  <c r="K139" i="4"/>
  <c r="H139" i="4"/>
  <c r="L139" i="4"/>
  <c r="F139" i="4"/>
  <c r="I139" i="4"/>
  <c r="C139" i="4"/>
  <c r="G139" i="4"/>
  <c r="M139" i="4"/>
  <c r="E139" i="4"/>
  <c r="D49" i="5"/>
  <c r="E49" i="5" s="1"/>
  <c r="L116" i="4"/>
  <c r="M20" i="5" s="1"/>
  <c r="I59" i="4"/>
  <c r="M59" i="4"/>
  <c r="E59" i="4"/>
  <c r="H59" i="4"/>
  <c r="C59" i="4"/>
  <c r="K59" i="4"/>
  <c r="L59" i="4"/>
  <c r="G59" i="4"/>
  <c r="F59" i="4"/>
  <c r="Q83" i="8"/>
  <c r="I129" i="4" s="1"/>
  <c r="P83" i="8"/>
  <c r="D57" i="5"/>
  <c r="E57" i="5" s="1"/>
  <c r="P92" i="8"/>
  <c r="Q92" i="8"/>
  <c r="D73" i="5"/>
  <c r="M110" i="4"/>
  <c r="D17" i="5" s="1"/>
  <c r="P69" i="8"/>
  <c r="Q69" i="8"/>
  <c r="I112" i="4" s="1"/>
  <c r="I47" i="4"/>
  <c r="E47" i="4"/>
  <c r="M47" i="4" s="1"/>
  <c r="F47" i="4"/>
  <c r="H47" i="4"/>
  <c r="G47" i="4"/>
  <c r="C47" i="4"/>
  <c r="K47" i="4" s="1"/>
  <c r="D54" i="5"/>
  <c r="E54" i="5" s="1"/>
  <c r="L131" i="4"/>
  <c r="M25" i="5" s="1"/>
  <c r="C28" i="4"/>
  <c r="I28" i="4"/>
  <c r="H28" i="4"/>
  <c r="E28" i="4"/>
  <c r="K28" i="4"/>
  <c r="L28" i="4"/>
  <c r="F28" i="4"/>
  <c r="M28" i="4"/>
  <c r="G28" i="4"/>
  <c r="D83" i="5"/>
  <c r="M135" i="4"/>
  <c r="D27" i="5" s="1"/>
  <c r="C27" i="4"/>
  <c r="F27" i="4"/>
  <c r="M27" i="4"/>
  <c r="G27" i="4"/>
  <c r="H27" i="4"/>
  <c r="E27" i="4"/>
  <c r="I27" i="4"/>
  <c r="K27" i="4"/>
  <c r="L27" i="4"/>
  <c r="K137" i="4"/>
  <c r="M137" i="4"/>
  <c r="G137" i="4"/>
  <c r="F137" i="4"/>
  <c r="E137" i="4"/>
  <c r="L137" i="4"/>
  <c r="H137" i="4"/>
  <c r="I137" i="4"/>
  <c r="C137" i="4"/>
  <c r="E10" i="4"/>
  <c r="M10" i="4"/>
  <c r="C10" i="4"/>
  <c r="I10" i="4"/>
  <c r="L10" i="4"/>
  <c r="F10" i="4"/>
  <c r="H10" i="4"/>
  <c r="K10" i="4"/>
  <c r="G10" i="4"/>
  <c r="D80" i="5"/>
  <c r="M129" i="4"/>
  <c r="D24" i="5" s="1"/>
  <c r="Q71" i="8"/>
  <c r="I114" i="4" s="1"/>
  <c r="P71" i="8"/>
  <c r="C57" i="4"/>
  <c r="H57" i="4"/>
  <c r="I57" i="4"/>
  <c r="K57" i="4"/>
  <c r="L57" i="4"/>
  <c r="E57" i="4"/>
  <c r="F57" i="4"/>
  <c r="M57" i="4"/>
  <c r="G57" i="4"/>
  <c r="C48" i="4"/>
  <c r="K48" i="4" s="1"/>
  <c r="H48" i="4"/>
  <c r="I48" i="4"/>
  <c r="E48" i="4"/>
  <c r="M48" i="4" s="1"/>
  <c r="G48" i="4"/>
  <c r="F48" i="4"/>
  <c r="I93" i="4"/>
  <c r="I94" i="4"/>
  <c r="I102" i="4"/>
  <c r="I103" i="4"/>
  <c r="I100" i="4"/>
  <c r="I126" i="4"/>
  <c r="I127" i="4"/>
  <c r="F122" i="4"/>
  <c r="C122" i="4"/>
  <c r="I122" i="4"/>
  <c r="M122" i="4"/>
  <c r="E122" i="4"/>
  <c r="G122" i="4"/>
  <c r="L122" i="4"/>
  <c r="H122" i="4"/>
  <c r="P87" i="8"/>
  <c r="F133" i="4"/>
  <c r="Q87" i="8"/>
  <c r="I133" i="4" s="1"/>
  <c r="D74" i="5"/>
  <c r="M112" i="4"/>
  <c r="D18" i="5" s="1"/>
  <c r="F46" i="4"/>
  <c r="E46" i="4"/>
  <c r="M46" i="4" s="1"/>
  <c r="H46" i="4"/>
  <c r="G46" i="4"/>
  <c r="C46" i="4"/>
  <c r="K46" i="4" s="1"/>
  <c r="I46" i="4"/>
  <c r="G9" i="4"/>
  <c r="E9" i="4"/>
  <c r="K9" i="4"/>
  <c r="C9" i="4"/>
  <c r="L9" i="4"/>
  <c r="F9" i="4"/>
  <c r="I9" i="4"/>
  <c r="M9" i="4"/>
  <c r="H9" i="4"/>
  <c r="P58" i="8"/>
  <c r="T58" i="8"/>
  <c r="K67" i="4"/>
  <c r="L67" i="4"/>
  <c r="E67" i="4"/>
  <c r="C67" i="4"/>
  <c r="F67" i="4"/>
  <c r="H67" i="4"/>
  <c r="G67" i="4"/>
  <c r="M67" i="4"/>
  <c r="I67" i="4"/>
  <c r="K68" i="4"/>
  <c r="F68" i="4"/>
  <c r="E68" i="4"/>
  <c r="C68" i="4"/>
  <c r="I68" i="4"/>
  <c r="H68" i="4"/>
  <c r="L68" i="4"/>
  <c r="M68" i="4"/>
  <c r="G68" i="4"/>
  <c r="P89" i="8"/>
  <c r="F135" i="4"/>
  <c r="Q89" i="8"/>
  <c r="I135" i="4" s="1"/>
  <c r="P73" i="8"/>
  <c r="Q73" i="8"/>
  <c r="I116" i="4" s="1"/>
  <c r="G124" i="4"/>
  <c r="F124" i="4"/>
  <c r="H124" i="4"/>
  <c r="M124" i="4"/>
  <c r="I124" i="4"/>
  <c r="E124" i="4"/>
  <c r="L124" i="4"/>
  <c r="C124" i="4"/>
  <c r="D84" i="5"/>
  <c r="D75" i="5"/>
  <c r="M114" i="4"/>
  <c r="D19" i="5" s="1"/>
  <c r="H11" i="4"/>
  <c r="M11" i="4"/>
  <c r="E11" i="4"/>
  <c r="G11" i="4"/>
  <c r="F11" i="4"/>
  <c r="C11" i="4"/>
  <c r="L11" i="4"/>
  <c r="K11" i="4"/>
  <c r="I11" i="4"/>
  <c r="K76" i="4"/>
  <c r="K77" i="4"/>
  <c r="I77" i="4"/>
  <c r="I88" i="4"/>
  <c r="I89" i="4"/>
  <c r="P67" i="8"/>
  <c r="Q67" i="8"/>
  <c r="I110" i="4" s="1"/>
  <c r="D82" i="5"/>
  <c r="M133" i="4"/>
  <c r="D26" i="5" s="1"/>
  <c r="D47" i="5"/>
  <c r="E47" i="5" s="1"/>
  <c r="L112" i="4"/>
  <c r="M18" i="5" s="1"/>
  <c r="L123" i="4"/>
  <c r="H123" i="4"/>
  <c r="M123" i="4"/>
  <c r="F123" i="4"/>
  <c r="G123" i="4"/>
  <c r="I123" i="4"/>
  <c r="C123" i="4"/>
  <c r="E123" i="4"/>
  <c r="F29" i="4"/>
  <c r="C29" i="4"/>
  <c r="M29" i="4"/>
  <c r="G29" i="4"/>
  <c r="I29" i="4"/>
  <c r="H29" i="4"/>
  <c r="E29" i="4"/>
  <c r="K29" i="4"/>
  <c r="L29" i="4"/>
  <c r="D81" i="5"/>
  <c r="M131" i="4"/>
  <c r="D25" i="5" s="1"/>
  <c r="P93" i="8"/>
  <c r="Q93" i="8"/>
  <c r="D56" i="5"/>
  <c r="E56" i="5" s="1"/>
  <c r="L135" i="4"/>
  <c r="M27" i="5" s="1"/>
  <c r="D76" i="5"/>
  <c r="M116" i="4"/>
  <c r="D20" i="5" s="1"/>
  <c r="K138" i="4"/>
  <c r="G138" i="4"/>
  <c r="F138" i="4"/>
  <c r="E138" i="4"/>
  <c r="C138" i="4"/>
  <c r="L138" i="4"/>
  <c r="M138" i="4"/>
  <c r="I138" i="4"/>
  <c r="H138" i="4"/>
  <c r="D53" i="5"/>
  <c r="E53" i="5" s="1"/>
  <c r="L129" i="4"/>
  <c r="M24" i="5" s="1"/>
  <c r="P91" i="8"/>
  <c r="Q91" i="8"/>
  <c r="D48" i="5"/>
  <c r="E48" i="5" s="1"/>
  <c r="L114" i="4"/>
  <c r="M19" i="5" s="1"/>
  <c r="M58" i="4"/>
  <c r="C58" i="4"/>
  <c r="H58" i="4"/>
  <c r="I58" i="4"/>
  <c r="K58" i="4"/>
  <c r="L58" i="4"/>
  <c r="E58" i="4"/>
  <c r="G58" i="4"/>
  <c r="F58" i="4"/>
  <c r="D71" i="5"/>
  <c r="D70" i="5"/>
  <c r="M93" i="4"/>
  <c r="M97" i="4" s="1"/>
  <c r="D14" i="5" s="1"/>
  <c r="I43" i="4"/>
  <c r="H43" i="4"/>
  <c r="G43" i="4"/>
  <c r="E43" i="4"/>
  <c r="M43" i="4" s="1"/>
  <c r="C43" i="4"/>
  <c r="K43" i="4" s="1"/>
  <c r="F43" i="4"/>
  <c r="H7" i="4"/>
  <c r="M7" i="4"/>
  <c r="F7" i="4"/>
  <c r="G7" i="4"/>
  <c r="K7" i="4"/>
  <c r="L7" i="4"/>
  <c r="F25" i="4"/>
  <c r="E7" i="4"/>
  <c r="I7" i="4"/>
  <c r="C7" i="4"/>
  <c r="L6" i="4"/>
  <c r="M6" i="4"/>
  <c r="G6" i="4"/>
  <c r="K6" i="4"/>
  <c r="I6" i="4"/>
  <c r="H6" i="4"/>
  <c r="C6" i="4"/>
  <c r="E6" i="4"/>
  <c r="F6" i="4"/>
  <c r="G44" i="4"/>
  <c r="E44" i="4"/>
  <c r="M44" i="4" s="1"/>
  <c r="I44" i="4"/>
  <c r="C44" i="4"/>
  <c r="K44" i="4" s="1"/>
  <c r="F44" i="4"/>
  <c r="H44" i="4"/>
  <c r="K64" i="4"/>
  <c r="H64" i="4"/>
  <c r="C64" i="4"/>
  <c r="E64" i="4"/>
  <c r="F64" i="4"/>
  <c r="I64" i="4"/>
  <c r="L64" i="4"/>
  <c r="M64" i="4"/>
  <c r="G64" i="4"/>
  <c r="L8" i="4"/>
  <c r="H8" i="4"/>
  <c r="E8" i="4"/>
  <c r="K8" i="4"/>
  <c r="G8" i="4"/>
  <c r="F26" i="4"/>
  <c r="C8" i="4"/>
  <c r="M8" i="4"/>
  <c r="I8" i="4"/>
  <c r="F8" i="4"/>
  <c r="D44" i="5"/>
  <c r="E44" i="5" s="1"/>
  <c r="L99" i="4"/>
  <c r="M15" i="5" s="1"/>
  <c r="I26" i="4"/>
  <c r="E26" i="4"/>
  <c r="C26" i="4"/>
  <c r="M26" i="4"/>
  <c r="H26" i="4"/>
  <c r="L26" i="4"/>
  <c r="G26" i="4"/>
  <c r="K26" i="4"/>
  <c r="M25" i="4"/>
  <c r="C25" i="4"/>
  <c r="G25" i="4"/>
  <c r="K25" i="4"/>
  <c r="H25" i="4"/>
  <c r="L25" i="4"/>
  <c r="I25" i="4"/>
  <c r="E25" i="4"/>
  <c r="C56" i="4"/>
  <c r="H56" i="4"/>
  <c r="L56" i="4"/>
  <c r="F56" i="4"/>
  <c r="K56" i="4"/>
  <c r="I56" i="4"/>
  <c r="G56" i="4"/>
  <c r="M56" i="4"/>
  <c r="E56" i="4"/>
  <c r="Q47" i="12"/>
  <c r="D43" i="5"/>
  <c r="E43" i="5" s="1"/>
  <c r="L93" i="4"/>
  <c r="L97" i="4" s="1"/>
  <c r="M14" i="5" s="1"/>
  <c r="L51" i="4"/>
  <c r="M8" i="5" s="1"/>
  <c r="Q65" i="11"/>
  <c r="I121" i="4"/>
  <c r="D45" i="5"/>
  <c r="E45" i="5" s="1"/>
  <c r="L102" i="4"/>
  <c r="L107" i="4" s="1"/>
  <c r="M16" i="5" s="1"/>
  <c r="C45" i="4"/>
  <c r="K45" i="4" s="1"/>
  <c r="H45" i="4"/>
  <c r="E45" i="4"/>
  <c r="M45" i="4" s="1"/>
  <c r="I45" i="4"/>
  <c r="G45" i="4"/>
  <c r="F45" i="4"/>
  <c r="M54" i="4"/>
  <c r="G54" i="4"/>
  <c r="C54" i="4"/>
  <c r="E54" i="4"/>
  <c r="F54" i="4"/>
  <c r="H54" i="4"/>
  <c r="I54" i="4"/>
  <c r="K54" i="4"/>
  <c r="L54" i="4"/>
  <c r="E55" i="4"/>
  <c r="I55" i="4"/>
  <c r="C55" i="4"/>
  <c r="M55" i="4"/>
  <c r="H55" i="4"/>
  <c r="L55" i="4"/>
  <c r="G55" i="4"/>
  <c r="K55" i="4"/>
  <c r="F55" i="4"/>
  <c r="K66" i="4"/>
  <c r="C66" i="4"/>
  <c r="L66" i="4"/>
  <c r="M66" i="4"/>
  <c r="H66" i="4"/>
  <c r="I66" i="4"/>
  <c r="G66" i="4"/>
  <c r="E66" i="4"/>
  <c r="F66" i="4"/>
  <c r="C24" i="4"/>
  <c r="M24" i="4"/>
  <c r="G24" i="4"/>
  <c r="I24" i="4"/>
  <c r="H24" i="4"/>
  <c r="E24" i="4"/>
  <c r="K24" i="4"/>
  <c r="L24" i="4"/>
  <c r="F24" i="4"/>
  <c r="K65" i="4"/>
  <c r="H65" i="4"/>
  <c r="I65" i="4"/>
  <c r="L65" i="4"/>
  <c r="G65" i="4"/>
  <c r="C65" i="4"/>
  <c r="E65" i="4"/>
  <c r="M65" i="4"/>
  <c r="F65" i="4"/>
  <c r="T40" i="10"/>
  <c r="J38" i="5"/>
  <c r="K38" i="5" s="1"/>
  <c r="J93" i="5"/>
  <c r="K93" i="5" s="1"/>
  <c r="T48" i="10"/>
  <c r="P39" i="11"/>
  <c r="Q21" i="12"/>
  <c r="T39" i="11"/>
  <c r="J90" i="5"/>
  <c r="D105" i="5"/>
  <c r="E105" i="5" s="1"/>
  <c r="D91" i="5"/>
  <c r="E91" i="5" s="1"/>
  <c r="Q21" i="11"/>
  <c r="Q22" i="13"/>
  <c r="Q28" i="11"/>
  <c r="P44" i="14"/>
  <c r="T44" i="14"/>
  <c r="J173" i="5" s="1"/>
  <c r="Q29" i="14"/>
  <c r="T65" i="12"/>
  <c r="J126" i="5" s="1"/>
  <c r="P40" i="13"/>
  <c r="P65" i="12"/>
  <c r="Q65" i="13"/>
  <c r="T65" i="13"/>
  <c r="D180" i="5" s="1"/>
  <c r="Q40" i="16"/>
  <c r="J147" i="5"/>
  <c r="K147" i="5" s="1"/>
  <c r="P22" i="14"/>
  <c r="Q48" i="14"/>
  <c r="Q29" i="13"/>
  <c r="T48" i="14"/>
  <c r="P22" i="16"/>
  <c r="T40" i="16"/>
  <c r="J224" i="5"/>
  <c r="T40" i="13"/>
  <c r="D172" i="5" s="1"/>
  <c r="T48" i="16"/>
  <c r="J228" i="5" s="1"/>
  <c r="Q48" i="16"/>
  <c r="J145" i="5"/>
  <c r="K145" i="5" s="1"/>
  <c r="Q29" i="16"/>
  <c r="P77" i="18"/>
  <c r="T44" i="16"/>
  <c r="P44" i="16"/>
  <c r="T47" i="18"/>
  <c r="J282" i="5" s="1"/>
  <c r="P47" i="18"/>
  <c r="T77" i="18"/>
  <c r="J294" i="5" s="1"/>
  <c r="P28" i="18"/>
  <c r="Q21" i="18"/>
  <c r="P43" i="18"/>
  <c r="T43" i="18"/>
  <c r="P45" i="15"/>
  <c r="J251" i="5"/>
  <c r="Q45" i="15"/>
  <c r="Q43" i="13"/>
  <c r="P43" i="16"/>
  <c r="T43" i="13"/>
  <c r="D173" i="5" s="1"/>
  <c r="Q43" i="16"/>
  <c r="T62" i="13"/>
  <c r="D179" i="5" s="1"/>
  <c r="Q51" i="10"/>
  <c r="I76" i="4" s="1"/>
  <c r="J35" i="5"/>
  <c r="D255" i="5"/>
  <c r="E255" i="5" s="1"/>
  <c r="Q28" i="13"/>
  <c r="T51" i="10"/>
  <c r="J67" i="5" s="1"/>
  <c r="D267" i="5"/>
  <c r="E267" i="5" s="1"/>
  <c r="P41" i="15"/>
  <c r="Q41" i="15"/>
  <c r="P40" i="18"/>
  <c r="T41" i="10"/>
  <c r="T62" i="10"/>
  <c r="J71" i="5" s="1"/>
  <c r="P30" i="15"/>
  <c r="T51" i="13"/>
  <c r="D175" i="5" s="1"/>
  <c r="J207" i="5"/>
  <c r="K207" i="5" s="1"/>
  <c r="J252" i="5"/>
  <c r="P39" i="15"/>
  <c r="T75" i="18"/>
  <c r="J293" i="5" s="1"/>
  <c r="Q23" i="12"/>
  <c r="D213" i="5"/>
  <c r="E213" i="5" s="1"/>
  <c r="D117" i="5"/>
  <c r="P41" i="10"/>
  <c r="P30" i="11"/>
  <c r="T39" i="15"/>
  <c r="D226" i="5" s="1"/>
  <c r="Q81" i="18"/>
  <c r="Q44" i="17"/>
  <c r="P28" i="17"/>
  <c r="T81" i="18"/>
  <c r="J295" i="5" s="1"/>
  <c r="T41" i="14"/>
  <c r="J172" i="5" s="1"/>
  <c r="Q41" i="14"/>
  <c r="T49" i="10"/>
  <c r="T81" i="10"/>
  <c r="J79" i="5" s="1"/>
  <c r="P28" i="15"/>
  <c r="P75" i="18"/>
  <c r="Q62" i="10"/>
  <c r="I99" i="4" s="1"/>
  <c r="D143" i="5"/>
  <c r="J278" i="5"/>
  <c r="T41" i="18"/>
  <c r="J280" i="5" s="1"/>
  <c r="P56" i="15"/>
  <c r="P56" i="11"/>
  <c r="Q48" i="12"/>
  <c r="P81" i="15"/>
  <c r="P29" i="17"/>
  <c r="P48" i="12"/>
  <c r="T56" i="13"/>
  <c r="D176" i="5" s="1"/>
  <c r="T45" i="16"/>
  <c r="Q40" i="18"/>
  <c r="P64" i="12"/>
  <c r="D197" i="5"/>
  <c r="P49" i="10"/>
  <c r="T41" i="11"/>
  <c r="T81" i="17"/>
  <c r="D295" i="5" s="1"/>
  <c r="Q21" i="17"/>
  <c r="P75" i="13"/>
  <c r="Q77" i="16"/>
  <c r="P81" i="17"/>
  <c r="T49" i="12"/>
  <c r="J120" i="5" s="1"/>
  <c r="T65" i="18"/>
  <c r="J288" i="5" s="1"/>
  <c r="T56" i="16"/>
  <c r="J230" i="5" s="1"/>
  <c r="T75" i="13"/>
  <c r="D185" i="5" s="1"/>
  <c r="Q49" i="12"/>
  <c r="J36" i="5"/>
  <c r="T39" i="16"/>
  <c r="P56" i="16"/>
  <c r="Q30" i="10"/>
  <c r="T56" i="15"/>
  <c r="D230" i="5" s="1"/>
  <c r="P51" i="16"/>
  <c r="T81" i="15"/>
  <c r="D241" i="5" s="1"/>
  <c r="D170" i="5"/>
  <c r="Q21" i="15"/>
  <c r="P23" i="15"/>
  <c r="P29" i="18"/>
  <c r="T49" i="11"/>
  <c r="Q49" i="11"/>
  <c r="J132" i="5"/>
  <c r="P39" i="13"/>
  <c r="T81" i="16"/>
  <c r="J241" i="5" s="1"/>
  <c r="T39" i="8"/>
  <c r="P62" i="13"/>
  <c r="T75" i="11"/>
  <c r="D131" i="5" s="1"/>
  <c r="P60" i="14"/>
  <c r="P29" i="11"/>
  <c r="P23" i="14"/>
  <c r="D89" i="5"/>
  <c r="J117" i="5"/>
  <c r="D199" i="5"/>
  <c r="E199" i="5" s="1"/>
  <c r="P81" i="10"/>
  <c r="T45" i="18"/>
  <c r="P49" i="15"/>
  <c r="P64" i="15"/>
  <c r="Q21" i="13"/>
  <c r="Q75" i="11"/>
  <c r="T60" i="14"/>
  <c r="J178" i="5" s="1"/>
  <c r="T44" i="17"/>
  <c r="Q41" i="18"/>
  <c r="T49" i="15"/>
  <c r="D228" i="5" s="1"/>
  <c r="J78" i="5"/>
  <c r="P45" i="18"/>
  <c r="T64" i="15"/>
  <c r="D234" i="5" s="1"/>
  <c r="Q64" i="12"/>
  <c r="D224" i="5"/>
  <c r="P51" i="14"/>
  <c r="P39" i="16"/>
  <c r="Q21" i="16"/>
  <c r="J116" i="5"/>
  <c r="P45" i="10"/>
  <c r="P51" i="18"/>
  <c r="Q28" i="16"/>
  <c r="T45" i="10"/>
  <c r="J89" i="5"/>
  <c r="D253" i="5"/>
  <c r="E253" i="5" s="1"/>
  <c r="T62" i="11"/>
  <c r="D125" i="5" s="1"/>
  <c r="J58" i="5"/>
  <c r="K58" i="5" s="1"/>
  <c r="T51" i="18"/>
  <c r="J283" i="5" s="1"/>
  <c r="J62" i="5"/>
  <c r="T44" i="18"/>
  <c r="T51" i="14"/>
  <c r="J175" i="5" s="1"/>
  <c r="T45" i="11"/>
  <c r="T62" i="15"/>
  <c r="D233" i="5" s="1"/>
  <c r="P45" i="16"/>
  <c r="T75" i="17"/>
  <c r="D293" i="5" s="1"/>
  <c r="P44" i="15"/>
  <c r="T54" i="17"/>
  <c r="D283" i="5" s="1"/>
  <c r="J171" i="5"/>
  <c r="T77" i="16"/>
  <c r="J240" i="5" s="1"/>
  <c r="P65" i="18"/>
  <c r="J198" i="5"/>
  <c r="D147" i="5"/>
  <c r="E147" i="5" s="1"/>
  <c r="J144" i="5"/>
  <c r="D252" i="5"/>
  <c r="P62" i="15"/>
  <c r="P51" i="13"/>
  <c r="T56" i="11"/>
  <c r="D122" i="5" s="1"/>
  <c r="P75" i="17"/>
  <c r="Q41" i="11"/>
  <c r="D171" i="5"/>
  <c r="Q49" i="14"/>
  <c r="D201" i="5"/>
  <c r="E201" i="5" s="1"/>
  <c r="P64" i="17"/>
  <c r="J159" i="5"/>
  <c r="K159" i="5" s="1"/>
  <c r="T51" i="11"/>
  <c r="D121" i="5" s="1"/>
  <c r="Q44" i="18"/>
  <c r="Q39" i="13"/>
  <c r="P54" i="17"/>
  <c r="P56" i="17"/>
  <c r="P81" i="16"/>
  <c r="P44" i="12"/>
  <c r="Q30" i="13"/>
  <c r="Q56" i="17"/>
  <c r="T44" i="12"/>
  <c r="J119" i="5" s="1"/>
  <c r="J112" i="5"/>
  <c r="K112" i="5" s="1"/>
  <c r="Q64" i="17"/>
  <c r="J197" i="5"/>
  <c r="D279" i="5"/>
  <c r="T41" i="12"/>
  <c r="T78" i="17"/>
  <c r="D294" i="5" s="1"/>
  <c r="D116" i="5"/>
  <c r="P41" i="12"/>
  <c r="Q29" i="12"/>
  <c r="T49" i="14"/>
  <c r="P56" i="13"/>
  <c r="T51" i="16"/>
  <c r="J229" i="5" s="1"/>
  <c r="T48" i="8"/>
  <c r="P30" i="12"/>
  <c r="J225" i="5"/>
  <c r="P62" i="11"/>
  <c r="Q21" i="14"/>
  <c r="P51" i="11"/>
  <c r="T48" i="11"/>
  <c r="T48" i="17"/>
  <c r="D282" i="5" s="1"/>
  <c r="P29" i="15"/>
  <c r="T40" i="12"/>
  <c r="T49" i="13"/>
  <c r="D174" i="5" s="1"/>
  <c r="D198" i="5"/>
  <c r="P48" i="11"/>
  <c r="P48" i="17"/>
  <c r="T44" i="15"/>
  <c r="D227" i="5" s="1"/>
  <c r="D225" i="5"/>
  <c r="P40" i="12"/>
  <c r="T51" i="15"/>
  <c r="D229" i="5" s="1"/>
  <c r="Q49" i="13"/>
  <c r="T64" i="14"/>
  <c r="J180" i="5" s="1"/>
  <c r="Q51" i="15"/>
  <c r="T44" i="11"/>
  <c r="P45" i="11"/>
  <c r="T45" i="17"/>
  <c r="P45" i="17"/>
  <c r="P64" i="14"/>
  <c r="P44" i="11"/>
  <c r="P78" i="17"/>
  <c r="Q23" i="16"/>
  <c r="D16" i="4"/>
  <c r="I16" i="4"/>
  <c r="G16" i="4"/>
  <c r="H16" i="4"/>
  <c r="D34" i="4"/>
  <c r="I34" i="4"/>
  <c r="H34" i="4"/>
  <c r="G34" i="4"/>
  <c r="J170" i="5"/>
  <c r="F32" i="4"/>
  <c r="C32" i="4"/>
  <c r="E32" i="4"/>
  <c r="H32" i="4"/>
  <c r="E80" i="4"/>
  <c r="T49" i="8"/>
  <c r="J63" i="5"/>
  <c r="Q48" i="8"/>
  <c r="P49" i="8"/>
  <c r="P22" i="8"/>
  <c r="D51" i="5"/>
  <c r="E51" i="5" s="1"/>
  <c r="T56" i="8"/>
  <c r="M89" i="4" s="1"/>
  <c r="P56" i="8"/>
  <c r="T38" i="8"/>
  <c r="E13" i="4"/>
  <c r="P65" i="8"/>
  <c r="L79" i="4"/>
  <c r="P42" i="8"/>
  <c r="F13" i="4"/>
  <c r="H79" i="4"/>
  <c r="C13" i="4"/>
  <c r="M31" i="4" s="1"/>
  <c r="G79" i="4"/>
  <c r="D37" i="5"/>
  <c r="E37" i="5" s="1"/>
  <c r="M12" i="4"/>
  <c r="G13" i="4"/>
  <c r="T65" i="8"/>
  <c r="D72" i="5" s="1"/>
  <c r="G80" i="4"/>
  <c r="Q39" i="8"/>
  <c r="L80" i="4"/>
  <c r="I80" i="4"/>
  <c r="H80" i="4"/>
  <c r="F80" i="4"/>
  <c r="Q21" i="8"/>
  <c r="C80" i="4"/>
  <c r="K80" i="4" s="1"/>
  <c r="T31" i="8"/>
  <c r="E30" i="4"/>
  <c r="P40" i="8"/>
  <c r="T40" i="8"/>
  <c r="T81" i="8"/>
  <c r="M127" i="4" s="1"/>
  <c r="L14" i="4"/>
  <c r="M14" i="4"/>
  <c r="L32" i="4"/>
  <c r="H14" i="4"/>
  <c r="C31" i="4"/>
  <c r="P81" i="8"/>
  <c r="E14" i="4"/>
  <c r="C14" i="4"/>
  <c r="M32" i="4" s="1"/>
  <c r="F14" i="4"/>
  <c r="L12" i="4"/>
  <c r="L13" i="4"/>
  <c r="M13" i="4"/>
  <c r="T44" i="8"/>
  <c r="M79" i="4"/>
  <c r="P31" i="8"/>
  <c r="P44" i="8"/>
  <c r="H13" i="4"/>
  <c r="E79" i="4"/>
  <c r="C79" i="4"/>
  <c r="K79" i="4" s="1"/>
  <c r="F79" i="4"/>
  <c r="C30" i="4"/>
  <c r="F30" i="4"/>
  <c r="G30" i="4"/>
  <c r="P75" i="8"/>
  <c r="H12" i="4"/>
  <c r="L30" i="4"/>
  <c r="C12" i="4"/>
  <c r="M30" i="4" s="1"/>
  <c r="E12" i="4"/>
  <c r="D40" i="5"/>
  <c r="E40" i="5" s="1"/>
  <c r="G12" i="4"/>
  <c r="G31" i="4"/>
  <c r="T51" i="8"/>
  <c r="M77" i="4" s="1"/>
  <c r="E31" i="4"/>
  <c r="P51" i="8"/>
  <c r="H31" i="4"/>
  <c r="T30" i="8"/>
  <c r="T75" i="8"/>
  <c r="M119" i="4" s="1"/>
  <c r="P27" i="8"/>
  <c r="D35" i="5"/>
  <c r="T24" i="8"/>
  <c r="P24" i="8"/>
  <c r="T77" i="8"/>
  <c r="P77" i="8"/>
  <c r="D132" i="5"/>
  <c r="P38" i="8"/>
  <c r="P23" i="8"/>
  <c r="D36" i="5"/>
  <c r="T23" i="8"/>
  <c r="T42" i="8"/>
  <c r="P46" i="8"/>
  <c r="T46" i="8"/>
  <c r="P30" i="8"/>
  <c r="H17" i="4"/>
  <c r="D17" i="4"/>
  <c r="G17" i="4"/>
  <c r="I17" i="4"/>
  <c r="I35" i="4"/>
  <c r="H35" i="4"/>
  <c r="D35" i="4"/>
  <c r="G35" i="4"/>
  <c r="D278" i="5"/>
  <c r="J72" i="5"/>
  <c r="J234" i="5"/>
  <c r="J186" i="5"/>
  <c r="D280" i="5"/>
  <c r="J274" i="5"/>
  <c r="K274" i="5" s="1"/>
  <c r="D288" i="5"/>
  <c r="J279" i="5"/>
  <c r="D240" i="5"/>
  <c r="D166" i="5"/>
  <c r="E166" i="5" s="1"/>
  <c r="D186" i="5"/>
  <c r="J65" i="5" l="1"/>
  <c r="J226" i="5"/>
  <c r="J64" i="5"/>
  <c r="M107" i="4"/>
  <c r="D16" i="5" s="1"/>
  <c r="M62" i="4"/>
  <c r="D9" i="5" s="1"/>
  <c r="L62" i="4"/>
  <c r="M9" i="5" s="1"/>
  <c r="M22" i="5"/>
  <c r="M99" i="4"/>
  <c r="D15" i="5" s="1"/>
  <c r="D69" i="5"/>
  <c r="M91" i="4"/>
  <c r="D13" i="5" s="1"/>
  <c r="M51" i="4"/>
  <c r="D8" i="5" s="1"/>
  <c r="M28" i="5"/>
  <c r="D28" i="5"/>
  <c r="L72" i="4"/>
  <c r="M10" i="5" s="1"/>
  <c r="D77" i="5"/>
  <c r="M118" i="4"/>
  <c r="D21" i="5" s="1"/>
  <c r="D68" i="5"/>
  <c r="M88" i="4"/>
  <c r="D12" i="5" s="1"/>
  <c r="D67" i="5"/>
  <c r="M76" i="4"/>
  <c r="M83" i="4" s="1"/>
  <c r="D11" i="5" s="1"/>
  <c r="D79" i="5"/>
  <c r="M126" i="4"/>
  <c r="D23" i="5" s="1"/>
  <c r="M72" i="4"/>
  <c r="D10" i="5" s="1"/>
  <c r="D78" i="5"/>
  <c r="M121" i="4"/>
  <c r="D22" i="5" s="1"/>
  <c r="J66" i="5"/>
  <c r="J174" i="5"/>
  <c r="D118" i="5"/>
  <c r="D112" i="5"/>
  <c r="E112" i="5" s="1"/>
  <c r="J227" i="5"/>
  <c r="J139" i="5"/>
  <c r="D220" i="5"/>
  <c r="E220" i="5" s="1"/>
  <c r="D274" i="5"/>
  <c r="E274" i="5" s="1"/>
  <c r="J220" i="5"/>
  <c r="K220" i="5" s="1"/>
  <c r="D64" i="5"/>
  <c r="D119" i="5"/>
  <c r="J281" i="5"/>
  <c r="D120" i="5"/>
  <c r="J85" i="5"/>
  <c r="D281" i="5"/>
  <c r="J166" i="5"/>
  <c r="K166" i="5" s="1"/>
  <c r="D58" i="5"/>
  <c r="E58" i="5" s="1"/>
  <c r="J247" i="5"/>
  <c r="J118" i="5"/>
  <c r="L83" i="4"/>
  <c r="M11" i="5" s="1"/>
  <c r="J193" i="5"/>
  <c r="D66" i="5"/>
  <c r="D63" i="5"/>
  <c r="M38" i="4"/>
  <c r="D7" i="5" s="1"/>
  <c r="M20" i="4"/>
  <c r="D6" i="5" s="1"/>
  <c r="L38" i="4"/>
  <c r="M7" i="5" s="1"/>
  <c r="L20" i="4"/>
  <c r="M6" i="5" s="1"/>
  <c r="D65" i="5"/>
  <c r="D139" i="5"/>
  <c r="D62" i="5"/>
  <c r="D193" i="5"/>
  <c r="J301" i="5"/>
  <c r="D301" i="5"/>
  <c r="D247" i="5"/>
  <c r="M29" i="5" l="1"/>
  <c r="D29" i="5"/>
  <c r="D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G5" authorId="0" shapeId="0" xr:uid="{00000000-0006-0000-0000-000001000000}">
      <text>
        <r>
          <rPr>
            <b/>
            <sz val="9"/>
            <color indexed="81"/>
            <rFont val="Tahoma"/>
            <family val="2"/>
          </rPr>
          <t>Enter the year for which you are calculating emissions, usually the previous calendar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3" authorId="0" shapeId="0" xr:uid="{00000000-0006-0000-0100-000001000000}">
      <text>
        <r>
          <rPr>
            <sz val="9"/>
            <color indexed="81"/>
            <rFont val="Tahoma"/>
            <family val="2"/>
          </rPr>
          <t>Maximum from all plant locations.</t>
        </r>
      </text>
    </comment>
    <comment ref="F32" authorId="0" shapeId="0" xr:uid="{00000000-0006-0000-01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6" authorId="0" shapeId="0" xr:uid="{00000000-0006-0000-01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1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1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1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1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1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1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1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1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200-000001000000}">
      <text>
        <r>
          <rPr>
            <sz val="9"/>
            <color indexed="81"/>
            <rFont val="Tahoma"/>
            <family val="2"/>
          </rPr>
          <t>Maximum from all plant locations.</t>
        </r>
      </text>
    </comment>
    <comment ref="F33" authorId="0" shapeId="0" xr:uid="{00000000-0006-0000-02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2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2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2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2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9" authorId="0" shapeId="0" xr:uid="{00000000-0006-0000-02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4" authorId="0" shapeId="0" xr:uid="{00000000-0006-0000-02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9" authorId="0" shapeId="0" xr:uid="{00000000-0006-0000-02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4" authorId="0" shapeId="0" xr:uid="{00000000-0006-0000-02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9" authorId="0" shapeId="0" xr:uid="{00000000-0006-0000-02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300-000001000000}">
      <text>
        <r>
          <rPr>
            <sz val="9"/>
            <color indexed="81"/>
            <rFont val="Tahoma"/>
            <family val="2"/>
          </rPr>
          <t>Maximum from all plant locations.</t>
        </r>
      </text>
    </comment>
    <comment ref="F33" authorId="0" shapeId="0" xr:uid="{00000000-0006-0000-03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3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3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3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3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3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3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3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3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3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400-000001000000}">
      <text>
        <r>
          <rPr>
            <sz val="9"/>
            <color indexed="81"/>
            <rFont val="Tahoma"/>
            <family val="2"/>
          </rPr>
          <t>Maximum from all plant locations.</t>
        </r>
      </text>
    </comment>
    <comment ref="F33" authorId="0" shapeId="0" xr:uid="{00000000-0006-0000-04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4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4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4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4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4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4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4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4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4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500-000001000000}">
      <text>
        <r>
          <rPr>
            <sz val="9"/>
            <color indexed="81"/>
            <rFont val="Tahoma"/>
            <family val="2"/>
          </rPr>
          <t>Maximum from all plant locations.</t>
        </r>
      </text>
    </comment>
    <comment ref="F33" authorId="0" shapeId="0" xr:uid="{00000000-0006-0000-05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5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5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5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5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5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5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5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5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5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600-000001000000}">
      <text>
        <r>
          <rPr>
            <sz val="9"/>
            <color indexed="81"/>
            <rFont val="Tahoma"/>
            <family val="2"/>
          </rPr>
          <t>Maximum from all plant locations.</t>
        </r>
      </text>
    </comment>
    <comment ref="F33" authorId="0" shapeId="0" xr:uid="{00000000-0006-0000-06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6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6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6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6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6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6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6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6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6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700-000001000000}">
      <text>
        <r>
          <rPr>
            <sz val="9"/>
            <color indexed="81"/>
            <rFont val="Tahoma"/>
            <family val="2"/>
          </rPr>
          <t>Maximum from all plant locations.</t>
        </r>
      </text>
    </comment>
    <comment ref="F33" authorId="0" shapeId="0" xr:uid="{00000000-0006-0000-07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7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7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7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7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7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7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7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7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7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800-000001000000}">
      <text>
        <r>
          <rPr>
            <sz val="9"/>
            <color indexed="81"/>
            <rFont val="Tahoma"/>
            <family val="2"/>
          </rPr>
          <t>Maximum from all plant locations.</t>
        </r>
      </text>
    </comment>
    <comment ref="F33" authorId="0" shapeId="0" xr:uid="{00000000-0006-0000-08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8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8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8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8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8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8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8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8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8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900-000001000000}">
      <text>
        <r>
          <rPr>
            <sz val="9"/>
            <color indexed="81"/>
            <rFont val="Tahoma"/>
            <family val="2"/>
          </rPr>
          <t>Maximum from all plant locations.</t>
        </r>
      </text>
    </comment>
    <comment ref="F33" authorId="0" shapeId="0" xr:uid="{00000000-0006-0000-09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9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9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9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9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9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9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9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9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9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N4" authorId="0" shapeId="0" xr:uid="{00000000-0006-0000-0A00-000001000000}">
      <text>
        <r>
          <rPr>
            <sz val="9"/>
            <color indexed="81"/>
            <rFont val="Tahoma"/>
            <family val="2"/>
          </rPr>
          <t>Maximum from all plant locations.</t>
        </r>
      </text>
    </comment>
    <comment ref="F33" authorId="0" shapeId="0" xr:uid="{00000000-0006-0000-0A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47" authorId="0" shapeId="0" xr:uid="{00000000-0006-0000-0A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62" authorId="0" shapeId="0" xr:uid="{00000000-0006-0000-0A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77" authorId="0" shapeId="0" xr:uid="{00000000-0006-0000-0A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92" authorId="0" shapeId="0" xr:uid="{00000000-0006-0000-0A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08" authorId="0" shapeId="0" xr:uid="{00000000-0006-0000-0A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23" authorId="0" shapeId="0" xr:uid="{00000000-0006-0000-0A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38" authorId="0" shapeId="0" xr:uid="{00000000-0006-0000-0A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53" authorId="0" shapeId="0" xr:uid="{00000000-0006-0000-0A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F168" authorId="0" shapeId="0" xr:uid="{00000000-0006-0000-0A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C5" authorId="0" shapeId="0" xr:uid="{00000000-0006-0000-0B00-000001000000}">
      <text>
        <r>
          <rPr>
            <sz val="9"/>
            <color indexed="81"/>
            <rFont val="Calibri"/>
            <family val="2"/>
            <scheme val="minor"/>
          </rPr>
          <t>The emission point number should be the county number followed by the site within the county, then the letters HR and end with the haul road number at that site.  For example, the first haul road at the first site in Adair County would have an emission point number of 01-01-HR01, while the second haul road at the first site in Adair County would have an emission point number of 01-01-HR02.  The first haul road at the second site in Adair County would be 01-02-HR01 and the second haul road at the second site in Adair County would be 01-02-HR02 and so on and so forth.  The first two digits of the emission point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D5" authorId="0" shapeId="0" xr:uid="{00000000-0006-0000-0B00-000002000000}">
      <text>
        <r>
          <rPr>
            <sz val="9"/>
            <color indexed="81"/>
            <rFont val="Calibri"/>
            <family val="2"/>
          </rPr>
          <t>The emission unit number should be the county number followed by the site within the county, then the letters HR and end with the haul road number at that site.  For example, the first haul road at the first site in Adair County would have an emission unit number of 01-01-HR01, while the second haul road at the first site in Adair County would have an emission unit number of 01-01-HR02.  The first haul road at the second site in Adair County would be 01-02-HR01 and the second haul road at the second site in Adair County would be 01-02-HR02 and so on and so forth.  The first two digits of the emission unit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G5" authorId="0" shapeId="0" xr:uid="{00000000-0006-0000-0B00-000003000000}">
      <text>
        <r>
          <rPr>
            <b/>
            <sz val="10"/>
            <color indexed="81"/>
            <rFont val="Calibri"/>
            <family val="2"/>
          </rPr>
          <t>Enter the average weight of all unloaded vehicles traveling on the road.</t>
        </r>
      </text>
    </comment>
    <comment ref="H5" authorId="0" shapeId="0" xr:uid="{00000000-0006-0000-0B00-000004000000}">
      <text>
        <r>
          <rPr>
            <b/>
            <sz val="10"/>
            <color indexed="81"/>
            <rFont val="Calibri"/>
            <family val="2"/>
          </rPr>
          <t>Enter the average weight of all loaded vehicles traveling on the road.</t>
        </r>
      </text>
    </comment>
    <comment ref="I5" authorId="0" shapeId="0" xr:uid="{00000000-0006-0000-0B00-000005000000}">
      <text>
        <r>
          <rPr>
            <b/>
            <sz val="10"/>
            <color indexed="81"/>
            <rFont val="Calibri"/>
            <family val="2"/>
          </rPr>
          <t>Enter the %.  If vehicles travel the same distance empty and full, this number should be entered as 50.</t>
        </r>
      </text>
    </comment>
    <comment ref="J5" authorId="0" shapeId="0" xr:uid="{00000000-0006-0000-0B00-000006000000}">
      <text>
        <r>
          <rPr>
            <sz val="9"/>
            <color indexed="81"/>
            <rFont val="Tahoma"/>
            <family val="2"/>
          </rPr>
          <t>Average Weight of the vehicle based on the distance traveled on site.</t>
        </r>
      </text>
    </comment>
    <comment ref="L5" authorId="0" shapeId="0" xr:uid="{00000000-0006-0000-0B00-000007000000}">
      <text>
        <r>
          <rPr>
            <b/>
            <sz val="10"/>
            <color indexed="81"/>
            <rFont val="Calibri"/>
            <family val="2"/>
          </rPr>
          <t xml:space="preserve">Enter the length of the haul road round trip. </t>
        </r>
      </text>
    </comment>
    <comment ref="N5" authorId="0" shapeId="0" xr:uid="{00000000-0006-0000-0B00-000008000000}">
      <text>
        <r>
          <rPr>
            <b/>
            <sz val="10"/>
            <color indexed="81"/>
            <rFont val="Calibri"/>
            <family val="2"/>
          </rPr>
          <t xml:space="preserve">If no permit limit (tons/yr) exists, enter the maximum total annual throughput of the plant. </t>
        </r>
      </text>
    </comment>
    <comment ref="O5" authorId="0" shapeId="0" xr:uid="{00000000-0006-0000-0B00-000009000000}">
      <text>
        <r>
          <rPr>
            <b/>
            <sz val="10"/>
            <color indexed="81"/>
            <rFont val="Calibri"/>
            <family val="2"/>
          </rPr>
          <t>Enter the total tons of throughput.</t>
        </r>
      </text>
    </comment>
    <comment ref="P5" authorId="0" shapeId="0" xr:uid="{00000000-0006-0000-0B00-00000A000000}">
      <text>
        <r>
          <rPr>
            <b/>
            <sz val="10"/>
            <color indexed="81"/>
            <rFont val="Calibri"/>
            <family val="2"/>
          </rPr>
          <t>Maximum Potential Annual Throughput divided by Mean Vehicle Weight.</t>
        </r>
      </text>
    </comment>
    <comment ref="Q5" authorId="0" shapeId="0" xr:uid="{00000000-0006-0000-0B00-00000B000000}">
      <text>
        <r>
          <rPr>
            <b/>
            <sz val="10"/>
            <color indexed="81"/>
            <rFont val="Calibri"/>
            <family val="2"/>
          </rPr>
          <t>Actual Annual Throughput divided by the Mean Vehicle Wight.</t>
        </r>
      </text>
    </comment>
    <comment ref="R5" authorId="0" shapeId="0" xr:uid="{00000000-0006-0000-0B00-00000C000000}">
      <text>
        <r>
          <rPr>
            <b/>
            <sz val="10"/>
            <color indexed="81"/>
            <rFont val="Calibri"/>
            <family val="2"/>
          </rPr>
          <t>Enter 10 for unpaved haul road and 8.2 for paved haul road.</t>
        </r>
      </text>
    </comment>
    <comment ref="S5" authorId="0" shapeId="0" xr:uid="{00000000-0006-0000-0B00-00000D000000}">
      <text>
        <r>
          <rPr>
            <b/>
            <sz val="10"/>
            <color indexed="81"/>
            <rFont val="Calibri"/>
            <family val="2"/>
          </rPr>
          <t>See Map - AP-42 Figure 13.2.1-2 for value.  100 may be entered as a default value.</t>
        </r>
      </text>
    </comment>
    <comment ref="T5" authorId="0" shapeId="0" xr:uid="{00000000-0006-0000-0B00-00000E000000}">
      <text>
        <r>
          <rPr>
            <b/>
            <sz val="10"/>
            <color indexed="81"/>
            <rFont val="Calibri"/>
            <family val="2"/>
          </rPr>
          <t>Choose "no" if uncontrolled or "yes" if controlled.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D7" authorId="0" shapeId="0" xr:uid="{00000000-0006-0000-0C00-000001000000}">
      <text>
        <r>
          <rPr>
            <sz val="9"/>
            <color indexed="81"/>
            <rFont val="Tahoma"/>
            <family val="2"/>
          </rPr>
          <t xml:space="preserve">If the construction permit cover page for a generator stack does not specify the emission point number, the emission point number should be entered as AP-1 GEN1 for the first generator at one portable asphalt plant.  The second generator at the portable asphalt plant should be AP-1 GEN2 and so on and so forth.  The first generator at the second portable plant would be AP-2 GEN1 and the second generator would be AP-2 GEN2 and so on and so forth.  If the construction permit cover page does specify the emission point number, that number should be entered in the emission point number column.  The numbering scheme selected by the facility should remain constant across emissions inventory years to allow Iowa DNR to track emissions over time.
</t>
        </r>
      </text>
    </comment>
    <comment ref="E7" authorId="0" shapeId="0" xr:uid="{00000000-0006-0000-0C00-000002000000}">
      <text>
        <r>
          <rPr>
            <sz val="9"/>
            <color indexed="81"/>
            <rFont val="Tahoma"/>
            <family val="2"/>
          </rPr>
          <t>If the construction permit cover page for a generator stack does not specify the emission unit number, the emission unit number should be entered as AP-1 GEN1 for the first generator at one portable asphlat plant.  The second generator at the portable asphalt plant should be AP-1 GEN2 and so on and so forth.  The first generator at the second portable plant would be AP-2 GEN1 and the second generator would be AP-2 GEN2 and so on and so forth.  If the construction permit cover page does specify the emission unit number, that number should be entered in the emission unit number column.  The numbering scheme selected by the facility should remain constant across emissions inventory years to allow Iowa DNR to track emissions over time.</t>
        </r>
      </text>
    </comment>
    <comment ref="I7" authorId="0" shapeId="0" xr:uid="{00000000-0006-0000-0C00-000003000000}">
      <text>
        <r>
          <rPr>
            <sz val="9"/>
            <color indexed="81"/>
            <rFont val="Tahoma"/>
            <family val="2"/>
          </rPr>
          <t xml:space="preserve">If a gallons/year limit exists enter the limit for all engines at the plant.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H44" authorId="0" shapeId="0" xr:uid="{00000000-0006-0000-0F00-000001000000}">
      <text>
        <r>
          <rPr>
            <b/>
            <sz val="9"/>
            <color indexed="81"/>
            <rFont val="Tahoma"/>
            <family val="2"/>
          </rPr>
          <t xml:space="preserve">Emission Factor is 1.01(S) </t>
        </r>
        <r>
          <rPr>
            <sz val="9"/>
            <color indexed="81"/>
            <rFont val="Tahoma"/>
            <family val="2"/>
          </rPr>
          <t xml:space="preserve">
Where S = the sulfur content of the fuel oil. </t>
        </r>
      </text>
    </comment>
  </commentList>
</comments>
</file>

<file path=xl/sharedStrings.xml><?xml version="1.0" encoding="utf-8"?>
<sst xmlns="http://schemas.openxmlformats.org/spreadsheetml/2006/main" count="3314" uniqueCount="324">
  <si>
    <t>Process</t>
  </si>
  <si>
    <t>Emission Point #</t>
  </si>
  <si>
    <t>Units</t>
  </si>
  <si>
    <t>SO2</t>
  </si>
  <si>
    <t>Nox</t>
  </si>
  <si>
    <t>VOC</t>
  </si>
  <si>
    <t>CO</t>
  </si>
  <si>
    <t>Formaldehyde</t>
  </si>
  <si>
    <t>SCC #</t>
  </si>
  <si>
    <t>Max Design Rate</t>
  </si>
  <si>
    <t>EP</t>
  </si>
  <si>
    <t>Description of Process</t>
  </si>
  <si>
    <t>Emission Factor</t>
  </si>
  <si>
    <t>Potential Annual Emissions (tons/yr)</t>
  </si>
  <si>
    <t>Control Efficiency</t>
  </si>
  <si>
    <t>PM2. 5</t>
  </si>
  <si>
    <t>PM10</t>
  </si>
  <si>
    <t>Actual Emissions (tons/yr)</t>
  </si>
  <si>
    <t>FACILITY-WIDE POTENTIAL EMISSIONS:</t>
  </si>
  <si>
    <t>FACILITY-WIDE ACTUAL EMISSIONS:</t>
  </si>
  <si>
    <t>Air Pollutant</t>
  </si>
  <si>
    <t>ID or CAS Number</t>
  </si>
  <si>
    <t>Tons/Yr</t>
  </si>
  <si>
    <t>PM-2.5</t>
  </si>
  <si>
    <t>PM-10</t>
  </si>
  <si>
    <t>7446-09-5</t>
  </si>
  <si>
    <t>NOx</t>
  </si>
  <si>
    <t>630-08-0</t>
  </si>
  <si>
    <t>50-00-0</t>
  </si>
  <si>
    <t>Total HAP</t>
  </si>
  <si>
    <t>FACILITY TOTALS:</t>
  </si>
  <si>
    <t>Units of Measure</t>
  </si>
  <si>
    <t>Unpaved Haul Road</t>
  </si>
  <si>
    <t>k=constant=1.5 for PM10 and 0.15 for PM2.5 (AP-42 Table 13.2.2-1)</t>
  </si>
  <si>
    <t>s= silt content (AP-42 Table 13.2.2-1)</t>
  </si>
  <si>
    <t>w= average vehicle weight</t>
  </si>
  <si>
    <t xml:space="preserve">Please fill in the yellow boxes as applicable for your facility. </t>
  </si>
  <si>
    <t>YES</t>
  </si>
  <si>
    <t>NO</t>
  </si>
  <si>
    <t>Storage Pile</t>
  </si>
  <si>
    <t>PM2.5 EF</t>
  </si>
  <si>
    <t>PM10 EF</t>
  </si>
  <si>
    <t>lbs/acre-day</t>
  </si>
  <si>
    <t>Diesel Generators</t>
  </si>
  <si>
    <t>lb/MMBtu</t>
  </si>
  <si>
    <t>IDNR Memo</t>
  </si>
  <si>
    <t>Source</t>
  </si>
  <si>
    <t>AP-42 Table 3.3-1</t>
  </si>
  <si>
    <t xml:space="preserve">Source </t>
  </si>
  <si>
    <t>AP-42 Table 3.3-2</t>
  </si>
  <si>
    <t>AP-42 Table 3.4-1</t>
  </si>
  <si>
    <t>AP-42 Table 3.4-3</t>
  </si>
  <si>
    <t>Benzene</t>
  </si>
  <si>
    <t>WebFIRE</t>
  </si>
  <si>
    <t>Stack Height (ft)</t>
  </si>
  <si>
    <t>Stack Diameter (inches)</t>
  </si>
  <si>
    <t>Exhaust Flowrate (acfm)</t>
  </si>
  <si>
    <t>Exhaust Temp (Degree F)</t>
  </si>
  <si>
    <t>%</t>
  </si>
  <si>
    <t>Permit Number</t>
  </si>
  <si>
    <t>Emission Unit #</t>
  </si>
  <si>
    <t>Haul Roads</t>
  </si>
  <si>
    <t>Emission Inventory - Initial</t>
  </si>
  <si>
    <t>Emission Inventory - Supplemental Information</t>
  </si>
  <si>
    <t>Less Than or Equal to 100</t>
  </si>
  <si>
    <t>Greater Than 100</t>
  </si>
  <si>
    <t>Max Hourly Rate (MMBtu/hr)</t>
  </si>
  <si>
    <t>p = number of days per year with at least 0.01 inches of precipitation (see map - AP-42 3.2.2 Figure 1)</t>
  </si>
  <si>
    <t>&amp; footnote f</t>
  </si>
  <si>
    <r>
      <t xml:space="preserve">Diesel Generator </t>
    </r>
    <r>
      <rPr>
        <sz val="11"/>
        <color indexed="8"/>
        <rFont val="Calibri"/>
        <family val="2"/>
      </rPr>
      <t xml:space="preserve">≤ </t>
    </r>
    <r>
      <rPr>
        <sz val="11"/>
        <color theme="1"/>
        <rFont val="Calibri"/>
        <family val="2"/>
        <scheme val="minor"/>
      </rPr>
      <t>600 bhp</t>
    </r>
  </si>
  <si>
    <t>Diesel Generator&gt; 600 bhp</t>
  </si>
  <si>
    <t>Percent Sulfur:</t>
  </si>
  <si>
    <t>71-43-2</t>
  </si>
  <si>
    <t>FACILITY WIDE EMISSIONS SUMMARY:</t>
  </si>
  <si>
    <t>EMISSION FACTORS</t>
  </si>
  <si>
    <t>Annual Throughput (MMBtu/yr)</t>
  </si>
  <si>
    <t>Please fill in the yellow boxes.</t>
  </si>
  <si>
    <t>Max Hourly Rate (gal/hr)</t>
  </si>
  <si>
    <t>Actual Sulfur Content of Fuel:</t>
  </si>
  <si>
    <t>Paved Haul Roads</t>
  </si>
  <si>
    <t>Emission Factor equation from AP-42, 13.2.2 (Nov 2006): EF = [(k) x [(s/12)^0.9] x [(W/3)^0.45] ]((365-p)/365)) lb/VMT</t>
  </si>
  <si>
    <t>Emission Factor equation from AP-42, 13.2.1 (Jan 2011): EF = [(k) x [(s^0.91] x [W^1.02]]x((1-(p/1460)) lb/VMT</t>
  </si>
  <si>
    <t>k=constant=0.0022 for PM10 and 0.00054 for PM2.5 (AP-42 Table 13.2.1-1)</t>
  </si>
  <si>
    <t>sL= road surface silt loading (AP-42 Table 13.2.1-3)</t>
  </si>
  <si>
    <t>Stock Pile Area</t>
  </si>
  <si>
    <t>Maximum Storage Area (acres)</t>
  </si>
  <si>
    <t>Actual Storage Area (acres)</t>
  </si>
  <si>
    <t>Actual Days in Existence (days)</t>
  </si>
  <si>
    <t>Site Name:</t>
  </si>
  <si>
    <t>County:</t>
  </si>
  <si>
    <t>Emission Unit Number</t>
  </si>
  <si>
    <t>Submittal Type:</t>
  </si>
  <si>
    <t>Facility Number:</t>
  </si>
  <si>
    <t>Facility Name:</t>
  </si>
  <si>
    <t>Mailing Address:</t>
  </si>
  <si>
    <t>City:</t>
  </si>
  <si>
    <t>Facility Contact:</t>
  </si>
  <si>
    <t>Email Address</t>
  </si>
  <si>
    <t>Parent Company:</t>
  </si>
  <si>
    <t>Parent Company Address:</t>
  </si>
  <si>
    <t>Parent Company Contact:</t>
  </si>
  <si>
    <t>Phone Number:</t>
  </si>
  <si>
    <t>State:</t>
  </si>
  <si>
    <t>Zip Code:</t>
  </si>
  <si>
    <t>Emisison Year:</t>
  </si>
  <si>
    <t>Number of State-Wide Company Employees:</t>
  </si>
  <si>
    <t>SIC Code:</t>
  </si>
  <si>
    <t>NAICS Code:</t>
  </si>
  <si>
    <t>Activity Description:</t>
  </si>
  <si>
    <t>PM2.5</t>
  </si>
  <si>
    <t>&gt;600 bhp</t>
  </si>
  <si>
    <t>Round Trip Length of Haul Road (miles)</t>
  </si>
  <si>
    <t>HAUL ROADS</t>
  </si>
  <si>
    <t>PERMITTED DIESEL ENGINES</t>
  </si>
  <si>
    <t>Paved Haul Road</t>
  </si>
  <si>
    <t>Paved or Unpaved Haul Road</t>
  </si>
  <si>
    <t>Percent of Miles Vehicles Travel While Empty (%)</t>
  </si>
  <si>
    <t>Is dust supressant used to control emissions?</t>
  </si>
  <si>
    <r>
      <t xml:space="preserve">Average Vehicle Weight (tons) </t>
    </r>
    <r>
      <rPr>
        <b/>
        <sz val="11"/>
        <color indexed="10"/>
        <rFont val="Calibri"/>
        <family val="2"/>
      </rPr>
      <t>W</t>
    </r>
  </si>
  <si>
    <t>Average Load Weight (tons)</t>
  </si>
  <si>
    <t>Actual One-Way Trips Taken</t>
  </si>
  <si>
    <t>Potential One-Way Trips Taken</t>
  </si>
  <si>
    <r>
      <t xml:space="preserve">Days/Year with at least 0.01 inches of Precipitation </t>
    </r>
    <r>
      <rPr>
        <b/>
        <sz val="11"/>
        <color indexed="10"/>
        <rFont val="Calibri"/>
        <family val="2"/>
      </rPr>
      <t>P</t>
    </r>
  </si>
  <si>
    <r>
      <t>Road Surface Silt Loading (g/m</t>
    </r>
    <r>
      <rPr>
        <b/>
        <vertAlign val="superscript"/>
        <sz val="11"/>
        <color indexed="8"/>
        <rFont val="Calibri"/>
        <family val="2"/>
      </rPr>
      <t>2</t>
    </r>
    <r>
      <rPr>
        <b/>
        <sz val="11"/>
        <color indexed="8"/>
        <rFont val="Calibri"/>
        <family val="2"/>
      </rPr>
      <t xml:space="preserve">) </t>
    </r>
    <r>
      <rPr>
        <b/>
        <sz val="11"/>
        <color indexed="10"/>
        <rFont val="Calibri"/>
        <family val="2"/>
      </rPr>
      <t>S/sL</t>
    </r>
  </si>
  <si>
    <t>yes</t>
  </si>
  <si>
    <t>no</t>
  </si>
  <si>
    <t>PM10 Emission Factor (lb/vmt)</t>
  </si>
  <si>
    <t>PM2.5 Emission Factor (lb/vmt)</t>
  </si>
  <si>
    <t>Potential Controlled Emissions (lb/hr)</t>
  </si>
  <si>
    <t>Potential Emissions (lb/hr)</t>
  </si>
  <si>
    <t>Potential Emissions (tons/yr)</t>
  </si>
  <si>
    <t>Total actual PM2.5 emissions (tons/yr) from all unpaved haul roads used by the facility:</t>
  </si>
  <si>
    <t>Total actual PM2.5 emissions (tons/yr) from all paved haul roads used by the facility:</t>
  </si>
  <si>
    <t>Total actual PM10 emissions (tons/yr) from all unpaved haul roads used by the facility:</t>
  </si>
  <si>
    <t>Total actual PM10 emissions (tons/yr) from all paved haul roads used by the facility:</t>
  </si>
  <si>
    <t>Unpaved</t>
  </si>
  <si>
    <t>Paved</t>
  </si>
  <si>
    <t>lb/hr</t>
  </si>
  <si>
    <t>tons/yr</t>
  </si>
  <si>
    <t>Pollutant</t>
  </si>
  <si>
    <t>Processes</t>
  </si>
  <si>
    <t>Maximum Design Rate (tons/hr)</t>
  </si>
  <si>
    <t>Number of Plants with Permits:</t>
  </si>
  <si>
    <r>
      <t xml:space="preserve">Values used for calculating emissions </t>
    </r>
    <r>
      <rPr>
        <b/>
        <sz val="10"/>
        <color indexed="60"/>
        <rFont val="Calibri"/>
        <family val="2"/>
      </rPr>
      <t>→</t>
    </r>
  </si>
  <si>
    <t>Site 1</t>
  </si>
  <si>
    <t>Hours of Operation Limit (hours/day):</t>
  </si>
  <si>
    <t>Potential Uncontrolled Emissions (lb/hr)</t>
  </si>
  <si>
    <t>Actual Annual Emissions (tons/yr)</t>
  </si>
  <si>
    <t>Plant Specific Operating Limits:</t>
  </si>
  <si>
    <t>Plant Specific Emission Limits:</t>
  </si>
  <si>
    <t>Emission Factor   (lb/acre-day)</t>
  </si>
  <si>
    <t>PM2.5/PM10</t>
  </si>
  <si>
    <t>Actual (acres-day/yr)</t>
  </si>
  <si>
    <t xml:space="preserve">Plant Specific Permit Number: </t>
  </si>
  <si>
    <t>Gal/Yr Plant Wide Limit</t>
  </si>
  <si>
    <t>Hours/Yr Plant Wide Limit</t>
  </si>
  <si>
    <t>FACILITY-WIDE EMISSION CALCULATIONS</t>
  </si>
  <si>
    <t>Potential tpy</t>
  </si>
  <si>
    <t>Actual tpy</t>
  </si>
  <si>
    <t>Total potential PM2.5 emissions (tons/yr) from all unpaved haul roads used by the facility:</t>
  </si>
  <si>
    <t>Total potential PM2.5 emissions (tons/yr) from all paved haul roads used by the facility:</t>
  </si>
  <si>
    <t>Total potential PM10 emissions (tons/yr) from all unpaved haul roads used by the facility:</t>
  </si>
  <si>
    <t>Total potential PM10 emissions (tons/yr) from all paved haul roads used by the facility:</t>
  </si>
  <si>
    <t>POTENTIAL EMISSIONS:</t>
  </si>
  <si>
    <t>ACTUAL EMISSIONS:</t>
  </si>
  <si>
    <t>PLANT SPECIFIC EMISSIONS SUMMARIES:</t>
  </si>
  <si>
    <t>Emission Unit Description     (&gt;600 bhp / ≤ 600 bhp)</t>
  </si>
  <si>
    <t>PM2.5 Emission Factor (lb/MMBtu)</t>
  </si>
  <si>
    <t>PM10 Emission Factor (lb/MMBtu)</t>
  </si>
  <si>
    <t>SO2 Emission Factor (lb/MMBtu)</t>
  </si>
  <si>
    <t>Sulfur Content</t>
  </si>
  <si>
    <t>Sulfur Content Limit (%)</t>
  </si>
  <si>
    <r>
      <t xml:space="preserve">Diesel Generator </t>
    </r>
    <r>
      <rPr>
        <sz val="9"/>
        <color indexed="8"/>
        <rFont val="Calibri"/>
        <family val="2"/>
      </rPr>
      <t xml:space="preserve">≤ </t>
    </r>
    <r>
      <rPr>
        <sz val="9"/>
        <color theme="1"/>
        <rFont val="Calibri"/>
        <family val="2"/>
        <scheme val="minor"/>
      </rPr>
      <t>600 bhp</t>
    </r>
  </si>
  <si>
    <t>NOx Emission Factor (lb/MMBtu)</t>
  </si>
  <si>
    <t>CO Emission Factor (lb/MMBtu)</t>
  </si>
  <si>
    <t>VOC Emission Factor (lb/MMBtu)</t>
  </si>
  <si>
    <t>Formaldehyde Emission Factor (lb/MMBtu)</t>
  </si>
  <si>
    <t>Benzene Emission Factor (lb/MMBtu)</t>
  </si>
  <si>
    <t>Emission     Unit #</t>
  </si>
  <si>
    <t>Stack Type</t>
  </si>
  <si>
    <t>Downward</t>
  </si>
  <si>
    <t>Horizontal</t>
  </si>
  <si>
    <t>Vertical w/o obstruction</t>
  </si>
  <si>
    <t>Vertical w/ obstruction</t>
  </si>
  <si>
    <t>Site Name</t>
  </si>
  <si>
    <t>WebFIRE SCC# 30502507</t>
  </si>
  <si>
    <t xml:space="preserve"> </t>
  </si>
  <si>
    <t>Note: be sure to enable macros when prompted.</t>
  </si>
  <si>
    <t>Emission Point Number</t>
  </si>
  <si>
    <t>≤ 600 BHP</t>
  </si>
  <si>
    <t>&gt; 600 BHP</t>
  </si>
  <si>
    <t>ASPHALT PLANT (AP-1)</t>
  </si>
  <si>
    <t>Production Period (Dates):</t>
  </si>
  <si>
    <t>Asphalt Plant</t>
  </si>
  <si>
    <t>Hot Mix Asphalt Plant</t>
  </si>
  <si>
    <t>Plant Type:</t>
  </si>
  <si>
    <t>Batch Mix Plant</t>
  </si>
  <si>
    <t>Drum Mix Plant</t>
  </si>
  <si>
    <t>Type of Fuel Used:</t>
  </si>
  <si>
    <t>Fuel Oil</t>
  </si>
  <si>
    <t>Natural Gas</t>
  </si>
  <si>
    <t>Waste Oil</t>
  </si>
  <si>
    <t>Is Your Operation Controlled?:</t>
  </si>
  <si>
    <t>Throughput Limit (tons/yr):</t>
  </si>
  <si>
    <t>Daily Throughput Limit (tons/day):</t>
  </si>
  <si>
    <t>Dryer, Hot Screens, Mixer</t>
  </si>
  <si>
    <t>(tons/hr)</t>
  </si>
  <si>
    <t>Liquid Asphalt Heater</t>
  </si>
  <si>
    <t>(tons/yr)</t>
  </si>
  <si>
    <t>Silo Filling, Truck Loadout, Aggregate Transfer</t>
  </si>
  <si>
    <t>Maximum Hourly     Design Rate</t>
  </si>
  <si>
    <t>Acetaldehyde</t>
  </si>
  <si>
    <t>Acrolein</t>
  </si>
  <si>
    <t>Ethylbenzene</t>
  </si>
  <si>
    <t>Hexane</t>
  </si>
  <si>
    <t>Hydrocloric Acid</t>
  </si>
  <si>
    <t>Methyl Chloroform</t>
  </si>
  <si>
    <t>Propionaldehyde</t>
  </si>
  <si>
    <t>Quinone</t>
  </si>
  <si>
    <t>Toluene</t>
  </si>
  <si>
    <t>Xylene</t>
  </si>
  <si>
    <t>2,2,4-Trimethylpentane</t>
  </si>
  <si>
    <t>Nickel Compounds</t>
  </si>
  <si>
    <t>Chromium Compounds</t>
  </si>
  <si>
    <t>Lead Compounds</t>
  </si>
  <si>
    <t>Manganese Compounds</t>
  </si>
  <si>
    <t>Asphalt Plant - Uncontrolled</t>
  </si>
  <si>
    <t>Batch Mix Plant - Fuel Oil</t>
  </si>
  <si>
    <t>AP-42 Table 11.1-2, 5, 6, 9</t>
  </si>
  <si>
    <t>lbs/ton</t>
  </si>
  <si>
    <t>Batch Mix Plant - Natural Gas</t>
  </si>
  <si>
    <t>Batch Mix Plant - Waste Oil</t>
  </si>
  <si>
    <t>AP-42 Table 11.1-4, 7, 8, 10</t>
  </si>
  <si>
    <t>Drum Mix Plant - Natural Gas</t>
  </si>
  <si>
    <t>AP-42 Table 11.1-4, 7, 8, 10, 12</t>
  </si>
  <si>
    <t xml:space="preserve">Drum Mix Plant - Waste Oil </t>
  </si>
  <si>
    <t>Asphalt Plant - Controlled</t>
  </si>
  <si>
    <t>Drum Mix Plant - Fuel Oil</t>
  </si>
  <si>
    <t>Drum Mix Plant - Waste Oil</t>
  </si>
  <si>
    <t>Liquid Asphalt Cement Heater</t>
  </si>
  <si>
    <t>Fuel Oil Fired Heater</t>
  </si>
  <si>
    <t>AP-42 Table 11.1-13</t>
  </si>
  <si>
    <t>lbs/gal</t>
  </si>
  <si>
    <t>Natural Gas Fired Heater</t>
  </si>
  <si>
    <t>MMCF/hr</t>
  </si>
  <si>
    <t>lbs/MMCF</t>
  </si>
  <si>
    <t>Waste Oil Fired Heater</t>
  </si>
  <si>
    <t>Silo Filling</t>
  </si>
  <si>
    <t>AP-42 Table 11.1-14</t>
  </si>
  <si>
    <t>Truck Loadout</t>
  </si>
  <si>
    <t>AP-42 Table 11.19.2-2 (&amp; App. B2 for PM2.5)</t>
  </si>
  <si>
    <t>Cold Aggregate Bins</t>
  </si>
  <si>
    <t>Maximum Design Rate</t>
  </si>
  <si>
    <t>tons/hr</t>
  </si>
  <si>
    <t>gallons/hr</t>
  </si>
  <si>
    <t>gallons/yr</t>
  </si>
  <si>
    <t>MMCF/yr</t>
  </si>
  <si>
    <t>Actual throughput</t>
  </si>
  <si>
    <t>Hydrochloric Acid</t>
  </si>
  <si>
    <t>AP-1</t>
  </si>
  <si>
    <t>AP-2</t>
  </si>
  <si>
    <t>AP-3</t>
  </si>
  <si>
    <t>AP-4</t>
  </si>
  <si>
    <t>AP-5</t>
  </si>
  <si>
    <t>AP-6</t>
  </si>
  <si>
    <t>AP-7</t>
  </si>
  <si>
    <t>AP-8</t>
  </si>
  <si>
    <t>AP-9</t>
  </si>
  <si>
    <t>AP-10</t>
  </si>
  <si>
    <t>Asphalt Plant Number              (i.e., AP-1)</t>
  </si>
  <si>
    <t>Asphalt Plant #</t>
  </si>
  <si>
    <t>Controlled?</t>
  </si>
  <si>
    <t>PORTABLE HOT MIX ASPHALT BATCHING PLANT</t>
  </si>
  <si>
    <t>Maximum (acres)</t>
  </si>
  <si>
    <t>Max Design Rate (acres)</t>
  </si>
  <si>
    <t>ASPHALT PLANT (AP-2)</t>
  </si>
  <si>
    <t>ASPHALT PLANT (AP-3)</t>
  </si>
  <si>
    <t>ASPHALT PLANT (AP-4)</t>
  </si>
  <si>
    <t>ASPHALT PLANT (AP-5)</t>
  </si>
  <si>
    <t>ASPHALT PLANT (AP-6)</t>
  </si>
  <si>
    <t>ASPHALT PLANT (AP-7)</t>
  </si>
  <si>
    <t>ASPHALT PLANT (AP-8)</t>
  </si>
  <si>
    <t>ASPHALT PLANT (AP-9)</t>
  </si>
  <si>
    <t>ASPHALT PLANT (AP-10)</t>
  </si>
  <si>
    <t>Source of Emission Factor</t>
  </si>
  <si>
    <t>75-07-0</t>
  </si>
  <si>
    <t>107-02-8</t>
  </si>
  <si>
    <t>100-41-4</t>
  </si>
  <si>
    <t>110-54-3</t>
  </si>
  <si>
    <t>7647-01-0</t>
  </si>
  <si>
    <t>71-55-6</t>
  </si>
  <si>
    <t>123-38-6</t>
  </si>
  <si>
    <t>106-51-4</t>
  </si>
  <si>
    <t>108-88-3</t>
  </si>
  <si>
    <t>1330-20-7</t>
  </si>
  <si>
    <t>540-84-1</t>
  </si>
  <si>
    <t>542-0254</t>
  </si>
  <si>
    <t>** As of 2016 Potential Emissions are no longer required to be reported in the Minor Source Emissions Inventory**</t>
  </si>
  <si>
    <t>Actual Emissions for the Listed Processes at this Plant</t>
  </si>
  <si>
    <t xml:space="preserve">Actual </t>
  </si>
  <si>
    <t>Throughput</t>
  </si>
  <si>
    <t>Maximum Design</t>
  </si>
  <si>
    <t>Rate</t>
  </si>
  <si>
    <t>Emissions (tons/yr)</t>
  </si>
  <si>
    <t>Values Used to Calculate Actual Emissions for the Listed Processes at this Plant</t>
  </si>
  <si>
    <t>Uncontrolled Emissions(lb/hr)</t>
  </si>
  <si>
    <t xml:space="preserve">Potential Hourly </t>
  </si>
  <si>
    <t>Controlled Emissions (lb/hr)</t>
  </si>
  <si>
    <t>Potential Hourly</t>
  </si>
  <si>
    <t xml:space="preserve">Potential Annual </t>
  </si>
  <si>
    <t xml:space="preserve">               Total Combined for all Generators ≤ 600 BHP:</t>
  </si>
  <si>
    <t xml:space="preserve">               Total Combined for all Generators &gt; 600 BHP:</t>
  </si>
  <si>
    <t>Annual Throughput Permit Limit (tons/yr)</t>
  </si>
  <si>
    <t>Maximum Annual Throughput (tons/yr)</t>
  </si>
  <si>
    <t>Actual Annual Throughput (tons/yr)</t>
  </si>
  <si>
    <t>Avg Vehicle Wt. Empty (unloaded) (tons)</t>
  </si>
  <si>
    <t>Avg. Vehicle Wt Full (loaded) (tons)</t>
  </si>
  <si>
    <t>Note: if the plant has an hrs/day and a tons/hr permit limit, those values</t>
  </si>
  <si>
    <t>should be placed in cell C11.</t>
  </si>
  <si>
    <t xml:space="preserve">should be multiplied together to calculate a tons/day limit and that value </t>
  </si>
  <si>
    <t xml:space="preserve"> Actual Annual Emissions (tons/yr)</t>
  </si>
  <si>
    <t>Emission Factor (lb/acre-day)</t>
  </si>
  <si>
    <t>Diesel Generator &gt; 600 bhp</t>
  </si>
  <si>
    <t>Last Updated 4-13-21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</si>
</sst>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0"/>
    <numFmt numFmtId="168" formatCode="0.00000"/>
    <numFmt numFmtId="169" formatCode="#,##0.0000"/>
    <numFmt numFmtId="170" formatCode="0.0000000"/>
  </numFmts>
  <fonts count="45" x14ac:knownFonts="1">
    <font>
      <sz val="11"/>
      <color theme="1"/>
      <name val="Calibri"/>
      <family val="2"/>
      <scheme val="minor"/>
    </font>
    <font>
      <sz val="8"/>
      <name val="Arial"/>
      <family val="2"/>
    </font>
    <font>
      <sz val="10"/>
      <name val="Arial"/>
      <family val="2"/>
    </font>
    <font>
      <sz val="11"/>
      <color indexed="8"/>
      <name val="Calibri"/>
      <family val="2"/>
    </font>
    <font>
      <sz val="9"/>
      <color indexed="81"/>
      <name val="Tahoma"/>
      <family val="2"/>
    </font>
    <font>
      <b/>
      <sz val="9"/>
      <color indexed="81"/>
      <name val="Tahoma"/>
      <family val="2"/>
    </font>
    <font>
      <b/>
      <sz val="9"/>
      <name val="Arial"/>
      <family val="2"/>
    </font>
    <font>
      <sz val="9"/>
      <name val="Arial"/>
      <family val="2"/>
    </font>
    <font>
      <b/>
      <sz val="11"/>
      <color indexed="8"/>
      <name val="Calibri"/>
      <family val="2"/>
    </font>
    <font>
      <b/>
      <vertAlign val="superscript"/>
      <sz val="11"/>
      <color indexed="8"/>
      <name val="Calibri"/>
      <family val="2"/>
    </font>
    <font>
      <b/>
      <sz val="11"/>
      <color indexed="10"/>
      <name val="Calibri"/>
      <family val="2"/>
    </font>
    <font>
      <b/>
      <sz val="10"/>
      <color indexed="81"/>
      <name val="Calibri"/>
      <family val="2"/>
    </font>
    <font>
      <b/>
      <sz val="10"/>
      <color indexed="60"/>
      <name val="Calibri"/>
      <family val="2"/>
    </font>
    <font>
      <b/>
      <sz val="11"/>
      <color theme="1"/>
      <name val="Calibri"/>
      <family val="2"/>
      <scheme val="minor"/>
    </font>
    <font>
      <sz val="11"/>
      <color rgb="FF000000"/>
      <name val="Calibri"/>
      <family val="2"/>
      <scheme val="minor"/>
    </font>
    <font>
      <sz val="10"/>
      <color theme="1"/>
      <name val="Calibri"/>
      <family val="2"/>
      <scheme val="minor"/>
    </font>
    <font>
      <b/>
      <sz val="12"/>
      <color rgb="FFFF0000"/>
      <name val="Calibri"/>
      <family val="2"/>
      <scheme val="minor"/>
    </font>
    <font>
      <i/>
      <sz val="11"/>
      <color theme="1"/>
      <name val="Calibri"/>
      <family val="2"/>
      <scheme val="minor"/>
    </font>
    <font>
      <sz val="9"/>
      <name val="Calibri"/>
      <family val="2"/>
      <scheme val="minor"/>
    </font>
    <font>
      <b/>
      <sz val="11"/>
      <color rgb="FF000000"/>
      <name val="Calibri"/>
      <family val="2"/>
      <scheme val="minor"/>
    </font>
    <font>
      <b/>
      <sz val="14"/>
      <color theme="1"/>
      <name val="Calibri"/>
      <family val="2"/>
      <scheme val="minor"/>
    </font>
    <font>
      <i/>
      <sz val="8"/>
      <color rgb="FFFF0000"/>
      <name val="Arial"/>
      <family val="2"/>
    </font>
    <font>
      <sz val="8"/>
      <color theme="1"/>
      <name val="Arial"/>
      <family val="2"/>
    </font>
    <font>
      <sz val="9"/>
      <color theme="1"/>
      <name val="Calibri"/>
      <family val="2"/>
      <scheme val="minor"/>
    </font>
    <font>
      <sz val="10"/>
      <color theme="1"/>
      <name val="Arial"/>
      <family val="2"/>
    </font>
    <font>
      <b/>
      <sz val="10"/>
      <color theme="1"/>
      <name val="Arial"/>
      <family val="2"/>
    </font>
    <font>
      <b/>
      <sz val="14"/>
      <name val="Calibri"/>
      <family val="2"/>
      <scheme val="minor"/>
    </font>
    <font>
      <sz val="11"/>
      <color theme="1"/>
      <name val="Arial"/>
      <family val="2"/>
    </font>
    <font>
      <sz val="9"/>
      <color theme="1"/>
      <name val="Arial"/>
      <family val="2"/>
    </font>
    <font>
      <b/>
      <sz val="11"/>
      <color theme="1"/>
      <name val="Arial"/>
      <family val="2"/>
    </font>
    <font>
      <b/>
      <sz val="9"/>
      <color theme="1"/>
      <name val="Arial"/>
      <family val="2"/>
    </font>
    <font>
      <b/>
      <sz val="10"/>
      <color theme="5" tint="-0.249977111117893"/>
      <name val="Arial"/>
      <family val="2"/>
    </font>
    <font>
      <b/>
      <sz val="12"/>
      <color theme="1"/>
      <name val="Calibri"/>
      <family val="2"/>
      <scheme val="minor"/>
    </font>
    <font>
      <sz val="8"/>
      <color rgb="FFFF0000"/>
      <name val="Calibri"/>
      <family val="2"/>
      <scheme val="minor"/>
    </font>
    <font>
      <b/>
      <sz val="10"/>
      <color theme="1"/>
      <name val="Calibri"/>
      <family val="2"/>
      <scheme val="minor"/>
    </font>
    <font>
      <sz val="9"/>
      <color indexed="8"/>
      <name val="Calibri"/>
      <family val="2"/>
    </font>
    <font>
      <sz val="10"/>
      <name val="Arial"/>
      <family val="2"/>
    </font>
    <font>
      <b/>
      <i/>
      <sz val="11"/>
      <color rgb="FF00B0F0"/>
      <name val="Calibri"/>
      <family val="2"/>
      <scheme val="minor"/>
    </font>
    <font>
      <sz val="9"/>
      <color indexed="81"/>
      <name val="Calibri"/>
      <family val="2"/>
    </font>
    <font>
      <sz val="9"/>
      <color indexed="81"/>
      <name val="Calibri"/>
      <family val="2"/>
      <scheme val="minor"/>
    </font>
    <font>
      <i/>
      <sz val="10"/>
      <color rgb="FFFF0000"/>
      <name val="Arial"/>
      <family val="2"/>
    </font>
    <font>
      <b/>
      <sz val="9"/>
      <color rgb="FFFF0000"/>
      <name val="Arial"/>
      <family val="2"/>
    </font>
    <font>
      <sz val="10"/>
      <color rgb="FFFF0000"/>
      <name val="Arial"/>
      <family val="2"/>
    </font>
    <font>
      <b/>
      <sz val="11"/>
      <color rgb="FFFF0000"/>
      <name val="Calibri"/>
      <family val="2"/>
      <scheme val="minor"/>
    </font>
    <font>
      <b/>
      <sz val="10"/>
      <color rgb="FFFF0000"/>
      <name val="Calibri"/>
      <family val="2"/>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s>
  <borders count="31">
    <border>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s>
  <cellStyleXfs count="4">
    <xf numFmtId="0" fontId="0" fillId="0" borderId="0"/>
    <xf numFmtId="0" fontId="2" fillId="0" borderId="0"/>
    <xf numFmtId="9" fontId="2" fillId="0" borderId="0" applyFont="0" applyFill="0" applyBorder="0" applyAlignment="0" applyProtection="0"/>
    <xf numFmtId="0" fontId="36" fillId="0" borderId="0"/>
  </cellStyleXfs>
  <cellXfs count="362">
    <xf numFmtId="0" fontId="0" fillId="0" borderId="0" xfId="0"/>
    <xf numFmtId="0" fontId="0" fillId="0" borderId="1" xfId="0" applyBorder="1"/>
    <xf numFmtId="0" fontId="0" fillId="0" borderId="3" xfId="0" applyBorder="1"/>
    <xf numFmtId="0" fontId="0" fillId="0" borderId="4" xfId="0" applyBorder="1"/>
    <xf numFmtId="0" fontId="0" fillId="0" borderId="6" xfId="0" applyBorder="1" applyAlignment="1">
      <alignment horizontal="center"/>
    </xf>
    <xf numFmtId="0" fontId="0" fillId="0" borderId="7" xfId="0" applyBorder="1" applyAlignment="1">
      <alignment horizontal="center"/>
    </xf>
    <xf numFmtId="0" fontId="0" fillId="0" borderId="0" xfId="0" applyProtection="1"/>
    <xf numFmtId="0" fontId="0" fillId="0" borderId="0" xfId="0" applyAlignment="1" applyProtection="1">
      <alignment horizontal="center"/>
    </xf>
    <xf numFmtId="2" fontId="0" fillId="0" borderId="0" xfId="0" applyNumberFormat="1" applyAlignment="1" applyProtection="1">
      <alignment horizontal="center"/>
    </xf>
    <xf numFmtId="2" fontId="14" fillId="0" borderId="0" xfId="0" applyNumberFormat="1" applyFont="1" applyAlignment="1" applyProtection="1">
      <alignment horizontal="center"/>
    </xf>
    <xf numFmtId="2" fontId="15" fillId="0" borderId="0" xfId="0" applyNumberFormat="1" applyFont="1" applyAlignment="1" applyProtection="1">
      <alignment horizontal="left"/>
    </xf>
    <xf numFmtId="0" fontId="0" fillId="0" borderId="0" xfId="0" applyBorder="1" applyProtection="1"/>
    <xf numFmtId="0" fontId="0" fillId="0" borderId="0" xfId="0" applyBorder="1" applyAlignment="1" applyProtection="1">
      <alignment horizontal="center"/>
    </xf>
    <xf numFmtId="0" fontId="16" fillId="0" borderId="0" xfId="0" applyFont="1" applyBorder="1" applyProtection="1"/>
    <xf numFmtId="0" fontId="0" fillId="3" borderId="8" xfId="0" applyFill="1" applyBorder="1" applyAlignment="1" applyProtection="1">
      <alignment horizontal="center"/>
      <protection locked="0"/>
    </xf>
    <xf numFmtId="0" fontId="0" fillId="0" borderId="0" xfId="0" applyFill="1" applyBorder="1" applyProtection="1"/>
    <xf numFmtId="0" fontId="17" fillId="0" borderId="0" xfId="0" applyFont="1" applyAlignment="1">
      <alignment horizontal="center"/>
    </xf>
    <xf numFmtId="0" fontId="0" fillId="0" borderId="0" xfId="0"/>
    <xf numFmtId="0" fontId="13" fillId="0" borderId="0" xfId="0" applyFont="1"/>
    <xf numFmtId="0" fontId="14" fillId="0" borderId="0" xfId="0" applyFont="1"/>
    <xf numFmtId="165" fontId="0" fillId="0" borderId="0" xfId="0" applyNumberFormat="1"/>
    <xf numFmtId="0" fontId="18" fillId="0" borderId="0" xfId="1" applyFont="1" applyAlignment="1" applyProtection="1">
      <alignment horizontal="left"/>
    </xf>
    <xf numFmtId="0" fontId="13" fillId="0" borderId="0" xfId="0" applyFont="1" applyAlignment="1">
      <alignment horizontal="left"/>
    </xf>
    <xf numFmtId="0" fontId="19" fillId="0" borderId="0" xfId="0" applyFont="1"/>
    <xf numFmtId="0" fontId="20" fillId="0" borderId="0" xfId="0" applyFont="1" applyProtection="1"/>
    <xf numFmtId="2" fontId="0" fillId="0" borderId="8" xfId="0" applyNumberFormat="1" applyBorder="1" applyAlignment="1" applyProtection="1">
      <alignment horizontal="center"/>
    </xf>
    <xf numFmtId="0" fontId="0" fillId="0" borderId="0" xfId="0" applyAlignment="1">
      <alignment horizontal="right"/>
    </xf>
    <xf numFmtId="0" fontId="2" fillId="0" borderId="0" xfId="1" applyProtection="1"/>
    <xf numFmtId="0" fontId="1" fillId="0" borderId="0" xfId="1" applyFont="1" applyProtection="1"/>
    <xf numFmtId="0" fontId="2" fillId="2" borderId="8" xfId="1" applyFill="1" applyBorder="1" applyAlignment="1" applyProtection="1">
      <alignment horizontal="center"/>
      <protection locked="0"/>
    </xf>
    <xf numFmtId="0" fontId="0" fillId="0" borderId="8" xfId="0" applyFill="1" applyBorder="1" applyAlignment="1" applyProtection="1">
      <alignment horizontal="center"/>
    </xf>
    <xf numFmtId="2" fontId="0" fillId="0" borderId="8" xfId="0" applyNumberFormat="1" applyFill="1" applyBorder="1" applyAlignment="1" applyProtection="1">
      <alignment horizontal="center"/>
    </xf>
    <xf numFmtId="0" fontId="0" fillId="0" borderId="3" xfId="0" applyFill="1" applyBorder="1"/>
    <xf numFmtId="0" fontId="20" fillId="0" borderId="0" xfId="0" applyFont="1"/>
    <xf numFmtId="0" fontId="21" fillId="0" borderId="0" xfId="0" applyFont="1" applyProtection="1"/>
    <xf numFmtId="0" fontId="22" fillId="0" borderId="0" xfId="0" applyFont="1" applyProtection="1"/>
    <xf numFmtId="4" fontId="0" fillId="0" borderId="0" xfId="0" applyNumberForma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center"/>
    </xf>
    <xf numFmtId="0" fontId="22" fillId="0" borderId="10" xfId="0" applyFont="1" applyBorder="1" applyAlignment="1" applyProtection="1">
      <alignment wrapText="1"/>
    </xf>
    <xf numFmtId="0" fontId="22" fillId="0" borderId="0" xfId="0" applyFont="1" applyFill="1" applyProtection="1"/>
    <xf numFmtId="2" fontId="0" fillId="0" borderId="0" xfId="0" applyNumberFormat="1" applyBorder="1" applyAlignment="1" applyProtection="1">
      <alignment horizontal="center"/>
    </xf>
    <xf numFmtId="0" fontId="23" fillId="3" borderId="8" xfId="0" applyFont="1" applyFill="1" applyBorder="1" applyAlignment="1" applyProtection="1">
      <alignment horizontal="center"/>
      <protection locked="0"/>
    </xf>
    <xf numFmtId="0" fontId="23" fillId="3" borderId="8" xfId="0" applyFont="1" applyFill="1" applyBorder="1" applyProtection="1">
      <protection locked="0"/>
    </xf>
    <xf numFmtId="4" fontId="23" fillId="3" borderId="8" xfId="0" applyNumberFormat="1" applyFont="1" applyFill="1" applyBorder="1" applyAlignment="1" applyProtection="1">
      <alignment horizontal="center"/>
      <protection locked="0"/>
    </xf>
    <xf numFmtId="0" fontId="7" fillId="0" borderId="8" xfId="1" applyFont="1" applyBorder="1" applyAlignment="1" applyProtection="1">
      <alignment horizontal="right"/>
    </xf>
    <xf numFmtId="4" fontId="23" fillId="0" borderId="8" xfId="0" applyNumberFormat="1" applyFont="1" applyBorder="1" applyAlignment="1" applyProtection="1">
      <alignment horizontal="center"/>
    </xf>
    <xf numFmtId="4" fontId="23" fillId="0" borderId="8" xfId="0" applyNumberFormat="1" applyFont="1" applyFill="1" applyBorder="1" applyAlignment="1" applyProtection="1">
      <alignment horizontal="center"/>
    </xf>
    <xf numFmtId="0" fontId="7" fillId="0" borderId="8" xfId="1" applyFont="1" applyBorder="1" applyAlignment="1" applyProtection="1">
      <alignment horizontal="center"/>
    </xf>
    <xf numFmtId="0" fontId="24" fillId="0" borderId="8" xfId="0" applyFont="1" applyBorder="1" applyProtection="1"/>
    <xf numFmtId="0" fontId="24" fillId="0" borderId="11" xfId="0" applyFont="1" applyBorder="1" applyAlignment="1" applyProtection="1"/>
    <xf numFmtId="0" fontId="24" fillId="3" borderId="12" xfId="0" applyFont="1" applyFill="1" applyBorder="1" applyProtection="1">
      <protection locked="0"/>
    </xf>
    <xf numFmtId="0" fontId="24" fillId="0" borderId="8" xfId="0" applyFont="1" applyBorder="1" applyAlignment="1" applyProtection="1">
      <alignment horizontal="center"/>
    </xf>
    <xf numFmtId="0" fontId="2" fillId="0" borderId="8" xfId="0" applyFont="1" applyBorder="1" applyAlignment="1" applyProtection="1">
      <alignment horizontal="center"/>
    </xf>
    <xf numFmtId="0" fontId="2" fillId="0" borderId="13" xfId="0" applyFont="1" applyFill="1" applyBorder="1" applyAlignment="1" applyProtection="1">
      <alignment horizontal="left"/>
    </xf>
    <xf numFmtId="0" fontId="2" fillId="0" borderId="14" xfId="0" applyFont="1" applyFill="1" applyBorder="1" applyAlignment="1" applyProtection="1">
      <alignment horizontal="left"/>
    </xf>
    <xf numFmtId="0" fontId="24" fillId="0" borderId="0" xfId="0" applyFont="1" applyProtection="1"/>
    <xf numFmtId="0" fontId="24" fillId="0" borderId="0" xfId="0" applyFont="1" applyAlignment="1" applyProtection="1">
      <alignment horizontal="left"/>
    </xf>
    <xf numFmtId="0" fontId="2" fillId="0" borderId="8" xfId="0" applyFont="1" applyBorder="1" applyProtection="1"/>
    <xf numFmtId="0" fontId="2" fillId="0" borderId="0" xfId="0" applyFont="1" applyBorder="1" applyProtection="1"/>
    <xf numFmtId="0" fontId="24" fillId="0" borderId="0" xfId="0" applyFont="1" applyBorder="1" applyProtection="1"/>
    <xf numFmtId="0" fontId="24" fillId="0" borderId="0" xfId="0" applyFont="1" applyFill="1" applyBorder="1" applyProtection="1"/>
    <xf numFmtId="0" fontId="24" fillId="0" borderId="0" xfId="0" applyFont="1" applyBorder="1" applyAlignment="1" applyProtection="1"/>
    <xf numFmtId="0" fontId="25" fillId="0" borderId="0" xfId="0" applyFont="1" applyProtection="1"/>
    <xf numFmtId="0" fontId="2" fillId="0" borderId="0" xfId="0" applyFont="1" applyBorder="1" applyAlignment="1" applyProtection="1">
      <alignment horizontal="left"/>
    </xf>
    <xf numFmtId="4" fontId="0" fillId="0" borderId="0" xfId="0" applyNumberFormat="1" applyProtection="1"/>
    <xf numFmtId="0" fontId="0" fillId="3" borderId="8" xfId="0" applyFill="1" applyBorder="1" applyAlignment="1" applyProtection="1">
      <alignment wrapText="1"/>
      <protection locked="0"/>
    </xf>
    <xf numFmtId="0" fontId="25" fillId="0" borderId="0" xfId="0" applyFont="1" applyFill="1" applyBorder="1" applyProtection="1"/>
    <xf numFmtId="2" fontId="25" fillId="0" borderId="8" xfId="0" applyNumberFormat="1" applyFont="1" applyFill="1" applyBorder="1" applyAlignment="1" applyProtection="1">
      <alignment horizontal="center"/>
    </xf>
    <xf numFmtId="4" fontId="24" fillId="0" borderId="8" xfId="0" applyNumberFormat="1" applyFont="1" applyFill="1" applyBorder="1" applyAlignment="1" applyProtection="1">
      <alignment horizontal="center"/>
    </xf>
    <xf numFmtId="2" fontId="24" fillId="0" borderId="8" xfId="0" applyNumberFormat="1" applyFont="1" applyFill="1" applyBorder="1" applyAlignment="1" applyProtection="1">
      <alignment horizontal="center"/>
    </xf>
    <xf numFmtId="0" fontId="25" fillId="0" borderId="8" xfId="0" applyFont="1" applyFill="1" applyBorder="1" applyAlignment="1" applyProtection="1">
      <alignment horizontal="center"/>
    </xf>
    <xf numFmtId="0" fontId="7" fillId="3" borderId="8" xfId="0" applyFont="1" applyFill="1" applyBorder="1" applyAlignment="1" applyProtection="1">
      <alignment horizontal="center"/>
      <protection locked="0"/>
    </xf>
    <xf numFmtId="0" fontId="28" fillId="3" borderId="8" xfId="0" applyFont="1" applyFill="1" applyBorder="1" applyAlignment="1" applyProtection="1">
      <alignment horizontal="center"/>
      <protection locked="0"/>
    </xf>
    <xf numFmtId="0" fontId="27" fillId="3" borderId="8" xfId="0" applyFont="1" applyFill="1" applyBorder="1" applyAlignment="1" applyProtection="1">
      <alignment horizontal="center"/>
      <protection locked="0"/>
    </xf>
    <xf numFmtId="0" fontId="24" fillId="3" borderId="16" xfId="0" applyFont="1" applyFill="1" applyBorder="1" applyAlignment="1" applyProtection="1">
      <alignment horizontal="center"/>
      <protection locked="0"/>
    </xf>
    <xf numFmtId="0" fontId="25" fillId="0" borderId="8" xfId="0" applyFont="1" applyBorder="1" applyProtection="1"/>
    <xf numFmtId="0" fontId="27" fillId="0" borderId="0" xfId="0" applyFont="1" applyProtection="1"/>
    <xf numFmtId="0" fontId="28" fillId="0" borderId="0" xfId="0" applyFont="1" applyProtection="1"/>
    <xf numFmtId="0" fontId="29" fillId="0" borderId="8" xfId="0" applyFont="1" applyBorder="1" applyAlignment="1" applyProtection="1">
      <alignment wrapText="1"/>
    </xf>
    <xf numFmtId="0" fontId="27" fillId="0" borderId="8" xfId="0" applyFont="1" applyFill="1" applyBorder="1" applyProtection="1"/>
    <xf numFmtId="0" fontId="27" fillId="0" borderId="0" xfId="0" applyFont="1" applyFill="1" applyBorder="1" applyProtection="1"/>
    <xf numFmtId="0" fontId="24" fillId="0" borderId="8" xfId="0" applyFont="1" applyBorder="1" applyAlignment="1" applyProtection="1">
      <alignment horizontal="right" wrapText="1"/>
    </xf>
    <xf numFmtId="0" fontId="24" fillId="0" borderId="0" xfId="0" applyFont="1" applyAlignment="1" applyProtection="1">
      <alignment horizontal="right"/>
    </xf>
    <xf numFmtId="0" fontId="25" fillId="0" borderId="0" xfId="0" applyFont="1" applyBorder="1" applyAlignment="1" applyProtection="1"/>
    <xf numFmtId="0" fontId="25" fillId="0" borderId="18" xfId="0" applyFont="1" applyBorder="1" applyAlignment="1" applyProtection="1"/>
    <xf numFmtId="0" fontId="27" fillId="0" borderId="0" xfId="0" applyFont="1" applyBorder="1" applyProtection="1"/>
    <xf numFmtId="0" fontId="24" fillId="0" borderId="8" xfId="0" applyFont="1" applyBorder="1" applyAlignment="1" applyProtection="1"/>
    <xf numFmtId="0" fontId="2" fillId="0" borderId="0" xfId="0" applyFont="1" applyFill="1" applyBorder="1" applyAlignment="1" applyProtection="1">
      <alignment horizontal="center"/>
    </xf>
    <xf numFmtId="0" fontId="24" fillId="0" borderId="8" xfId="0" applyFont="1" applyFill="1" applyBorder="1" applyAlignment="1" applyProtection="1"/>
    <xf numFmtId="4" fontId="24" fillId="0" borderId="0" xfId="0" applyNumberFormat="1" applyFont="1" applyFill="1" applyBorder="1" applyAlignment="1" applyProtection="1">
      <alignment horizontal="center"/>
    </xf>
    <xf numFmtId="0" fontId="0" fillId="0" borderId="19" xfId="0" applyFill="1" applyBorder="1" applyProtection="1"/>
    <xf numFmtId="4" fontId="24" fillId="0" borderId="19" xfId="0" applyNumberFormat="1" applyFont="1" applyFill="1" applyBorder="1" applyAlignment="1" applyProtection="1">
      <alignment horizontal="center"/>
    </xf>
    <xf numFmtId="0" fontId="27" fillId="0" borderId="19" xfId="0" applyFont="1" applyBorder="1" applyProtection="1"/>
    <xf numFmtId="0" fontId="30" fillId="0" borderId="0" xfId="0" applyFont="1" applyProtection="1"/>
    <xf numFmtId="0" fontId="28" fillId="0" borderId="8" xfId="0" applyFont="1" applyBorder="1" applyProtection="1"/>
    <xf numFmtId="0" fontId="30" fillId="0" borderId="8" xfId="0" applyFont="1" applyBorder="1" applyProtection="1"/>
    <xf numFmtId="0" fontId="7" fillId="0" borderId="0" xfId="1" applyFont="1" applyBorder="1" applyAlignment="1" applyProtection="1">
      <alignment horizontal="center"/>
    </xf>
    <xf numFmtId="0" fontId="0" fillId="0" borderId="8" xfId="0" applyFill="1" applyBorder="1" applyAlignment="1" applyProtection="1">
      <alignment horizontal="left"/>
    </xf>
    <xf numFmtId="0" fontId="0" fillId="0" borderId="8" xfId="0" applyFill="1" applyBorder="1" applyProtection="1"/>
    <xf numFmtId="164" fontId="0" fillId="0" borderId="8" xfId="0" applyNumberFormat="1" applyFill="1" applyBorder="1" applyAlignment="1" applyProtection="1">
      <alignment horizontal="center"/>
    </xf>
    <xf numFmtId="0" fontId="15" fillId="0" borderId="8" xfId="0" applyFont="1" applyFill="1" applyBorder="1" applyAlignment="1" applyProtection="1">
      <alignment horizontal="center"/>
    </xf>
    <xf numFmtId="0" fontId="0" fillId="0" borderId="0" xfId="0" applyFill="1"/>
    <xf numFmtId="2" fontId="0" fillId="0" borderId="2" xfId="0" applyNumberFormat="1" applyBorder="1" applyAlignment="1">
      <alignment horizontal="center"/>
    </xf>
    <xf numFmtId="2" fontId="0" fillId="0" borderId="9" xfId="0" applyNumberFormat="1" applyBorder="1" applyAlignment="1">
      <alignment horizontal="center"/>
    </xf>
    <xf numFmtId="2" fontId="0" fillId="0" borderId="5" xfId="0" applyNumberFormat="1" applyBorder="1" applyAlignment="1">
      <alignment horizontal="center"/>
    </xf>
    <xf numFmtId="0" fontId="32" fillId="0" borderId="0" xfId="0" applyFont="1"/>
    <xf numFmtId="0" fontId="33" fillId="0" borderId="0" xfId="0" applyFont="1"/>
    <xf numFmtId="0" fontId="2" fillId="0" borderId="8" xfId="0" applyFont="1" applyBorder="1" applyAlignment="1" applyProtection="1">
      <alignment horizontal="left"/>
    </xf>
    <xf numFmtId="0" fontId="0" fillId="0" borderId="0" xfId="0" applyAlignment="1">
      <alignment horizontal="center"/>
    </xf>
    <xf numFmtId="4" fontId="24" fillId="3" borderId="8" xfId="0" applyNumberFormat="1" applyFont="1" applyFill="1" applyBorder="1" applyAlignment="1" applyProtection="1">
      <alignment horizontal="center"/>
      <protection locked="0"/>
    </xf>
    <xf numFmtId="2" fontId="28" fillId="0" borderId="8" xfId="0" applyNumberFormat="1" applyFont="1" applyBorder="1" applyAlignment="1" applyProtection="1">
      <alignment horizontal="center"/>
    </xf>
    <xf numFmtId="169" fontId="23" fillId="3" borderId="8" xfId="0" applyNumberFormat="1" applyFont="1" applyFill="1" applyBorder="1" applyAlignment="1" applyProtection="1">
      <alignment horizontal="center"/>
      <protection locked="0"/>
    </xf>
    <xf numFmtId="0" fontId="24" fillId="0" borderId="0" xfId="0" applyFont="1" applyFill="1" applyBorder="1" applyAlignment="1" applyProtection="1">
      <alignment horizontal="center"/>
    </xf>
    <xf numFmtId="0" fontId="14" fillId="0" borderId="8" xfId="0" applyFont="1" applyFill="1" applyBorder="1" applyAlignment="1" applyProtection="1">
      <alignment horizontal="center"/>
    </xf>
    <xf numFmtId="2" fontId="14" fillId="0" borderId="8" xfId="0" applyNumberFormat="1" applyFont="1" applyFill="1" applyBorder="1" applyAlignment="1" applyProtection="1">
      <alignment horizontal="center"/>
    </xf>
    <xf numFmtId="2" fontId="0" fillId="0" borderId="0" xfId="0" applyNumberFormat="1" applyFill="1" applyBorder="1" applyAlignment="1" applyProtection="1">
      <alignment horizontal="center"/>
    </xf>
    <xf numFmtId="2" fontId="0" fillId="0" borderId="0" xfId="0" applyNumberFormat="1" applyFill="1" applyAlignment="1" applyProtection="1">
      <alignment horizontal="center"/>
    </xf>
    <xf numFmtId="0" fontId="13" fillId="0" borderId="8" xfId="0" applyFont="1" applyBorder="1" applyProtection="1"/>
    <xf numFmtId="4" fontId="0" fillId="0" borderId="8" xfId="0" applyNumberFormat="1" applyFill="1" applyBorder="1" applyAlignment="1" applyProtection="1">
      <alignment horizontal="center"/>
    </xf>
    <xf numFmtId="166" fontId="0" fillId="0" borderId="0" xfId="0" applyNumberFormat="1" applyAlignment="1" applyProtection="1">
      <alignment horizontal="center"/>
    </xf>
    <xf numFmtId="2" fontId="0" fillId="0" borderId="0" xfId="0" applyNumberFormat="1" applyProtection="1"/>
    <xf numFmtId="2" fontId="0" fillId="0" borderId="12" xfId="0" applyNumberFormat="1" applyFill="1" applyBorder="1" applyAlignment="1" applyProtection="1">
      <alignment horizontal="center"/>
    </xf>
    <xf numFmtId="0" fontId="24" fillId="0" borderId="19" xfId="0" applyFont="1" applyFill="1" applyBorder="1" applyProtection="1"/>
    <xf numFmtId="0" fontId="28" fillId="0" borderId="8" xfId="0" applyFont="1" applyFill="1" applyBorder="1" applyAlignment="1" applyProtection="1">
      <alignment horizontal="center"/>
    </xf>
    <xf numFmtId="0" fontId="28" fillId="0" borderId="0" xfId="0" applyFont="1" applyFill="1" applyBorder="1" applyAlignment="1" applyProtection="1">
      <alignment horizontal="center"/>
    </xf>
    <xf numFmtId="0" fontId="0" fillId="0" borderId="0" xfId="0" applyFill="1" applyBorder="1" applyAlignment="1" applyProtection="1"/>
    <xf numFmtId="0" fontId="0" fillId="0" borderId="0" xfId="0" applyBorder="1" applyAlignment="1" applyProtection="1"/>
    <xf numFmtId="4" fontId="23" fillId="0" borderId="0" xfId="0" applyNumberFormat="1" applyFont="1" applyProtection="1"/>
    <xf numFmtId="4" fontId="0" fillId="0" borderId="8" xfId="0" applyNumberFormat="1" applyBorder="1" applyProtection="1"/>
    <xf numFmtId="4" fontId="0" fillId="0" borderId="8" xfId="0" applyNumberFormat="1" applyBorder="1" applyAlignment="1" applyProtection="1">
      <alignment horizontal="center"/>
    </xf>
    <xf numFmtId="0" fontId="2" fillId="0" borderId="18" xfId="0" applyFont="1" applyBorder="1" applyAlignment="1" applyProtection="1"/>
    <xf numFmtId="4" fontId="0" fillId="3" borderId="8" xfId="0" applyNumberFormat="1" applyFill="1" applyBorder="1" applyAlignment="1" applyProtection="1">
      <alignment horizontal="center"/>
      <protection locked="0"/>
    </xf>
    <xf numFmtId="4" fontId="0" fillId="4" borderId="8" xfId="0" applyNumberFormat="1" applyFill="1" applyBorder="1" applyProtection="1"/>
    <xf numFmtId="0" fontId="28" fillId="0" borderId="0" xfId="0" applyFont="1" applyBorder="1" applyAlignment="1" applyProtection="1"/>
    <xf numFmtId="0" fontId="0" fillId="0" borderId="8" xfId="0" applyFont="1" applyFill="1" applyBorder="1" applyAlignment="1" applyProtection="1">
      <alignment horizontal="left"/>
    </xf>
    <xf numFmtId="0" fontId="0" fillId="0" borderId="8" xfId="0" applyFill="1" applyBorder="1"/>
    <xf numFmtId="167" fontId="0" fillId="0" borderId="8" xfId="0" applyNumberFormat="1" applyFill="1" applyBorder="1" applyAlignment="1" applyProtection="1">
      <alignment horizontal="center"/>
    </xf>
    <xf numFmtId="0" fontId="15" fillId="0" borderId="8" xfId="0" applyFont="1" applyFill="1" applyBorder="1" applyAlignment="1" applyProtection="1">
      <alignment horizontal="left"/>
    </xf>
    <xf numFmtId="0" fontId="0" fillId="0" borderId="8" xfId="0" applyFill="1" applyBorder="1" applyAlignment="1" applyProtection="1">
      <alignment horizontal="center"/>
      <protection locked="0"/>
    </xf>
    <xf numFmtId="0" fontId="37" fillId="0" borderId="0" xfId="0" applyFont="1" applyProtection="1"/>
    <xf numFmtId="0" fontId="0" fillId="0" borderId="8" xfId="0" applyBorder="1" applyProtection="1"/>
    <xf numFmtId="2" fontId="0" fillId="0" borderId="8" xfId="0" applyNumberFormat="1" applyBorder="1" applyProtection="1"/>
    <xf numFmtId="0" fontId="0" fillId="0" borderId="8" xfId="0" applyFont="1" applyBorder="1" applyProtection="1"/>
    <xf numFmtId="4" fontId="7" fillId="3" borderId="8" xfId="0" applyNumberFormat="1" applyFont="1" applyFill="1" applyBorder="1" applyAlignment="1" applyProtection="1">
      <alignment horizontal="center"/>
      <protection locked="0"/>
    </xf>
    <xf numFmtId="0" fontId="0" fillId="0" borderId="0" xfId="0" applyAlignment="1">
      <alignment horizontal="center"/>
    </xf>
    <xf numFmtId="0" fontId="24" fillId="0" borderId="8" xfId="0" applyFont="1" applyBorder="1" applyAlignment="1" applyProtection="1">
      <alignment horizontal="right"/>
    </xf>
    <xf numFmtId="0" fontId="24" fillId="0" borderId="16" xfId="0" applyFont="1" applyBorder="1" applyAlignment="1" applyProtection="1">
      <alignment horizontal="right"/>
    </xf>
    <xf numFmtId="0" fontId="24" fillId="3" borderId="8" xfId="0" applyFont="1" applyFill="1" applyBorder="1" applyAlignment="1" applyProtection="1">
      <alignment horizontal="center"/>
      <protection locked="0"/>
    </xf>
    <xf numFmtId="0" fontId="28" fillId="0" borderId="0" xfId="0" applyFont="1" applyAlignment="1" applyProtection="1">
      <alignment horizontal="center"/>
    </xf>
    <xf numFmtId="0" fontId="7" fillId="0" borderId="0" xfId="0" applyFont="1" applyFill="1" applyBorder="1" applyAlignment="1" applyProtection="1">
      <alignment horizontal="center"/>
      <protection locked="0"/>
    </xf>
    <xf numFmtId="4" fontId="7" fillId="0" borderId="0" xfId="0" applyNumberFormat="1" applyFont="1" applyFill="1" applyBorder="1" applyAlignment="1" applyProtection="1">
      <alignment horizontal="center"/>
      <protection locked="0"/>
    </xf>
    <xf numFmtId="0" fontId="41" fillId="0" borderId="0" xfId="0" applyFont="1" applyProtection="1"/>
    <xf numFmtId="0" fontId="28" fillId="0" borderId="0" xfId="0" applyFont="1" applyFill="1" applyBorder="1" applyProtection="1"/>
    <xf numFmtId="0" fontId="23" fillId="0" borderId="0" xfId="0" applyFont="1" applyAlignment="1" applyProtection="1">
      <alignment horizontal="left"/>
    </xf>
    <xf numFmtId="0" fontId="23" fillId="0" borderId="0" xfId="0" applyFont="1" applyProtection="1"/>
    <xf numFmtId="0" fontId="27" fillId="0" borderId="8" xfId="0" applyFont="1" applyBorder="1" applyAlignment="1" applyProtection="1">
      <alignment horizontal="left" wrapText="1"/>
    </xf>
    <xf numFmtId="0" fontId="23" fillId="0" borderId="0" xfId="0" applyFont="1"/>
    <xf numFmtId="4" fontId="28" fillId="0" borderId="8" xfId="0" applyNumberFormat="1" applyFont="1" applyFill="1" applyBorder="1" applyAlignment="1" applyProtection="1">
      <alignment horizontal="center"/>
    </xf>
    <xf numFmtId="0" fontId="27" fillId="0" borderId="0" xfId="0" applyFont="1" applyFill="1" applyProtection="1"/>
    <xf numFmtId="0" fontId="24" fillId="0" borderId="0" xfId="0" applyFont="1" applyFill="1" applyProtection="1"/>
    <xf numFmtId="0" fontId="25" fillId="0" borderId="0" xfId="0" applyFont="1" applyFill="1" applyAlignment="1" applyProtection="1">
      <alignment horizontal="center" wrapText="1"/>
    </xf>
    <xf numFmtId="0" fontId="25" fillId="0" borderId="0" xfId="0" applyFont="1" applyFill="1" applyBorder="1" applyAlignment="1" applyProtection="1">
      <alignment horizontal="center" wrapText="1"/>
    </xf>
    <xf numFmtId="0" fontId="28" fillId="0" borderId="0" xfId="0" applyFont="1" applyFill="1" applyAlignment="1" applyProtection="1">
      <alignment horizontal="center"/>
    </xf>
    <xf numFmtId="0" fontId="28" fillId="0" borderId="0" xfId="0" applyFont="1" applyFill="1" applyBorder="1" applyAlignment="1" applyProtection="1"/>
    <xf numFmtId="168" fontId="28" fillId="0" borderId="8" xfId="0" applyNumberFormat="1" applyFont="1" applyFill="1" applyBorder="1" applyAlignment="1" applyProtection="1">
      <alignment horizontal="center"/>
    </xf>
    <xf numFmtId="2" fontId="28" fillId="0" borderId="8" xfId="0" applyNumberFormat="1" applyFont="1" applyFill="1" applyBorder="1" applyAlignment="1" applyProtection="1">
      <alignment horizontal="center"/>
    </xf>
    <xf numFmtId="2" fontId="28" fillId="0" borderId="13" xfId="0" applyNumberFormat="1" applyFont="1" applyFill="1" applyBorder="1" applyAlignment="1" applyProtection="1">
      <alignment horizontal="center"/>
    </xf>
    <xf numFmtId="0" fontId="30" fillId="0" borderId="0" xfId="0" applyFont="1" applyFill="1" applyProtection="1"/>
    <xf numFmtId="0" fontId="2" fillId="0" borderId="16" xfId="0" applyFont="1" applyBorder="1" applyAlignment="1" applyProtection="1">
      <alignment horizontal="right"/>
    </xf>
    <xf numFmtId="170" fontId="28" fillId="0" borderId="8" xfId="0" applyNumberFormat="1" applyFont="1" applyFill="1" applyBorder="1" applyAlignment="1" applyProtection="1">
      <alignment horizontal="center"/>
    </xf>
    <xf numFmtId="2" fontId="27" fillId="0" borderId="0" xfId="0" applyNumberFormat="1" applyFont="1" applyFill="1" applyProtection="1"/>
    <xf numFmtId="2" fontId="27" fillId="0" borderId="0" xfId="0" applyNumberFormat="1" applyFont="1" applyProtection="1"/>
    <xf numFmtId="14" fontId="28" fillId="3" borderId="8" xfId="0" applyNumberFormat="1" applyFont="1" applyFill="1" applyBorder="1" applyAlignment="1" applyProtection="1">
      <alignment horizontal="center"/>
      <protection locked="0"/>
    </xf>
    <xf numFmtId="0" fontId="0" fillId="0" borderId="0" xfId="0" applyAlignment="1">
      <alignment horizontal="center"/>
    </xf>
    <xf numFmtId="4" fontId="0" fillId="0" borderId="0" xfId="0" applyNumberFormat="1" applyFill="1" applyBorder="1" applyAlignment="1" applyProtection="1">
      <alignment horizontal="center"/>
    </xf>
    <xf numFmtId="0" fontId="0" fillId="0" borderId="0" xfId="0" applyFill="1" applyAlignment="1" applyProtection="1">
      <alignment horizontal="center"/>
    </xf>
    <xf numFmtId="0" fontId="0" fillId="0" borderId="0" xfId="0" applyFill="1" applyProtection="1"/>
    <xf numFmtId="0" fontId="23" fillId="0" borderId="0" xfId="0" applyFont="1" applyFill="1" applyAlignment="1" applyProtection="1">
      <alignment horizontal="center"/>
    </xf>
    <xf numFmtId="2" fontId="14" fillId="0" borderId="0" xfId="0" applyNumberFormat="1" applyFont="1" applyFill="1" applyAlignment="1" applyProtection="1">
      <alignment horizontal="center"/>
    </xf>
    <xf numFmtId="0" fontId="0" fillId="0" borderId="8" xfId="0" applyFont="1" applyFill="1" applyBorder="1" applyAlignment="1" applyProtection="1">
      <alignment horizontal="center"/>
    </xf>
    <xf numFmtId="0" fontId="0" fillId="0" borderId="8" xfId="0" applyFont="1" applyFill="1" applyBorder="1" applyProtection="1"/>
    <xf numFmtId="2" fontId="0" fillId="0" borderId="8" xfId="0" applyNumberFormat="1"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0" fillId="0" borderId="0" xfId="0" applyFill="1" applyAlignment="1">
      <alignment horizontal="center"/>
    </xf>
    <xf numFmtId="0" fontId="14"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ont="1"/>
    <xf numFmtId="0" fontId="15" fillId="0" borderId="0" xfId="0" applyFont="1" applyFill="1" applyAlignment="1" applyProtection="1">
      <alignment horizontal="center"/>
    </xf>
    <xf numFmtId="0" fontId="15" fillId="0" borderId="0" xfId="0" applyFont="1" applyFill="1" applyBorder="1" applyAlignment="1" applyProtection="1">
      <alignment horizontal="center"/>
    </xf>
    <xf numFmtId="0" fontId="20" fillId="0" borderId="0" xfId="0" applyFont="1" applyAlignment="1" applyProtection="1">
      <alignment horizontal="center"/>
    </xf>
    <xf numFmtId="0" fontId="0" fillId="0" borderId="8" xfId="0" applyFont="1" applyBorder="1"/>
    <xf numFmtId="0" fontId="0" fillId="0" borderId="8" xfId="0" applyBorder="1"/>
    <xf numFmtId="0" fontId="0" fillId="0" borderId="8" xfId="0" applyFont="1" applyFill="1" applyBorder="1"/>
    <xf numFmtId="0" fontId="0" fillId="0" borderId="0" xfId="0" applyFont="1" applyFill="1"/>
    <xf numFmtId="0" fontId="0" fillId="0" borderId="14" xfId="0" applyFont="1" applyFill="1" applyBorder="1" applyAlignment="1" applyProtection="1">
      <alignment horizontal="center"/>
    </xf>
    <xf numFmtId="0" fontId="0" fillId="0" borderId="0" xfId="0" applyFont="1" applyFill="1" applyBorder="1" applyAlignment="1" applyProtection="1">
      <alignment horizontal="center"/>
    </xf>
    <xf numFmtId="0" fontId="23" fillId="0" borderId="0" xfId="0" applyFont="1" applyFill="1" applyBorder="1" applyAlignment="1" applyProtection="1">
      <alignment horizontal="center"/>
    </xf>
    <xf numFmtId="2" fontId="14" fillId="0" borderId="14" xfId="0" applyNumberFormat="1" applyFont="1" applyFill="1" applyBorder="1" applyAlignment="1" applyProtection="1">
      <alignment horizontal="center"/>
    </xf>
    <xf numFmtId="0" fontId="13" fillId="0" borderId="0" xfId="0" applyFont="1" applyFill="1" applyBorder="1" applyAlignment="1" applyProtection="1">
      <alignment horizontal="center" wrapText="1"/>
    </xf>
    <xf numFmtId="2" fontId="0" fillId="0" borderId="0" xfId="0" applyNumberFormat="1" applyFill="1" applyBorder="1" applyAlignment="1" applyProtection="1">
      <alignment horizontal="left"/>
    </xf>
    <xf numFmtId="0" fontId="23" fillId="0" borderId="0" xfId="0" applyFont="1" applyFill="1" applyAlignment="1">
      <alignment horizontal="center"/>
    </xf>
    <xf numFmtId="0" fontId="23" fillId="0" borderId="0" xfId="0" applyFont="1" applyFill="1"/>
    <xf numFmtId="0" fontId="23" fillId="0" borderId="28" xfId="0" applyFont="1" applyFill="1" applyBorder="1" applyAlignment="1" applyProtection="1">
      <alignment horizontal="center"/>
    </xf>
    <xf numFmtId="0" fontId="23" fillId="0" borderId="14" xfId="0" applyFont="1" applyFill="1" applyBorder="1" applyAlignment="1" applyProtection="1">
      <alignment horizontal="center"/>
    </xf>
    <xf numFmtId="0" fontId="0" fillId="0" borderId="18" xfId="0" applyFont="1" applyFill="1" applyBorder="1" applyAlignment="1" applyProtection="1">
      <alignment horizontal="center"/>
    </xf>
    <xf numFmtId="0" fontId="23" fillId="0" borderId="18" xfId="0" applyFont="1" applyFill="1" applyBorder="1" applyAlignment="1" applyProtection="1">
      <alignment horizontal="center"/>
    </xf>
    <xf numFmtId="2" fontId="14" fillId="0" borderId="18" xfId="0" applyNumberFormat="1" applyFont="1" applyFill="1" applyBorder="1" applyAlignment="1" applyProtection="1">
      <alignment horizontal="center"/>
    </xf>
    <xf numFmtId="0" fontId="0" fillId="0" borderId="12" xfId="0" applyFont="1" applyFill="1" applyBorder="1" applyAlignment="1" applyProtection="1">
      <alignment horizontal="center"/>
    </xf>
    <xf numFmtId="2" fontId="28" fillId="0" borderId="15" xfId="0" applyNumberFormat="1" applyFont="1" applyFill="1" applyBorder="1" applyAlignment="1" applyProtection="1">
      <alignment horizontal="center"/>
    </xf>
    <xf numFmtId="2" fontId="28" fillId="0" borderId="0" xfId="0" applyNumberFormat="1" applyFont="1" applyFill="1" applyBorder="1" applyAlignment="1" applyProtection="1">
      <alignment horizontal="center"/>
    </xf>
    <xf numFmtId="0" fontId="23" fillId="0" borderId="8" xfId="0" applyFont="1" applyFill="1" applyBorder="1" applyAlignment="1" applyProtection="1">
      <alignment horizontal="center"/>
    </xf>
    <xf numFmtId="0" fontId="28" fillId="0" borderId="8" xfId="0" applyFont="1" applyBorder="1" applyAlignment="1" applyProtection="1">
      <alignment horizontal="center"/>
    </xf>
    <xf numFmtId="0" fontId="24" fillId="0" borderId="16" xfId="0" applyFont="1" applyBorder="1" applyAlignment="1" applyProtection="1">
      <alignment horizontal="center"/>
    </xf>
    <xf numFmtId="0" fontId="30" fillId="0" borderId="0" xfId="0" applyFont="1" applyAlignment="1" applyProtection="1">
      <alignment horizontal="center"/>
    </xf>
    <xf numFmtId="0" fontId="27" fillId="3" borderId="8" xfId="0" applyFont="1" applyFill="1" applyBorder="1" applyAlignment="1" applyProtection="1">
      <alignment horizontal="center"/>
    </xf>
    <xf numFmtId="0" fontId="31" fillId="0" borderId="0" xfId="0" applyFont="1" applyFill="1" applyBorder="1" applyAlignment="1" applyProtection="1">
      <alignment horizontal="center"/>
    </xf>
    <xf numFmtId="0" fontId="26" fillId="0" borderId="0" xfId="0" applyFont="1" applyBorder="1" applyAlignment="1" applyProtection="1">
      <alignment horizontal="left"/>
    </xf>
    <xf numFmtId="0" fontId="0" fillId="0" borderId="30" xfId="0" applyFill="1" applyBorder="1"/>
    <xf numFmtId="2" fontId="0" fillId="0" borderId="0" xfId="0" applyNumberFormat="1" applyBorder="1" applyAlignment="1">
      <alignment horizontal="center"/>
    </xf>
    <xf numFmtId="0" fontId="24" fillId="3" borderId="8" xfId="0" applyFont="1" applyFill="1" applyBorder="1" applyAlignment="1" applyProtection="1">
      <alignment horizontal="center"/>
    </xf>
    <xf numFmtId="0" fontId="24" fillId="0" borderId="0" xfId="0" applyFont="1" applyFill="1" applyBorder="1" applyAlignment="1" applyProtection="1"/>
    <xf numFmtId="0" fontId="28" fillId="0" borderId="8" xfId="0" applyFont="1" applyFill="1" applyBorder="1" applyAlignment="1" applyProtection="1">
      <alignment horizontal="left"/>
    </xf>
    <xf numFmtId="0" fontId="7" fillId="3" borderId="8" xfId="0" applyFont="1" applyFill="1" applyBorder="1" applyAlignment="1" applyProtection="1">
      <alignment horizontal="center"/>
    </xf>
    <xf numFmtId="4" fontId="7" fillId="3" borderId="8" xfId="0" applyNumberFormat="1" applyFont="1" applyFill="1" applyBorder="1" applyAlignment="1" applyProtection="1">
      <alignment horizontal="center"/>
    </xf>
    <xf numFmtId="164" fontId="7" fillId="0" borderId="0" xfId="0" applyNumberFormat="1" applyFont="1" applyFill="1" applyBorder="1" applyAlignment="1" applyProtection="1">
      <alignment horizontal="center"/>
    </xf>
    <xf numFmtId="4" fontId="7" fillId="0" borderId="0" xfId="0" applyNumberFormat="1" applyFont="1" applyFill="1" applyBorder="1" applyAlignment="1" applyProtection="1">
      <alignment horizontal="center"/>
    </xf>
    <xf numFmtId="0" fontId="28"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24" fillId="3" borderId="16" xfId="0" applyFont="1" applyFill="1" applyBorder="1" applyAlignment="1" applyProtection="1">
      <alignment horizontal="center"/>
    </xf>
    <xf numFmtId="0" fontId="28" fillId="3" borderId="8" xfId="0" applyFont="1" applyFill="1" applyBorder="1" applyProtection="1">
      <protection locked="0"/>
    </xf>
    <xf numFmtId="0" fontId="28" fillId="0" borderId="0" xfId="0" applyFont="1" applyAlignment="1" applyProtection="1">
      <alignment horizontal="center"/>
      <protection locked="0"/>
    </xf>
    <xf numFmtId="0" fontId="27" fillId="0" borderId="0" xfId="0" applyFont="1" applyProtection="1">
      <protection locked="0"/>
    </xf>
    <xf numFmtId="0" fontId="14" fillId="0" borderId="8" xfId="0" applyFont="1" applyFill="1" applyBorder="1" applyAlignment="1" applyProtection="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0" xfId="0" applyAlignment="1">
      <alignment horizontal="center"/>
    </xf>
    <xf numFmtId="0" fontId="13" fillId="0" borderId="0" xfId="0" applyFont="1" applyFill="1" applyBorder="1" applyAlignment="1" applyProtection="1">
      <alignment horizontal="left"/>
    </xf>
    <xf numFmtId="0" fontId="44" fillId="0" borderId="0" xfId="0" applyFont="1" applyFill="1" applyBorder="1" applyAlignment="1" applyProtection="1">
      <alignment horizontal="left"/>
    </xf>
    <xf numFmtId="0" fontId="43" fillId="0" borderId="0" xfId="0" applyFont="1" applyAlignment="1">
      <alignment horizontal="left"/>
    </xf>
    <xf numFmtId="0" fontId="43" fillId="0" borderId="0" xfId="0" applyFont="1" applyAlignment="1">
      <alignment horizontal="left" vertical="center"/>
    </xf>
    <xf numFmtId="0" fontId="27" fillId="0" borderId="0" xfId="0" applyFont="1" applyAlignment="1" applyProtection="1">
      <alignment wrapText="1"/>
    </xf>
    <xf numFmtId="0" fontId="30" fillId="0" borderId="0" xfId="0" applyFont="1" applyAlignment="1" applyProtection="1">
      <alignment horizontal="center" wrapText="1"/>
    </xf>
    <xf numFmtId="0" fontId="30" fillId="0" borderId="0" xfId="0" applyFont="1" applyAlignment="1" applyProtection="1">
      <alignment horizontal="center" vertical="center" wrapText="1"/>
    </xf>
    <xf numFmtId="0" fontId="30" fillId="0" borderId="18" xfId="0" applyFont="1" applyBorder="1" applyAlignment="1" applyProtection="1">
      <alignment horizontal="center" vertical="center" wrapText="1"/>
    </xf>
    <xf numFmtId="0" fontId="13" fillId="0" borderId="8" xfId="0" applyFont="1" applyBorder="1" applyAlignment="1" applyProtection="1">
      <alignment horizontal="center"/>
    </xf>
    <xf numFmtId="0" fontId="34" fillId="0" borderId="8" xfId="0" applyFont="1" applyBorder="1" applyAlignment="1" applyProtection="1">
      <alignment horizontal="center"/>
    </xf>
    <xf numFmtId="0" fontId="20" fillId="0" borderId="0" xfId="0" applyFont="1" applyAlignment="1">
      <alignment horizontal="left"/>
    </xf>
    <xf numFmtId="0" fontId="20" fillId="0" borderId="0" xfId="0" applyFont="1" applyAlignment="1">
      <alignment horizontal="left" vertical="center"/>
    </xf>
    <xf numFmtId="0" fontId="0" fillId="0" borderId="0" xfId="0" applyAlignment="1">
      <alignment horizontal="center"/>
    </xf>
    <xf numFmtId="0" fontId="42" fillId="0" borderId="0" xfId="0" applyFont="1" applyAlignment="1" applyProtection="1">
      <alignment wrapText="1"/>
    </xf>
    <xf numFmtId="0" fontId="30" fillId="0" borderId="28" xfId="0" applyFont="1" applyBorder="1" applyAlignment="1" applyProtection="1"/>
    <xf numFmtId="0" fontId="30" fillId="0" borderId="28" xfId="0" applyFont="1" applyBorder="1" applyAlignment="1" applyProtection="1">
      <alignment horizontal="left"/>
    </xf>
    <xf numFmtId="0" fontId="20" fillId="0" borderId="0" xfId="0" applyFont="1" applyAlignment="1" applyProtection="1">
      <alignment vertical="center"/>
    </xf>
    <xf numFmtId="4" fontId="0" fillId="0" borderId="0" xfId="0" applyNumberFormat="1" applyAlignment="1" applyProtection="1">
      <alignment horizontal="center"/>
    </xf>
    <xf numFmtId="2" fontId="0" fillId="0" borderId="0" xfId="0" applyNumberFormat="1" applyBorder="1" applyAlignment="1" applyProtection="1">
      <alignment horizontal="right"/>
    </xf>
    <xf numFmtId="2" fontId="13" fillId="0" borderId="0" xfId="0" applyNumberFormat="1" applyFont="1" applyBorder="1" applyAlignment="1" applyProtection="1">
      <alignment horizontal="right"/>
    </xf>
    <xf numFmtId="2" fontId="13" fillId="0" borderId="0" xfId="0" applyNumberFormat="1" applyFont="1" applyFill="1" applyBorder="1" applyAlignment="1" applyProtection="1">
      <alignment horizontal="right"/>
    </xf>
    <xf numFmtId="0" fontId="28" fillId="0" borderId="8" xfId="0" applyFont="1" applyBorder="1" applyAlignment="1" applyProtection="1">
      <alignment horizontal="center"/>
    </xf>
    <xf numFmtId="0" fontId="25" fillId="0" borderId="0" xfId="0" applyFont="1" applyBorder="1" applyAlignment="1" applyProtection="1">
      <alignment horizontal="center" wrapText="1"/>
    </xf>
    <xf numFmtId="0" fontId="25" fillId="0" borderId="18" xfId="0" applyFont="1" applyBorder="1" applyAlignment="1" applyProtection="1">
      <alignment horizontal="center" wrapText="1"/>
    </xf>
    <xf numFmtId="0" fontId="25" fillId="0" borderId="0" xfId="0" applyFont="1" applyAlignment="1" applyProtection="1">
      <alignment horizontal="center" wrapText="1"/>
    </xf>
    <xf numFmtId="0" fontId="20" fillId="0" borderId="0" xfId="0" applyFont="1" applyAlignment="1" applyProtection="1">
      <alignment horizontal="left" vertical="center"/>
    </xf>
    <xf numFmtId="0" fontId="30" fillId="0" borderId="0" xfId="0" applyFont="1" applyAlignment="1" applyProtection="1">
      <alignment horizontal="center"/>
    </xf>
    <xf numFmtId="0" fontId="30" fillId="0" borderId="0" xfId="0" applyFont="1" applyAlignment="1" applyProtection="1">
      <alignment horizontal="center" vertical="center" wrapText="1"/>
    </xf>
    <xf numFmtId="0" fontId="30" fillId="0" borderId="28" xfId="0" applyFont="1" applyBorder="1" applyAlignment="1" applyProtection="1">
      <alignment horizontal="center"/>
    </xf>
    <xf numFmtId="0" fontId="30" fillId="0" borderId="0" xfId="0" applyFont="1" applyAlignment="1" applyProtection="1">
      <alignment horizontal="center" wrapText="1"/>
    </xf>
    <xf numFmtId="0" fontId="13" fillId="0" borderId="8" xfId="0" applyFont="1" applyBorder="1" applyAlignment="1" applyProtection="1">
      <alignment horizontal="center" vertical="center" wrapText="1"/>
    </xf>
    <xf numFmtId="0" fontId="13" fillId="0" borderId="13"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16" xfId="0" applyFont="1" applyBorder="1" applyAlignment="1" applyProtection="1">
      <alignment horizontal="center" wrapText="1"/>
    </xf>
    <xf numFmtId="0" fontId="13" fillId="0" borderId="17" xfId="0" applyFont="1" applyBorder="1" applyAlignment="1" applyProtection="1">
      <alignment horizontal="center" wrapText="1"/>
    </xf>
    <xf numFmtId="0" fontId="34" fillId="0" borderId="17" xfId="0" applyFont="1" applyBorder="1" applyAlignment="1" applyProtection="1">
      <alignment horizontal="center" wrapText="1"/>
    </xf>
    <xf numFmtId="0" fontId="34" fillId="0" borderId="8" xfId="0" applyFont="1" applyBorder="1" applyAlignment="1" applyProtection="1">
      <alignment horizontal="center" wrapText="1"/>
    </xf>
    <xf numFmtId="0" fontId="34" fillId="0" borderId="16" xfId="0" applyFont="1" applyBorder="1" applyAlignment="1" applyProtection="1">
      <alignment horizontal="center" wrapText="1"/>
    </xf>
    <xf numFmtId="0" fontId="30" fillId="0" borderId="8" xfId="0" applyFont="1" applyBorder="1" applyAlignment="1" applyProtection="1">
      <alignment horizontal="center" wrapText="1"/>
    </xf>
    <xf numFmtId="0" fontId="13" fillId="0" borderId="8" xfId="0" applyFont="1" applyBorder="1" applyAlignment="1" applyProtection="1">
      <alignment horizontal="center"/>
    </xf>
    <xf numFmtId="0" fontId="0" fillId="0" borderId="8" xfId="0" applyFill="1" applyBorder="1" applyAlignment="1" applyProtection="1">
      <alignment horizontal="right"/>
    </xf>
    <xf numFmtId="0" fontId="13" fillId="0" borderId="20" xfId="0" applyFont="1" applyBorder="1" applyAlignment="1" applyProtection="1">
      <alignment horizontal="center" wrapText="1"/>
    </xf>
    <xf numFmtId="49" fontId="2" fillId="0" borderId="10" xfId="0" applyNumberFormat="1"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20" fillId="0" borderId="0" xfId="0" applyFont="1" applyAlignment="1">
      <alignment vertical="center"/>
    </xf>
    <xf numFmtId="0" fontId="0" fillId="0" borderId="23" xfId="0" applyBorder="1" applyAlignment="1"/>
    <xf numFmtId="0" fontId="0" fillId="0" borderId="24" xfId="0" applyBorder="1" applyAlignment="1"/>
    <xf numFmtId="0" fontId="0" fillId="0" borderId="25" xfId="0" applyBorder="1" applyAlignment="1"/>
    <xf numFmtId="0" fontId="0" fillId="0" borderId="0" xfId="0" applyAlignment="1"/>
    <xf numFmtId="0" fontId="20" fillId="0" borderId="0" xfId="0" applyFont="1" applyAlignment="1">
      <alignment horizontal="center" vertical="center"/>
    </xf>
    <xf numFmtId="0" fontId="32" fillId="0" borderId="18" xfId="0" applyFont="1" applyBorder="1" applyAlignment="1" applyProtection="1"/>
    <xf numFmtId="0" fontId="20" fillId="0" borderId="0" xfId="0" applyFont="1" applyAlignment="1"/>
    <xf numFmtId="2" fontId="0" fillId="0" borderId="15" xfId="0" applyNumberFormat="1" applyFill="1" applyBorder="1" applyAlignment="1" applyProtection="1">
      <alignment horizontal="center"/>
    </xf>
    <xf numFmtId="0" fontId="0" fillId="0" borderId="0" xfId="0" applyBorder="1"/>
    <xf numFmtId="0" fontId="32" fillId="0" borderId="14" xfId="0" applyFont="1" applyFill="1" applyBorder="1" applyAlignment="1" applyProtection="1"/>
    <xf numFmtId="0" fontId="32" fillId="0" borderId="18" xfId="0" applyFont="1" applyFill="1" applyBorder="1" applyAlignment="1" applyProtection="1"/>
    <xf numFmtId="0" fontId="0" fillId="0" borderId="16" xfId="0" applyBorder="1"/>
    <xf numFmtId="0" fontId="32" fillId="0" borderId="0" xfId="0" applyFont="1" applyFill="1" applyBorder="1" applyAlignment="1" applyProtection="1"/>
    <xf numFmtId="0" fontId="0" fillId="0" borderId="0" xfId="0" applyFill="1" applyBorder="1" applyAlignment="1" applyProtection="1">
      <alignment horizontal="right"/>
    </xf>
    <xf numFmtId="0" fontId="26" fillId="0" borderId="0" xfId="0" applyFont="1" applyBorder="1" applyAlignment="1" applyProtection="1"/>
    <xf numFmtId="0" fontId="13" fillId="3" borderId="8" xfId="0" applyFont="1" applyFill="1" applyBorder="1" applyAlignment="1" applyProtection="1"/>
    <xf numFmtId="0" fontId="34" fillId="0" borderId="0" xfId="0" applyFont="1" applyBorder="1" applyAlignment="1" applyProtection="1">
      <alignment horizontal="center" wrapText="1"/>
    </xf>
    <xf numFmtId="0" fontId="6" fillId="0" borderId="8" xfId="0" applyFont="1" applyFill="1" applyBorder="1" applyAlignment="1" applyProtection="1">
      <alignment horizontal="center" wrapText="1"/>
    </xf>
    <xf numFmtId="0" fontId="0" fillId="0" borderId="13" xfId="0" applyBorder="1" applyAlignment="1" applyProtection="1"/>
    <xf numFmtId="0" fontId="0" fillId="0" borderId="8" xfId="0" applyBorder="1" applyAlignment="1" applyProtection="1"/>
    <xf numFmtId="0" fontId="13" fillId="0" borderId="16" xfId="0" applyFont="1" applyBorder="1" applyAlignment="1" applyProtection="1">
      <alignment horizontal="center" vertical="center" wrapText="1"/>
    </xf>
    <xf numFmtId="0" fontId="13" fillId="3" borderId="10" xfId="0" applyFont="1" applyFill="1" applyBorder="1" applyAlignment="1" applyProtection="1"/>
    <xf numFmtId="0" fontId="13" fillId="3" borderId="0" xfId="0" applyFont="1" applyFill="1" applyBorder="1" applyAlignment="1" applyProtection="1"/>
    <xf numFmtId="0" fontId="31" fillId="0" borderId="0" xfId="0" applyFont="1" applyFill="1" applyBorder="1" applyAlignment="1" applyProtection="1"/>
    <xf numFmtId="0" fontId="31" fillId="0" borderId="0" xfId="0" applyFont="1" applyFill="1" applyBorder="1" applyAlignment="1" applyProtection="1">
      <alignment horizontal="right"/>
    </xf>
    <xf numFmtId="0" fontId="27" fillId="3" borderId="8" xfId="0" applyFont="1" applyFill="1" applyBorder="1" applyAlignment="1" applyProtection="1"/>
    <xf numFmtId="0" fontId="40" fillId="0" borderId="28" xfId="0" applyFont="1" applyFill="1" applyBorder="1" applyAlignment="1" applyProtection="1">
      <alignment wrapText="1"/>
    </xf>
    <xf numFmtId="0" fontId="40" fillId="0" borderId="0" xfId="0" applyFont="1" applyFill="1" applyBorder="1" applyAlignment="1" applyProtection="1">
      <alignment wrapText="1"/>
    </xf>
    <xf numFmtId="0" fontId="40" fillId="0" borderId="28" xfId="0" applyFont="1" applyFill="1" applyBorder="1" applyAlignment="1" applyProtection="1"/>
    <xf numFmtId="0" fontId="40" fillId="0" borderId="0" xfId="0" applyFont="1" applyFill="1" applyBorder="1" applyAlignment="1" applyProtection="1"/>
    <xf numFmtId="0" fontId="27" fillId="0" borderId="0" xfId="0" applyFont="1" applyAlignment="1" applyProtection="1">
      <alignment horizontal="center"/>
    </xf>
    <xf numFmtId="0" fontId="42" fillId="0" borderId="0" xfId="0" applyFont="1" applyAlignment="1" applyProtection="1">
      <alignment horizontal="center" wrapText="1"/>
    </xf>
    <xf numFmtId="0" fontId="28" fillId="0" borderId="0" xfId="0" applyFont="1" applyBorder="1" applyProtection="1"/>
    <xf numFmtId="2" fontId="28" fillId="0" borderId="0" xfId="0" applyNumberFormat="1" applyFont="1" applyBorder="1" applyAlignment="1" applyProtection="1">
      <alignment horizontal="center"/>
    </xf>
    <xf numFmtId="170" fontId="28" fillId="0" borderId="0" xfId="0" applyNumberFormat="1" applyFont="1" applyFill="1" applyBorder="1" applyAlignment="1" applyProtection="1">
      <alignment horizontal="center"/>
    </xf>
    <xf numFmtId="0" fontId="41" fillId="0" borderId="14" xfId="0" applyFont="1" applyBorder="1" applyAlignment="1" applyProtection="1"/>
    <xf numFmtId="0" fontId="41" fillId="0" borderId="16" xfId="0" applyFont="1" applyBorder="1" applyAlignment="1" applyProtection="1"/>
    <xf numFmtId="0" fontId="41" fillId="0" borderId="17" xfId="0" applyFont="1" applyBorder="1" applyAlignment="1" applyProtection="1"/>
    <xf numFmtId="0" fontId="28" fillId="0" borderId="8" xfId="0" applyFont="1" applyBorder="1" applyAlignment="1" applyProtection="1"/>
    <xf numFmtId="0" fontId="28" fillId="0" borderId="16" xfId="0" applyFont="1" applyBorder="1" applyAlignment="1" applyProtection="1">
      <alignment horizontal="center"/>
    </xf>
    <xf numFmtId="0" fontId="28" fillId="0" borderId="0" xfId="0" applyFont="1" applyBorder="1" applyAlignment="1" applyProtection="1">
      <alignment horizontal="center"/>
    </xf>
    <xf numFmtId="0" fontId="24" fillId="0" borderId="0" xfId="0" applyFont="1" applyAlignment="1" applyProtection="1">
      <alignment horizontal="center"/>
    </xf>
    <xf numFmtId="0" fontId="41" fillId="0" borderId="16" xfId="0" applyFont="1" applyBorder="1" applyProtection="1"/>
    <xf numFmtId="0" fontId="27" fillId="0" borderId="14" xfId="0" applyFont="1" applyBorder="1" applyProtection="1"/>
    <xf numFmtId="0" fontId="28" fillId="0" borderId="14" xfId="0" applyFont="1" applyBorder="1" applyAlignment="1" applyProtection="1">
      <alignment horizontal="center"/>
    </xf>
    <xf numFmtId="0" fontId="28" fillId="0" borderId="17" xfId="0" applyFont="1" applyBorder="1" applyAlignment="1" applyProtection="1">
      <alignment horizontal="center"/>
    </xf>
    <xf numFmtId="0" fontId="20" fillId="0" borderId="0" xfId="0" applyFont="1" applyAlignment="1" applyProtection="1"/>
    <xf numFmtId="0" fontId="24" fillId="3" borderId="16" xfId="0" applyFont="1" applyFill="1" applyBorder="1" applyAlignment="1" applyProtection="1">
      <protection locked="0"/>
    </xf>
    <xf numFmtId="0" fontId="24" fillId="3" borderId="14" xfId="0" applyFont="1" applyFill="1" applyBorder="1" applyAlignment="1" applyProtection="1">
      <protection locked="0"/>
    </xf>
    <xf numFmtId="0" fontId="24" fillId="3" borderId="17" xfId="0" applyFont="1" applyFill="1" applyBorder="1" applyAlignment="1" applyProtection="1">
      <protection locked="0"/>
    </xf>
    <xf numFmtId="0" fontId="2" fillId="0" borderId="8" xfId="0" applyFont="1" applyBorder="1" applyAlignment="1" applyProtection="1"/>
    <xf numFmtId="0" fontId="2" fillId="0" borderId="16" xfId="0" applyFont="1" applyBorder="1" applyAlignment="1" applyProtection="1">
      <alignment horizontal="left"/>
    </xf>
    <xf numFmtId="0" fontId="24" fillId="3" borderId="28" xfId="0" applyFont="1" applyFill="1" applyBorder="1" applyAlignment="1" applyProtection="1">
      <protection locked="0"/>
    </xf>
    <xf numFmtId="0" fontId="24" fillId="3" borderId="22" xfId="0" applyFont="1" applyFill="1" applyBorder="1" applyAlignment="1" applyProtection="1">
      <protection locked="0"/>
    </xf>
    <xf numFmtId="0" fontId="24" fillId="3" borderId="29" xfId="0" applyFont="1" applyFill="1" applyBorder="1" applyAlignment="1" applyProtection="1">
      <protection locked="0"/>
    </xf>
    <xf numFmtId="0" fontId="24" fillId="0" borderId="15" xfId="0" applyFont="1" applyBorder="1" applyAlignment="1" applyProtection="1">
      <alignment horizontal="center"/>
    </xf>
    <xf numFmtId="0" fontId="24" fillId="3" borderId="15" xfId="0" applyFont="1" applyFill="1" applyBorder="1" applyAlignment="1" applyProtection="1">
      <alignment horizontal="center"/>
      <protection locked="0"/>
    </xf>
    <xf numFmtId="0" fontId="24" fillId="0" borderId="15" xfId="0" applyFont="1" applyFill="1" applyBorder="1" applyAlignment="1" applyProtection="1">
      <alignment horizontal="center"/>
    </xf>
    <xf numFmtId="0" fontId="24" fillId="3" borderId="15" xfId="0" applyFont="1" applyFill="1" applyBorder="1" applyAlignment="1" applyProtection="1">
      <alignment horizontal="left"/>
      <protection locked="0"/>
    </xf>
    <xf numFmtId="0" fontId="2" fillId="0" borderId="16" xfId="0" applyFont="1" applyFill="1" applyBorder="1" applyAlignment="1" applyProtection="1">
      <alignment horizontal="left"/>
    </xf>
    <xf numFmtId="0" fontId="2" fillId="0" borderId="13" xfId="0" applyFont="1" applyBorder="1" applyAlignment="1" applyProtection="1">
      <alignment horizontal="center"/>
    </xf>
    <xf numFmtId="0" fontId="24" fillId="3" borderId="20" xfId="0" applyFont="1" applyFill="1" applyBorder="1" applyAlignment="1" applyProtection="1">
      <protection locked="0"/>
    </xf>
    <xf numFmtId="0" fontId="22" fillId="0" borderId="0" xfId="0" applyFont="1" applyBorder="1" applyAlignment="1" applyProtection="1">
      <alignment wrapText="1"/>
    </xf>
    <xf numFmtId="0" fontId="24" fillId="3" borderId="18" xfId="0" applyFont="1" applyFill="1" applyBorder="1" applyAlignment="1" applyProtection="1">
      <protection locked="0"/>
    </xf>
    <xf numFmtId="0" fontId="24" fillId="0" borderId="14" xfId="0" applyFont="1" applyBorder="1" applyAlignment="1" applyProtection="1"/>
    <xf numFmtId="0" fontId="24" fillId="3" borderId="11" xfId="0" applyFont="1" applyFill="1" applyBorder="1" applyAlignment="1" applyProtection="1">
      <protection locked="0"/>
    </xf>
    <xf numFmtId="0" fontId="0" fillId="3" borderId="17" xfId="0" applyFill="1" applyBorder="1" applyProtection="1"/>
    <xf numFmtId="0" fontId="24" fillId="3" borderId="17" xfId="0" applyFont="1" applyFill="1" applyBorder="1" applyAlignment="1" applyProtection="1">
      <alignment horizontal="right"/>
      <protection locked="0"/>
    </xf>
    <xf numFmtId="0" fontId="0" fillId="3" borderId="16" xfId="0" applyFill="1" applyBorder="1" applyProtection="1"/>
    <xf numFmtId="0" fontId="27" fillId="0" borderId="0" xfId="0" applyFont="1" applyFill="1" applyBorder="1" applyAlignment="1" applyProtection="1">
      <alignment horizontal="center"/>
      <protection locked="0"/>
    </xf>
    <xf numFmtId="0" fontId="24" fillId="0" borderId="0" xfId="0" applyFont="1" applyFill="1" applyBorder="1" applyAlignment="1" applyProtection="1">
      <alignment horizontal="center"/>
      <protection locked="0"/>
    </xf>
    <xf numFmtId="0" fontId="28" fillId="0" borderId="12" xfId="0" applyFont="1" applyFill="1" applyBorder="1" applyAlignment="1" applyProtection="1">
      <alignment horizontal="center" wrapText="1"/>
    </xf>
  </cellXfs>
  <cellStyles count="4">
    <cellStyle name="Normal" xfId="0" builtinId="0"/>
    <cellStyle name="Normal 2" xfId="1" xr:uid="{00000000-0005-0000-0000-000001000000}"/>
    <cellStyle name="Normal 3" xfId="3" xr:uid="{00000000-0005-0000-0000-000002000000}"/>
    <cellStyle name="Percent 2" xfId="2" xr:uid="{00000000-0005-0000-0000-000003000000}"/>
  </cellStyles>
  <dxfs count="490">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page\AppData\Local\Microsoft\Windows\Temporary%20Internet%20Files\Content.Outlook\3GJFH37O\Stationary%20Asphal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Information"/>
      <sheetName val="Facility Processes"/>
      <sheetName val="Permitted Diesel Engines"/>
      <sheetName val="Emission Calculations"/>
      <sheetName val="Facility Wide Emissions"/>
      <sheetName val="Emission Factors"/>
    </sheetNames>
    <sheetDataSet>
      <sheetData sheetId="0"/>
      <sheetData sheetId="1"/>
      <sheetData sheetId="2"/>
      <sheetData sheetId="3"/>
      <sheetData sheetId="4"/>
      <sheetData sheetId="5">
        <row r="5">
          <cell r="A5" t="str">
            <v>Batch Mix Plant - Fuel Oil</v>
          </cell>
          <cell r="D5" t="str">
            <v>AP-42 Table 11.1-2, 5, 6, 9</v>
          </cell>
        </row>
        <row r="6">
          <cell r="A6" t="str">
            <v>Batch Mix Plant - Natural Gas</v>
          </cell>
          <cell r="D6" t="str">
            <v>AP-42 Table 11.1-2, 5, 6, 9</v>
          </cell>
        </row>
        <row r="7">
          <cell r="A7" t="str">
            <v>Batch Mix Plant - Waste Oil</v>
          </cell>
          <cell r="D7" t="str">
            <v>AP-42 Table 11.1-2, 5, 6, 9</v>
          </cell>
        </row>
        <row r="8">
          <cell r="A8" t="str">
            <v xml:space="preserve">Drum Mix Plant - Fuel Oil </v>
          </cell>
          <cell r="D8" t="str">
            <v>AP-42 Table 11.1-4, 7, 8, 10</v>
          </cell>
        </row>
        <row r="9">
          <cell r="A9" t="str">
            <v>Drum Mix Plant - Natural Gas</v>
          </cell>
          <cell r="D9" t="str">
            <v>AP-42 Table 11.1-4, 7, 8, 10, 12</v>
          </cell>
        </row>
        <row r="10">
          <cell r="A10" t="str">
            <v xml:space="preserve">Drum Mix Plant - Waste Oil </v>
          </cell>
          <cell r="D10" t="str">
            <v>AP-42 Table 11.1-4, 7, 8, 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tabSelected="1" zoomScaleNormal="100" workbookViewId="0"/>
  </sheetViews>
  <sheetFormatPr defaultRowHeight="15" x14ac:dyDescent="0.25"/>
  <cols>
    <col min="1" max="1" width="25.5703125" style="6" customWidth="1"/>
    <col min="2" max="2" width="14.42578125" style="6" customWidth="1"/>
    <col min="3" max="3" width="27" style="6" customWidth="1"/>
    <col min="4" max="4" width="15" style="6" customWidth="1"/>
    <col min="5" max="5" width="22.7109375" style="6" customWidth="1"/>
    <col min="6" max="6" width="14.7109375" style="6" customWidth="1"/>
    <col min="7" max="7" width="16.7109375" style="6" customWidth="1"/>
    <col min="8" max="8" width="14" style="6" customWidth="1"/>
    <col min="9" max="9" width="13.140625" style="6" customWidth="1"/>
    <col min="10" max="10" width="12.42578125" style="6" customWidth="1"/>
    <col min="11" max="11" width="3.7109375" style="6" hidden="1" customWidth="1"/>
    <col min="12" max="12" width="13.7109375" style="6" customWidth="1"/>
    <col min="13" max="13" width="11.7109375" style="6" customWidth="1"/>
    <col min="14" max="16384" width="9.140625" style="6"/>
  </cols>
  <sheetData>
    <row r="1" spans="1:13" ht="18.75" x14ac:dyDescent="0.3">
      <c r="A1" s="336" t="s">
        <v>272</v>
      </c>
      <c r="B1" s="336"/>
      <c r="C1" s="336"/>
      <c r="D1" s="140" t="s">
        <v>187</v>
      </c>
      <c r="G1" s="6" t="s">
        <v>296</v>
      </c>
    </row>
    <row r="2" spans="1:13" x14ac:dyDescent="0.25">
      <c r="A2" s="305" t="s">
        <v>76</v>
      </c>
      <c r="B2" s="305"/>
      <c r="G2" s="34" t="s">
        <v>323</v>
      </c>
    </row>
    <row r="3" spans="1:13" x14ac:dyDescent="0.25">
      <c r="A3" s="35"/>
    </row>
    <row r="4" spans="1:13" x14ac:dyDescent="0.25">
      <c r="A4" s="49" t="s">
        <v>91</v>
      </c>
      <c r="B4" s="337" t="s">
        <v>62</v>
      </c>
      <c r="C4" s="356"/>
      <c r="D4" s="354" t="s">
        <v>105</v>
      </c>
      <c r="E4" s="354"/>
      <c r="F4" s="358"/>
      <c r="G4" s="357"/>
      <c r="H4" s="35"/>
      <c r="I4" s="35"/>
      <c r="J4" s="35"/>
      <c r="K4" s="35"/>
      <c r="L4" s="35"/>
      <c r="M4" s="35"/>
    </row>
    <row r="5" spans="1:13" ht="15" customHeight="1" x14ac:dyDescent="0.25">
      <c r="A5" s="108" t="s">
        <v>92</v>
      </c>
      <c r="B5" s="355"/>
      <c r="C5" s="353"/>
      <c r="D5" s="338"/>
      <c r="E5" s="339"/>
      <c r="F5" s="50" t="s">
        <v>104</v>
      </c>
      <c r="G5" s="51"/>
      <c r="H5" s="35"/>
      <c r="I5" s="352"/>
      <c r="J5" s="352"/>
      <c r="K5" s="352"/>
      <c r="L5" s="352"/>
      <c r="M5" s="352"/>
    </row>
    <row r="6" spans="1:13" x14ac:dyDescent="0.25">
      <c r="A6" s="108" t="s">
        <v>93</v>
      </c>
      <c r="B6" s="351"/>
      <c r="C6" s="342"/>
      <c r="D6" s="342"/>
      <c r="E6" s="342"/>
      <c r="F6" s="342"/>
      <c r="G6" s="343"/>
      <c r="H6" s="39"/>
      <c r="I6" s="352"/>
      <c r="J6" s="352"/>
      <c r="K6" s="352"/>
      <c r="L6" s="352"/>
      <c r="M6" s="352"/>
    </row>
    <row r="7" spans="1:13" x14ac:dyDescent="0.25">
      <c r="A7" s="341" t="s">
        <v>94</v>
      </c>
      <c r="B7" s="337"/>
      <c r="C7" s="338"/>
      <c r="D7" s="338"/>
      <c r="E7" s="338"/>
      <c r="F7" s="338"/>
      <c r="G7" s="339"/>
      <c r="H7" s="35"/>
      <c r="I7" s="35"/>
      <c r="J7" s="35"/>
      <c r="K7" s="35"/>
      <c r="L7" s="35"/>
      <c r="M7" s="35"/>
    </row>
    <row r="8" spans="1:13" x14ac:dyDescent="0.25">
      <c r="A8" s="108" t="s">
        <v>95</v>
      </c>
      <c r="B8" s="355"/>
      <c r="C8" s="344"/>
      <c r="D8" s="345" t="s">
        <v>102</v>
      </c>
      <c r="E8" s="346"/>
      <c r="F8" s="347" t="s">
        <v>103</v>
      </c>
      <c r="G8" s="348"/>
      <c r="H8" s="35"/>
      <c r="I8" s="35"/>
      <c r="J8" s="35"/>
      <c r="K8" s="35"/>
      <c r="L8" s="35"/>
      <c r="M8" s="35"/>
    </row>
    <row r="9" spans="1:13" x14ac:dyDescent="0.25">
      <c r="A9" s="108" t="s">
        <v>96</v>
      </c>
      <c r="B9" s="351"/>
      <c r="C9" s="343"/>
      <c r="D9" s="350" t="s">
        <v>101</v>
      </c>
      <c r="E9" s="351"/>
      <c r="F9" s="342"/>
      <c r="G9" s="343"/>
      <c r="H9" s="35"/>
      <c r="J9" s="35"/>
      <c r="K9" s="35" t="s">
        <v>62</v>
      </c>
      <c r="L9" s="35"/>
      <c r="M9" s="35"/>
    </row>
    <row r="10" spans="1:13" x14ac:dyDescent="0.25">
      <c r="A10" s="349" t="s">
        <v>97</v>
      </c>
      <c r="B10" s="337"/>
      <c r="C10" s="338"/>
      <c r="D10" s="338"/>
      <c r="E10" s="338"/>
      <c r="F10" s="338"/>
      <c r="G10" s="339"/>
      <c r="H10" s="35"/>
      <c r="I10" s="35"/>
      <c r="J10" s="35"/>
      <c r="K10" s="35" t="s">
        <v>63</v>
      </c>
      <c r="L10" s="35"/>
      <c r="M10" s="35"/>
    </row>
    <row r="11" spans="1:13" x14ac:dyDescent="0.25">
      <c r="A11" s="349" t="s">
        <v>98</v>
      </c>
      <c r="B11" s="337"/>
      <c r="C11" s="338"/>
      <c r="D11" s="338"/>
      <c r="E11" s="338"/>
      <c r="F11" s="338"/>
      <c r="G11" s="339"/>
      <c r="H11" s="35"/>
      <c r="I11" s="35"/>
      <c r="J11" s="35"/>
      <c r="K11" s="35"/>
      <c r="L11" s="35"/>
      <c r="M11" s="35"/>
    </row>
    <row r="12" spans="1:13" x14ac:dyDescent="0.25">
      <c r="A12" s="349" t="s">
        <v>99</v>
      </c>
      <c r="B12" s="337"/>
      <c r="C12" s="338"/>
      <c r="D12" s="338"/>
      <c r="E12" s="338"/>
      <c r="F12" s="338"/>
      <c r="G12" s="339"/>
      <c r="H12" s="35"/>
      <c r="I12" s="35"/>
      <c r="J12" s="35"/>
      <c r="K12" s="35"/>
      <c r="L12" s="35"/>
      <c r="M12" s="35"/>
    </row>
    <row r="13" spans="1:13" x14ac:dyDescent="0.25">
      <c r="A13" s="108" t="s">
        <v>95</v>
      </c>
      <c r="B13" s="355"/>
      <c r="C13" s="344"/>
      <c r="D13" s="345" t="s">
        <v>102</v>
      </c>
      <c r="E13" s="346"/>
      <c r="F13" s="347" t="s">
        <v>103</v>
      </c>
      <c r="G13" s="348"/>
      <c r="H13" s="35"/>
      <c r="I13" s="35"/>
      <c r="J13" s="35"/>
      <c r="K13" s="35" t="s">
        <v>64</v>
      </c>
      <c r="L13" s="35"/>
      <c r="M13" s="35"/>
    </row>
    <row r="14" spans="1:13" x14ac:dyDescent="0.25">
      <c r="A14" s="54" t="s">
        <v>100</v>
      </c>
      <c r="B14" s="337"/>
      <c r="C14" s="339"/>
      <c r="D14" s="53" t="s">
        <v>101</v>
      </c>
      <c r="E14" s="337"/>
      <c r="F14" s="338"/>
      <c r="G14" s="339"/>
      <c r="H14" s="35"/>
      <c r="I14" s="35"/>
      <c r="J14" s="35"/>
      <c r="K14" s="35" t="s">
        <v>65</v>
      </c>
      <c r="L14" s="35"/>
      <c r="M14" s="35"/>
    </row>
    <row r="15" spans="1:13" x14ac:dyDescent="0.25">
      <c r="A15" s="55"/>
      <c r="B15" s="56"/>
      <c r="C15" s="56"/>
      <c r="D15" s="56"/>
      <c r="E15" s="57"/>
      <c r="F15" s="56"/>
      <c r="G15" s="56"/>
      <c r="H15" s="35"/>
      <c r="I15" s="35"/>
      <c r="J15" s="40"/>
      <c r="K15" s="40"/>
      <c r="L15" s="35"/>
      <c r="M15" s="35"/>
    </row>
    <row r="16" spans="1:13" x14ac:dyDescent="0.25">
      <c r="A16" s="58" t="s">
        <v>106</v>
      </c>
      <c r="B16" s="52">
        <v>2951</v>
      </c>
      <c r="C16" s="62"/>
      <c r="D16" s="56"/>
      <c r="E16" s="56"/>
      <c r="F16" s="56"/>
      <c r="G16" s="56"/>
      <c r="H16" s="35"/>
      <c r="I16" s="35"/>
      <c r="J16" s="35"/>
      <c r="K16" s="35"/>
      <c r="L16" s="35"/>
      <c r="M16" s="35"/>
    </row>
    <row r="17" spans="1:13" x14ac:dyDescent="0.25">
      <c r="A17" s="58" t="s">
        <v>107</v>
      </c>
      <c r="B17" s="52">
        <v>324121</v>
      </c>
      <c r="C17" s="62"/>
      <c r="D17" s="56"/>
      <c r="E17" s="56"/>
      <c r="F17" s="56"/>
      <c r="G17" s="56"/>
      <c r="H17" s="35"/>
      <c r="I17" s="35"/>
      <c r="J17" s="35"/>
      <c r="K17" s="35"/>
      <c r="L17" s="35"/>
      <c r="M17" s="35"/>
    </row>
    <row r="18" spans="1:13" x14ac:dyDescent="0.25">
      <c r="A18" s="58" t="s">
        <v>108</v>
      </c>
      <c r="B18" s="328" t="s">
        <v>194</v>
      </c>
      <c r="C18" s="328"/>
      <c r="D18" s="134"/>
      <c r="E18" s="56"/>
      <c r="F18" s="56"/>
      <c r="G18" s="56"/>
      <c r="H18" s="35"/>
      <c r="I18" s="35"/>
      <c r="J18" s="35"/>
      <c r="K18" s="35"/>
      <c r="L18" s="35"/>
      <c r="M18" s="35"/>
    </row>
    <row r="19" spans="1:13" x14ac:dyDescent="0.25">
      <c r="A19" s="59"/>
      <c r="B19" s="60"/>
      <c r="C19" s="56"/>
      <c r="D19" s="56"/>
      <c r="E19" s="56"/>
      <c r="F19" s="56"/>
      <c r="G19" s="56"/>
      <c r="H19" s="35"/>
      <c r="I19" s="35"/>
      <c r="J19" s="35"/>
      <c r="K19" s="35"/>
      <c r="L19" s="35"/>
      <c r="M19" s="35"/>
    </row>
    <row r="20" spans="1:13" x14ac:dyDescent="0.25">
      <c r="A20" s="340" t="s">
        <v>142</v>
      </c>
      <c r="B20" s="340"/>
      <c r="C20" s="148"/>
      <c r="D20" s="56"/>
      <c r="E20" s="56"/>
      <c r="F20" s="56"/>
      <c r="G20" s="56"/>
      <c r="H20" s="35"/>
      <c r="I20" s="35"/>
      <c r="J20" s="35"/>
      <c r="K20" s="35"/>
      <c r="L20" s="35"/>
      <c r="M20" s="35"/>
    </row>
    <row r="21" spans="1:13" x14ac:dyDescent="0.25">
      <c r="A21" s="87" t="str">
        <f>"Number of Plants Operated in "&amp;'Facility Information'!G5&amp;":"</f>
        <v>Number of Plants Operated in :</v>
      </c>
      <c r="B21" s="87"/>
      <c r="C21" s="148"/>
      <c r="D21" s="56"/>
      <c r="E21" s="56"/>
      <c r="F21" s="56"/>
      <c r="G21" s="56"/>
      <c r="H21" s="35"/>
      <c r="I21" s="35"/>
      <c r="J21" s="35"/>
      <c r="K21" s="35"/>
      <c r="L21" s="35"/>
      <c r="M21" s="35"/>
    </row>
    <row r="22" spans="1:13" x14ac:dyDescent="0.25">
      <c r="A22" s="64"/>
      <c r="B22" s="64"/>
      <c r="C22" s="56"/>
      <c r="D22" s="56"/>
      <c r="E22" s="56"/>
      <c r="F22" s="56"/>
      <c r="G22" s="56"/>
      <c r="H22" s="35"/>
      <c r="I22" s="35"/>
      <c r="J22" s="35"/>
      <c r="K22" s="35"/>
      <c r="L22" s="35"/>
      <c r="M22" s="35"/>
    </row>
    <row r="23" spans="1:13" x14ac:dyDescent="0.25">
      <c r="A23" s="15"/>
      <c r="B23" s="15"/>
      <c r="C23" s="15"/>
      <c r="D23" s="15"/>
      <c r="E23" s="15"/>
      <c r="F23" s="15"/>
      <c r="G23" s="38"/>
      <c r="H23" s="15"/>
      <c r="I23" s="36"/>
      <c r="J23" s="15"/>
    </row>
  </sheetData>
  <sheetProtection algorithmName="SHA-512" hashValue="Om2eOYHTqY0WHYKzyykBSrBQjBmw1dVwDcXYKZQJp0p1TDzQIcVAERaZRATF6PHozDPdSeJXK2gC9dT0LcNW3Q==" saltValue="DHX9J/TH/z8f2vcFuJd91g==" spinCount="100000" sheet="1" objects="1" scenarios="1"/>
  <dataConsolidate link="1"/>
  <dataValidations count="3">
    <dataValidation type="list" allowBlank="1" showInputMessage="1" showErrorMessage="1" sqref="K13:K14" xr:uid="{00000000-0002-0000-0000-000000000000}">
      <formula1>Employ</formula1>
    </dataValidation>
    <dataValidation type="list" allowBlank="1" showInputMessage="1" showErrorMessage="1" sqref="B4" xr:uid="{00000000-0002-0000-0000-000001000000}">
      <formula1>Submit</formula1>
    </dataValidation>
    <dataValidation type="list" allowBlank="1" showInputMessage="1" showErrorMessage="1" sqref="G4" xr:uid="{00000000-0002-0000-0000-000002000000}">
      <formula1>NoEmploy</formula1>
    </dataValidation>
  </dataValidations>
  <pageMargins left="0.25" right="0.25" top="0.75" bottom="0.75" header="0.3" footer="0.3"/>
  <pageSetup scale="95" orientation="landscape"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3.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191</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N3" s="242" t="s">
        <v>301</v>
      </c>
      <c r="P3" s="242" t="s">
        <v>299</v>
      </c>
    </row>
    <row r="4" spans="1:20" x14ac:dyDescent="0.2">
      <c r="B4" s="169" t="str">
        <f>"Number of Sites this Plant operated at in "&amp;'Facility Information'!G5&amp;":"</f>
        <v>Number of Sites this Plant operated at in :</v>
      </c>
      <c r="C4" s="148"/>
      <c r="E4" s="221"/>
      <c r="M4" s="263" t="s">
        <v>0</v>
      </c>
      <c r="N4" s="242" t="s">
        <v>302</v>
      </c>
      <c r="O4" s="242" t="s">
        <v>2</v>
      </c>
      <c r="P4" s="242" t="s">
        <v>300</v>
      </c>
      <c r="S4" s="250"/>
      <c r="T4" s="242" t="s">
        <v>2</v>
      </c>
    </row>
    <row r="5" spans="1:20" ht="14.25" customHeight="1" x14ac:dyDescent="0.2">
      <c r="B5" s="146" t="s">
        <v>195</v>
      </c>
      <c r="C5" s="73"/>
      <c r="E5" s="164"/>
      <c r="F5" s="113"/>
      <c r="M5" s="95" t="str">
        <f>$C$5 &amp; " - Fuel Oil"</f>
        <v xml:space="preserve"> - Fuel Oil</v>
      </c>
      <c r="N5" s="158">
        <f ca="1">MAX((IFERROR(OFFSET($G$21,MATCH(M5,$G$22,0),1),0)),((IFERROR(OFFSET($G$35,MATCH(M5,$G$36,0)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$21,MATCH(M5,$G$22,0),2),0)),((IFERROR(OFFSET($G$35,MATCH(M5,$G$36,0),2),0))),((IFERROR(OFFSET($G$51,MATCH(M5,$G$52,0),2),0))),((IFERROR(OFFSET($G$66,MATCH(M5,$G$67,0),2),0))),((IFERROR(OFFSET($G$81,MATCH(M5,$G$82,0),2),0))),((IFERROR(OFFSET($G$97,MATCH(M5,$G$98,0),2),0))),((IFERROR(OFFSET($G$112,MATCH(M5,$G$113,0),2),0))),((IFERROR(OFFSET($G$127,MATCH(M5,$G$128,0),2),0))),((IFERROR(OFFSET($G$142,MATCH(M5,$G$143,0),2),0))),((IFERROR(OFFSET($G$157,MATCH(M5,$G$158,0),2),0))))</f>
        <v>0</v>
      </c>
      <c r="R5" s="250" t="s">
        <v>297</v>
      </c>
      <c r="S5" s="250"/>
      <c r="T5" s="212" t="s">
        <v>138</v>
      </c>
    </row>
    <row r="6" spans="1:20" ht="14.25" customHeight="1" x14ac:dyDescent="0.2">
      <c r="B6" s="88"/>
      <c r="C6" s="88"/>
      <c r="D6" s="113"/>
      <c r="E6" s="113"/>
      <c r="F6" s="113"/>
      <c r="J6" s="160"/>
      <c r="K6" s="160"/>
      <c r="M6" s="95" t="str">
        <f>$C$5 &amp; " - Waste Oil"</f>
        <v xml:space="preserve"> - Waste Oil</v>
      </c>
      <c r="N6" s="158">
        <f ca="1">MAX((IFERROR(OFFSET($G$21,MATCH(M6,$G$22,0),1),0)),((IFERROR(OFFSET($G$35,MATCH(M6,$G$36,0)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$21,MATCH(M6,$G$22,0),2),0)),((IFERROR(OFFSET($G$35,MATCH(M6,$G$36,0),2),0))),((IFERROR(OFFSET($G$51,MATCH(M6,$G$52,0),2),0))),((IFERROR(OFFSET($G$66,MATCH(M6,$G$67,0),2),0))),((IFERROR(OFFSET($G$81,MATCH(M6,$G$82,0),2),0))),((IFERROR(OFFSET($G$97,MATCH(M6,$G$98,0),2),0))),((IFERROR(OFFSET($G$112,MATCH(M6,$G$113,0),2),0))),((IFERROR(OFFSET($G$127,MATCH(M6,$G$128,0),2),0))),((IFERROR(OFFSET($G$142,MATCH(M6,$G$143,0),2),0))),((IFERROR(OFFSET($G$157,MATCH(M6,$G$158,0),2),0))))</f>
        <v>0</v>
      </c>
      <c r="R6" s="241"/>
      <c r="S6" s="241"/>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$21,MATCH(M7,$G$22,0),1),0)),((IFERROR(OFFSET($G$35,MATCH(M7,$G$36,0)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$21,MATCH(M7,$G$22,0),2),0)),((IFERROR(OFFSET($G$35,MATCH(M7,$G$36,0)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MAX((IFERROR(OFFSET($G$23,MATCH("Fuel Oil Fired Heater",$G$24,0),1),0)),((IFERROR(OFFSET($G$37,MATCH("Fuel Oil Fired Heater",$G$38,0),1),0))),((IFERROR(OFFSET($G$53,MATCH("Fuel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SUM((IFERROR(OFFSET($G$23,MATCH("Fuel Oil Fired Heater",$G$24,0),2),0)),((IFERROR(OFFSET($G$37,MATCH("Fuel Oil Fired Heater",$G$38,0),2),0))),((IFERROR(OFFSET($G$53,MATCH("Fuel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MAX((IFERROR(OFFSET($G$23,MATCH("waste oil Fired Heater",$G$24,0),1),0)),((IFERROR(OFFSET($G$37,MATCH("waste oil Fired Heater",$G$38,0),1),0))),((IFERROR(OFFSET($G$53,MATCH("waste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SUM((IFERROR(OFFSET($G$23,MATCH("waste oil Fired Heater",$G$24,0),2),0)),((IFERROR(OFFSET($G$37,MATCH("waste oil Fired Heater",$G$38,0),2),0))),((IFERROR(OFFSET($G$53,MATCH("waste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MAX((IFERROR(OFFSET($G$23,MATCH("Natural Gas Fired Heater",$G$24,0),1),0)),((IFERROR(OFFSET($G$37,MATCH("Natural Gas Fired Heater",$G$38,0),1),0))),((IFERROR(OFFSET($G$53,MATCH("Natural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SUM((IFERROR(OFFSET($G$23,MATCH("Natural Gas Fired Heater",$G$24,0),2),0)),((IFERROR(OFFSET($G$37,MATCH("Natural Gas Fired Heater",$G$38,0),2),0))),((IFERROR(OFFSET($G$53,MATCH("Natural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MAX((IFERROR(OFFSET($G$25,MATCH("Silo Filling",$G$26,0),1),0)),((IFERROR(OFFSET($G$39,MATCH("Silo Filling",$G$40,0),1),0))),((IFERROR(OFFSET($G$55,MATCH("Silo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SUM((IFERROR(OFFSET($G$25,MATCH("Silo Filling",$G$26,0),2),0)),((IFERROR(OFFSET($G$39,MATCH("Silo Filling",$G$40,0),2),0))),((IFERROR(OFFSET($G$55,MATCH("Silo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MAX((IFERROR(OFFSET(G26,MATCH("Truck Loadout",G27,0),1),0)),((IFERROR(OFFSET(G40,MATCH("Truck Loadout",G41,0),1),0))),((IFERROR(OFFSET(G56,MATCH("Truck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SUM((IFERROR(OFFSET(G26,MATCH("Truck Loadout",G27,0),2),0)),((IFERROR(OFFSET(G40,MATCH("Truck Loadout",G41,0),2),0))),((IFERROR(OFFSET(G56,MATCH("Truck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6"/>
      <c r="D13" s="36"/>
      <c r="E13" s="69" t="s">
        <v>3</v>
      </c>
      <c r="F13" s="148"/>
      <c r="G13" s="148"/>
      <c r="M13" s="95" t="s">
        <v>251</v>
      </c>
      <c r="N13" s="158">
        <f ca="1">MAX((IFERROR(OFFSET(G27,MATCH("Cold Aggregate Bins",G28,0),1),0)),((IFERROR(OFFSET(G41,MATCH("Cold Aggregate Bins",G42,0),1),0))),((IFERROR(OFFSET(G57,MATCH("Cold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SUM((IFERROR(OFFSET(G27,MATCH("Cold Aggregate Bins",G28,0),2),0)),((IFERROR(OFFSET(G41,MATCH("Cold Aggregate Bins",G42,0),2),0))),((IFERROR(OFFSET(G57,MATCH("Cold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7"/>
      <c r="D14" s="36"/>
      <c r="E14" s="69" t="s">
        <v>26</v>
      </c>
      <c r="F14" s="148"/>
      <c r="G14" s="148"/>
      <c r="M14" s="78"/>
      <c r="N14" s="214" t="s">
        <v>273</v>
      </c>
      <c r="O14" s="251" t="s">
        <v>152</v>
      </c>
      <c r="P14" s="251"/>
    </row>
    <row r="15" spans="1:20" ht="14.25" customHeight="1" x14ac:dyDescent="0.25">
      <c r="A15" s="78" t="s">
        <v>201</v>
      </c>
      <c r="B15" s="319" t="s">
        <v>318</v>
      </c>
      <c r="C15" s="317"/>
      <c r="D15" s="36"/>
      <c r="E15" s="69" t="s">
        <v>5</v>
      </c>
      <c r="F15" s="148"/>
      <c r="G15" s="148"/>
      <c r="M15" s="95" t="s">
        <v>39</v>
      </c>
      <c r="N15" s="212">
        <f>SUM(G32,G46,G62,G77,G92,G108,G123,G138,G153,G168,)</f>
        <v>0</v>
      </c>
      <c r="O15" s="258">
        <f>SUM(H32*I32,H46*I46,H62*I62,H77*I77,H92*I92,H108*I108,H123*I123,H138*I138,H153*I153,H168*I168)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63" t="s">
        <v>298</v>
      </c>
    </row>
    <row r="19" spans="1:20" ht="28.5" customHeight="1" x14ac:dyDescent="0.25">
      <c r="B19" s="79" t="s">
        <v>193</v>
      </c>
      <c r="C19" s="80" t="s">
        <v>144</v>
      </c>
      <c r="E19" s="259" t="s">
        <v>1</v>
      </c>
      <c r="F19" s="259" t="s">
        <v>178</v>
      </c>
      <c r="G19" s="259" t="s">
        <v>140</v>
      </c>
      <c r="H19" s="259" t="s">
        <v>210</v>
      </c>
      <c r="I19" s="259" t="str">
        <f>('Facility Information'!G5&amp;" Annual Throughput")</f>
        <v xml:space="preserve"> Annual Throughput</v>
      </c>
      <c r="J19" s="162"/>
      <c r="K19" s="162"/>
      <c r="M19" s="94" t="s">
        <v>109</v>
      </c>
      <c r="N19" s="243" t="s">
        <v>141</v>
      </c>
      <c r="O19" s="243" t="s">
        <v>12</v>
      </c>
      <c r="P19" s="243" t="s">
        <v>2</v>
      </c>
      <c r="Q19" s="264" t="s">
        <v>146</v>
      </c>
      <c r="R19" s="264" t="s">
        <v>128</v>
      </c>
      <c r="S19" s="264" t="s">
        <v>13</v>
      </c>
      <c r="T19" s="244" t="s">
        <v>320</v>
      </c>
    </row>
    <row r="20" spans="1:20" ht="14.25" customHeight="1" x14ac:dyDescent="0.2">
      <c r="A20" s="78" t="s">
        <v>37</v>
      </c>
      <c r="B20" s="81"/>
      <c r="D20" s="56"/>
      <c r="E20" s="259"/>
      <c r="F20" s="259"/>
      <c r="H20" s="259"/>
      <c r="J20" s="163"/>
      <c r="K20" s="163"/>
      <c r="M20" s="95" t="str">
        <f>$C$5 &amp; " - Fuel Oil"</f>
        <v xml:space="preserve"> - Fuel Oil</v>
      </c>
      <c r="N20" s="111">
        <f ca="1">N5</f>
        <v>0</v>
      </c>
      <c r="O20" s="165">
        <f ca="1">IF(N20=0,0,IF(MAX((IFERROR(OFFSET($G$21,MATCH(M20,$G$22,0),3),0)),((IFERROR(OFFSET($G$35,MATCH(M20,$G$36,0),3),0))),((IFERROR(OFFSET($G$51,MATCH(M20,$G$52,0),3),0))),((IFERROR(OFFSET($G$66,MATCH(M20,$G$67,0),3),0))),((IFERROR(OFFSET($G$81,MATCH(M20,$G$82,0),3),0))),((IFERROR(OFFSET($G$97,MATCH(M20,$G$98,0),3),0))),((IFERROR(OFFSET($G$112,MATCH(M20,$G$113,0),3),0))),((IFERROR(OFFSET($G$127,MATCH(M20,$G$128,0),3),0))),((IFERROR(OFFSET($G$142,MATCH(M20,$G$143,0),3),0))),((IFERROR(OFFSET($G$157,MATCH(M20,$G$158,0),3),0))))=0,0,(MAX((IFERROR(OFFSET($G$21,MATCH(M20,$G$22,0),3),0)),((IFERROR(OFFSET($G$35,MATCH(M20,$G$36,0),3),0))),((IFERROR(OFFSET($G$51,MATCH(M20,$G$52,0),3),0))),((IFERROR(OFFSET($G$66,MATCH(M20,$G$67,0),3),0))),((IFERROR(OFFSET($G$81,MATCH(M20,$G$82,0),3),0))),((IFERROR(OFFSET($G$97,MATCH(M20,$G$98,0),3),0))),((IFERROR(OFFSET($G$112,MATCH(M20,$G$113,0),3),0))),((IFERROR(OFFSET($G$127,MATCH(M20,$G$128,0),3),0))),((IFERROR(OFFSET($G$142,MATCH(M20,$G$143,0),3),0))),((IFERROR(OFFSET($G$157,MATCH(M20,$G$158,0),3),0)))))))</f>
        <v>0</v>
      </c>
      <c r="P20" s="212" t="str">
        <f t="shared" ref="P20:P25" ca="1" si="0">IF(O20="","","lb/ton")</f>
        <v>lb/ton</v>
      </c>
      <c r="Q20" s="166" t="str">
        <f ca="1">IF(O20=0.27,N20*O20,IF(O20=1.54,N20*O20,""))</f>
        <v/>
      </c>
      <c r="R20" s="166" t="str">
        <f ca="1">IF(N20=0,"",IF(AND($F$11&gt;0,$O$20&gt;=$O$21,$O$20&gt;=$O$22),$F$11,IF(O20=0.0083,N20*O20,IF(O20=0.007,N20*O20,""))))</f>
        <v/>
      </c>
      <c r="S20" s="166">
        <f ca="1">IF(N20=0,0,IF($G$11&gt;0,$G$11,IF(AND(OR($C$10&gt;0,$C$11&gt;0,$C$12&gt;0),$O$20&gt;=$O$21,$O$20&gt;=$O$22),(IF($C$10&gt;0,$C$10*O20/2000,IF($C$11&gt;0,$C$11*365*O20/2000,IF($C$12&gt;0,$C$12*365*O20*N20/2000)))),IF(AND($F$11&gt;0,$O$20&gt;=$O$21,$O$20&gt;=$O$22),$F$11*8760/2000,IF(AND(OR($C$10="",$C$10=0),OR($C$11="",$C$11=0),OR($C$12="",$C$12=0),$F$11=""),IF(R20="",Q20*8760/2000,R20*8760/2000),"")))))</f>
        <v>0</v>
      </c>
      <c r="T20" s="166">
        <f ca="1">IF(N20="","",SUM((IFERROR(MATCH(M20,$G$22,0)*$I$22*$J$22/2000,0)),(IFERROR(MATCH(M20,$G$36,0)*$I$36*$J$36/2000,0)),(IFERROR(MATCH(M20,$G$52,0)*$I$52*$J$52/2000,0)),(IFERROR(MATCH(M20,$G$67,0)*$I$67*$J$67/2000,0)),(IFERROR(MATCH(M20,$G$82,0)*$I$82*$J$82/2000,0)),(IFERROR(MATCH(M20,$G$98,0)*$I$98*$J$98/2000,0)),(IFERROR(MATCH(M20,$G$113,0)*$I$113*$J$113/2000,0)),(IFERROR(MATCH(M20,$G$128,0)*$I$128*$J$128/2000,0)),(IFERROR(MATCH(M20,$G$143,0)*$I$143*$J$143/2000,0)),(IFERROR(MATCH(M20,$G$158,0)*$I$158*$J$158/2000,0))))</f>
        <v>0</v>
      </c>
    </row>
    <row r="21" spans="1:20" ht="14.25" customHeight="1" x14ac:dyDescent="0.2">
      <c r="A21" s="78" t="s">
        <v>38</v>
      </c>
      <c r="B21" s="82" t="s">
        <v>88</v>
      </c>
      <c r="C21" s="73"/>
      <c r="D21" s="56"/>
      <c r="E21" s="332" t="s">
        <v>205</v>
      </c>
      <c r="F21" s="333"/>
      <c r="G21" s="333"/>
      <c r="H21" s="334" t="s">
        <v>206</v>
      </c>
      <c r="I21" s="335" t="s">
        <v>208</v>
      </c>
      <c r="J21" s="163" t="s">
        <v>109</v>
      </c>
      <c r="K21" s="163" t="s">
        <v>16</v>
      </c>
      <c r="M21" s="95" t="str">
        <f>$C$5 &amp; " - Waste Oil"</f>
        <v xml:space="preserve"> - Waste Oil</v>
      </c>
      <c r="N21" s="111">
        <f ca="1">N6</f>
        <v>0</v>
      </c>
      <c r="O21" s="165">
        <f ca="1">IF(N21=0,0,IF(MAX((IFERROR(OFFSET($G$21,MATCH(M21,$G$22,0),3),0)),((IFERROR(OFFSET($G$35,MATCH(M21,$G$36,0),3),0))),((IFERROR(OFFSET($G$51,MATCH(M21,$G$52,0),3),0))),((IFERROR(OFFSET($G$66,MATCH(M21,$G$67,0),3),0))),((IFERROR(OFFSET($G$81,MATCH(M21,$G$82,0),3),0))),((IFERROR(OFFSET($G$97,MATCH(M21,$G$98,0),3),0))),((IFERROR(OFFSET($G$112,MATCH(M21,$G$113,0),3),0))),((IFERROR(OFFSET($G$127,MATCH(M21,$G$128,0),3),0))),((IFERROR(OFFSET($G$142,MATCH(M21,$G$143,0),3),0))),((IFERROR(OFFSET($G$157,MATCH(M21,$G$158,0),3),0))))=0,0,(MAX((IFERROR(OFFSET($G$21,MATCH(M21,$G$22,0),3),0)),((IFERROR(OFFSET($G$35,MATCH(M21,$G$36,0)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ca="1" si="0"/>
        <v>lb/ton</v>
      </c>
      <c r="Q21" s="166" t="str">
        <f ca="1">IF(O21=0.27,N21*O21,IF(O21=1.54,N21*O21,""))</f>
        <v/>
      </c>
      <c r="R21" s="166" t="str">
        <f ca="1">IF(N21=0,"",IF(AND($F$11&gt;0,$O$21&gt;$O$20,$O$21&gt;=$O$22),$F$11,IF(O21=0.0083,N21*O21,IF(O21=0.007,N21*O21,""))))</f>
        <v/>
      </c>
      <c r="S21" s="166">
        <f ca="1">IF(N21=0,0,IF($G$11&gt;0,IF(S20=0,G11,""),IF(AND(OR($C$10&gt;0,$C$11&gt;0,$C$12&gt;0),$O$21&gt;$O$20,$O$21&gt;=$O$22),(IF($C$10&gt;0,$C$10*O21/2000,IF($C$11&gt;0,$C$11*365*O21/2000,IF($C$12&gt;0,$C$12*365*O21*N21/2000)))),IF(AND($F$11&gt;0,$O$21&gt;$O$20,$O$21&gt;=$O$22),$F$11*8760/2000,IF(AND(OR($C$10="",$C$10=0),OR($C$11="",$C$11=0),OR($C$12="",$C$12=0),$F$11=""),IF(R21="",Q21*8760/2000,R21*8760/2000),"")))))</f>
        <v>0</v>
      </c>
      <c r="T21" s="166">
        <f ca="1">IF(N21="","",SUM((IFERROR(MATCH(M21,$G$22,0)*$I$22*$J$22/2000,0)),(IFERROR(MATCH(M21,$G$36,0)*$I$36*$J$36/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B22" s="82" t="s">
        <v>89</v>
      </c>
      <c r="C22" s="73"/>
      <c r="D22" s="56"/>
      <c r="E22" s="124" t="str">
        <f>IF($C$4&gt;0,"AP-1 EP-1","")</f>
        <v/>
      </c>
      <c r="F22" s="124" t="str">
        <f>IF($C$4&gt;0,"AP-1 EU-1","")</f>
        <v/>
      </c>
      <c r="G22" s="222" t="str">
        <f>IF(C24="","",C5 &amp; " - "&amp;C24)</f>
        <v/>
      </c>
      <c r="H22" s="72"/>
      <c r="I22" s="144"/>
      <c r="J22" s="225" t="str">
        <f>IF(C25="","",IF(C25="yes",LOOKUP(G22,'Emission Factors'!$A$12:$A$17,'Emission Factors'!$D$12:$D$17),LOOKUP(G22,'Emission Factors'!$A$5:$A$10,'Emission Factors'!$D$5:$D$10)))</f>
        <v/>
      </c>
      <c r="K22" s="225" t="str">
        <f>IF(C25="","",IF(C25="yes",LOOKUP(G22,'Emission Factors'!$A$12:$A$17,'Emission Factors'!$F$12:$F$17),LOOKUP(G22,'Emission Factors'!$A$5:$A$10,'Emission Factors'!$F$5:$F$10)))</f>
        <v/>
      </c>
      <c r="M22" s="95" t="str">
        <f>$C$5 &amp; " - Natural Gas"</f>
        <v xml:space="preserve"> - Natural Gas</v>
      </c>
      <c r="N22" s="111">
        <f ca="1">N7</f>
        <v>0</v>
      </c>
      <c r="O22" s="165">
        <f ca="1">IF(N22=0,0,IF(MAX((IFERROR(OFFSET($G$21,MATCH(M22,$G$22,0),3),0)),((IFERROR(OFFSET($G$35,MATCH(M22,$G$36,0),3),0))),((IFERROR(OFFSET($G$51,MATCH(M22,$G$52,0),3),0))),((IFERROR(OFFSET($G$66,MATCH(M22,$G$67,0),3),0))),((IFERROR(OFFSET($G$81,MATCH(M22,$G$82,0),3),0))),((IFERROR(OFFSET($G$97,MATCH(M22,$G$98,0),3),0))),((IFERROR(OFFSET($G$112,MATCH(M22,$G$113,0),3),0))),((IFERROR(OFFSET($G$127,MATCH(M22,$G$128,0),3),0))),((IFERROR(OFFSET($G$142,MATCH(M22,$G$143,0),3),0))),((IFERROR(OFFSET($G$157,MATCH(M22,$G$158,0),3),0))))=0,0,(MAX((IFERROR(OFFSET($G$21,MATCH(M22,$G$22,0),3),0)),((IFERROR(OFFSET($G$35,MATCH(M22,$G$36,0)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IF(N22=0,"",IF(AND($F$11&gt;0,$O$22&gt;$O$20,$O$22&gt;$O$20),$F$11,IF(O22=0.0083,N22*O22,IF(O22=0.007,N22*O22,""))))</f>
        <v/>
      </c>
      <c r="S22" s="166">
        <f ca="1">IF(N22=0,0,IF($G$11&gt;0,IF(AND(S20=0,S21=0),""),IF(AND(OR($C$10&gt;0,$C$11&gt;0,$C$12&gt;0),$O$22&gt;$O$20,$O$22&gt;$O$20),(IF($C$10&gt;0,$C$10*O22/2000,IF($C$11&gt;0,$C$11*365*O22/2000,IF($C$12&gt;0,$C$12*365*O22*N22/2000)))),IF(AND($F$11&gt;0,$O$22&gt;$O$20,$O$22&gt;$O$20),$F$11*8760/2000,IF(AND(OR($C$10="",$C$10=0),OR($C$11="",$C$11=0),OR($C$12="",$C$12=0),$F$11=""),IF(R22="",Q22*8760/2000,R22*8760/2000),"")))))</f>
        <v>0</v>
      </c>
      <c r="T22" s="166">
        <f ca="1">IF(N22="","",SUM((IFERROR(MATCH(M22,$G$22,0)*$I$22*$J$22/2000,0)),(IFERROR(MATCH(M22,$G$36,0)*$I$36*$J$36/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A23" s="154"/>
      <c r="B23" s="82" t="s">
        <v>192</v>
      </c>
      <c r="C23" s="73"/>
      <c r="D23" s="56"/>
      <c r="E23" s="152" t="s">
        <v>207</v>
      </c>
      <c r="H23" s="149" t="str">
        <f>IF(C24="natural gas", "(MMCF/hr)","(gallons/hr)")</f>
        <v>(gallons/hr)</v>
      </c>
      <c r="I23" s="149" t="str">
        <f>IF(C24="natural gas", "(MMCF/yr)","(gallons/yr)")</f>
        <v>(gallons/yr)</v>
      </c>
      <c r="K23" s="226"/>
      <c r="M23" s="95" t="s">
        <v>247</v>
      </c>
      <c r="N23" s="111">
        <f ca="1">N11</f>
        <v>0</v>
      </c>
      <c r="O23" s="165">
        <f ca="1">IF(N23=0,0,IF(N23=0,0,LOOKUP(M23,'Emission Factors'!$A$23:$A$25,'Emission Factors'!$D$23:$D$25)))</f>
        <v>0</v>
      </c>
      <c r="P23" s="212" t="str">
        <f t="shared" ca="1" si="0"/>
        <v>lb/ton</v>
      </c>
      <c r="Q23" s="166">
        <f ca="1">N23*O23</f>
        <v>0</v>
      </c>
      <c r="R23" s="167"/>
      <c r="S23" s="166">
        <f ca="1">IF($G$11&gt;0,"",IF($C$10&gt;0,$C$10*O23/2000,IF($C$11&gt;0,$C$11*365*O23/2000,IF($C$12&gt;0,$C$12*365*O23*N23/2000,IF($F$11&gt;0,"",IF(R23="",Q23*8760/2000,R23*8760/2000))))))</f>
        <v>0</v>
      </c>
      <c r="T23" s="166">
        <f ca="1">(P11*O23/2000)</f>
        <v>0</v>
      </c>
    </row>
    <row r="24" spans="1:20" ht="14.25" customHeight="1" x14ac:dyDescent="0.2">
      <c r="A24" s="155"/>
      <c r="B24" s="147" t="s">
        <v>198</v>
      </c>
      <c r="C24" s="230"/>
      <c r="D24" s="56"/>
      <c r="E24" s="124" t="str">
        <f>IF($C$4&gt;0,"AP-1 EP-2","")</f>
        <v/>
      </c>
      <c r="F24" s="124" t="str">
        <f>IF($C$4&gt;0,"AP-1 EU-2","")</f>
        <v/>
      </c>
      <c r="G24" s="222" t="str">
        <f>IF(C24="","",C24&amp; " Fired Heater")</f>
        <v/>
      </c>
      <c r="H24" s="72"/>
      <c r="I24" s="144"/>
      <c r="J24" s="163"/>
      <c r="K24" s="163"/>
      <c r="M24" s="95" t="s">
        <v>249</v>
      </c>
      <c r="N24" s="111">
        <f ca="1">N12</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(P12*O24/2000)</f>
        <v>0</v>
      </c>
    </row>
    <row r="25" spans="1:20" ht="14.25" customHeight="1" x14ac:dyDescent="0.2">
      <c r="A25" s="155"/>
      <c r="B25" s="83" t="s">
        <v>202</v>
      </c>
      <c r="C25" s="230"/>
      <c r="D25" s="56"/>
      <c r="E25" s="152" t="s">
        <v>209</v>
      </c>
      <c r="H25" s="149" t="s">
        <v>206</v>
      </c>
      <c r="I25" s="149" t="s">
        <v>208</v>
      </c>
      <c r="J25" s="226"/>
      <c r="K25" s="226"/>
      <c r="M25" s="95" t="s">
        <v>251</v>
      </c>
      <c r="N25" s="111">
        <f ca="1">N13</f>
        <v>0</v>
      </c>
      <c r="O25" s="165">
        <f ca="1">IF(N25=0,0,IF(N25=0,0,LOOKUP(M25,'Emission Factors'!A23:A25,'Emission Factors'!D23:D25)))</f>
        <v>0</v>
      </c>
      <c r="P25" s="212" t="str">
        <f t="shared" ca="1" si="0"/>
        <v>lb/ton</v>
      </c>
      <c r="Q25" s="166">
        <f ca="1">N25*O25</f>
        <v>0</v>
      </c>
      <c r="R25" s="166"/>
      <c r="S25" s="166">
        <f ca="1">IF($G$11&gt;0,"",IF($C$10&gt;0,$C$10*O25/2000,IF($C$11&gt;0,$C$11*365*O25/2000,IF($C$12&gt;0,$C$12*365*O25*N25/2000,IF($F$11&gt;0,"",IF(R25="",Q25*8760/2000,R25*8760/2000))))))</f>
        <v>0</v>
      </c>
      <c r="T25" s="166">
        <f ca="1">(P13*O25/2000)</f>
        <v>0</v>
      </c>
    </row>
    <row r="26" spans="1:20" ht="14.25" customHeight="1" x14ac:dyDescent="0.2">
      <c r="A26" s="155"/>
      <c r="D26" s="56"/>
      <c r="E26" s="124" t="str">
        <f>IF($C$4&gt;0,"AP-1 EP-3","")</f>
        <v/>
      </c>
      <c r="F26" s="124" t="str">
        <f>IF($C$4&gt;0,"AP-1 EU-3","")</f>
        <v/>
      </c>
      <c r="G26" s="222" t="str">
        <f>IF(C5="","","Silo Filling")</f>
        <v/>
      </c>
      <c r="H26" s="72"/>
      <c r="I26" s="144"/>
      <c r="J26" s="226"/>
      <c r="K26" s="226"/>
      <c r="M26" s="94" t="s">
        <v>16</v>
      </c>
      <c r="Q26" s="172"/>
    </row>
    <row r="27" spans="1:20" ht="14.25" customHeight="1" x14ac:dyDescent="0.2">
      <c r="A27" s="155"/>
      <c r="B27" s="83"/>
      <c r="D27" s="56"/>
      <c r="E27" s="124" t="str">
        <f>IF($C$4&gt;0,"AP-1 EP-3","")</f>
        <v/>
      </c>
      <c r="F27" s="124" t="str">
        <f>IF($C$4&gt;0,"AP-1 EU-4","")</f>
        <v/>
      </c>
      <c r="G27" s="222" t="str">
        <f>IF(C5="","","Truck Loadout")</f>
        <v/>
      </c>
      <c r="H27" s="72"/>
      <c r="I27" s="144"/>
      <c r="J27" s="226"/>
      <c r="K27" s="226"/>
      <c r="M27" s="95" t="str">
        <f>$C$5 &amp; " - Fuel Oil"</f>
        <v xml:space="preserve"> - Fuel Oil</v>
      </c>
      <c r="N27" s="111">
        <f ca="1">N5</f>
        <v>0</v>
      </c>
      <c r="O27" s="165">
        <f ca="1">IF(N27=0,0,IF(MAX((IFERROR(OFFSET($G$21,MATCH(M27,$G$22,0),4),0)),((IFERROR(OFFSET($G$35,MATCH(M27,$G$36,0),4),0))),((IFERROR(OFFSET($G$51,MATCH(M27,$G$52,0),4),0))),((IFERROR(OFFSET($G$66,MATCH(M27,$G$67,0),4),0))),((IFERROR(OFFSET($G$81,MATCH(M27,$G$82,0),3),0))),((IFERROR(OFFSET($G$97,MATCH(M27,$G$98,0),4),0))),((IFERROR(OFFSET($G$112,MATCH(M27,$G$113,0),4),0))),((IFERROR(OFFSET($G$127,MATCH(M27,$G$128,0),4),0))),((IFERROR(OFFSET($G$142,MATCH(M27,$G$143,0),4),0))),((IFERROR(OFFSET($G$157,MATCH(M27,$G$158,0),4),0))))=0,0,(MAX((IFERROR(OFFSET($G$21,MATCH(M27,$G$22,0),4),0)),((IFERROR(OFFSET($G$35,MATCH(M27,$G$36,0),4),0))),((IFERROR(OFFSET($G$51,MATCH(M27,$G$52,0),4),0))),((IFERROR(OFFSET($G$66,MATCH(M27,$G$67,0),4),0))),((IFERROR(OFFSET($G$81,MATCH(M27,$G$82,0),4),0))),((IFERROR(OFFSET($G$97,MATCH(M27,$G$98,0),4),0))),((IFERROR(OFFSET($G$112,MATCH(M27,$G$113,0),4),0))),((IFERROR(OFFSET($G$127,MATCH(M27,$G$128,0),4),0))),((IFERROR(OFFSET($G$142,MATCH(M27,$G$143,0),4),0))),((IFERROR(OFFSET($G$157,MATCH(M27,$G$158,0),4),0)))))))</f>
        <v>0</v>
      </c>
      <c r="P27" s="212" t="str">
        <f t="shared" ref="P27:P32" ca="1" si="1">IF(O27="","","lb/ton")</f>
        <v>lb/ton</v>
      </c>
      <c r="Q27" s="166" t="str">
        <f ca="1">IF(O27=4.5,N27*O27,IF(O27=6.5,N27*O27,""))</f>
        <v/>
      </c>
      <c r="R27" s="166" t="str">
        <f ca="1">IF(N27=0,"",IF(AND($F$12&gt;0,$O$27&gt;=$O$28,$O$27&gt;=$O$29),$F$12,IF(O27=0.0098,N27*O27,IF(O27=0.023,N27*O27,""))))</f>
        <v/>
      </c>
      <c r="S27" s="166">
        <f ca="1">IF(N27=0,0,IF($G$12&gt;0,$G$12,IF(AND(OR($C$10&gt;0,$C$11&gt;0,$C$12&gt;0),$O$27&gt;=$O$28,$O$27&gt;=$O$29),(IF($C$10&gt;0,$C$10*O27/2000,IF($C$11&gt;0,$C$11*365*O27/2000,IF($C$12&gt;0,$C$12*365*O27*N27/2000)))),IF(AND($F$12&gt;0,$O$27&gt;=$O$28,$O$27&gt;=$O$29),$F$12*8760/2000,IF(AND(OR($C$10="",$C$10=0),OR($C$11="",$C$11=0),OR($C$12="",$C$12=0),$F$12=""),IF(R27="",Q27*8760/2000,R27*8760/2000),"")))))</f>
        <v>0</v>
      </c>
      <c r="T27" s="166">
        <f ca="1">IF(N27="","",SUM((IFERROR(MATCH(M27,$G$22,0)*$I$22*$K$22/2000,0)),(IFERROR(MATCH(M27,$G$36,0)*$I$36*$K$36/2000,0)),(IFERROR(MATCH(M27,$G$52,0)*$I$52*$K$52/2000,0)),(IFERROR(MATCH(M27,$G$67,0)*$I$67*$K$67/2000,0)),(IFERROR(MATCH(M27,$G$82,0)*$I$82*$K$82/2000,0)),(IFERROR(MATCH(M27,$G$98,0)*$I$98*$K$98/2000,0)),(IFERROR(MATCH(M27,$G$113,0)*$I$113*$K$113/2000,0)),(IFERROR(MATCH(M27,$G$128,0)*$I$128*$K$128/2000,0)),(IFERROR(MATCH(M27,$G$143,0)*$I$143*$K$143/2000,0)),(IFERROR(MATCH(M27,$G$158,0)*$I$158*$K$158/2000,0))))</f>
        <v>0</v>
      </c>
    </row>
    <row r="28" spans="1:20" ht="14.25" customHeight="1" x14ac:dyDescent="0.2">
      <c r="A28" s="155"/>
      <c r="B28" s="83"/>
      <c r="D28" s="56"/>
      <c r="E28" s="124" t="str">
        <f>IF($C$4&gt;0,"AP-1 EP-3","")</f>
        <v/>
      </c>
      <c r="F28" s="124" t="str">
        <f>IF($C$4&gt;0,"AP-1 EU-5","")</f>
        <v/>
      </c>
      <c r="G28" s="222" t="str">
        <f>IF(C5="","","Cold Aggregate Bins")</f>
        <v/>
      </c>
      <c r="H28" s="72"/>
      <c r="I28" s="144"/>
      <c r="J28" s="226"/>
      <c r="K28" s="226"/>
      <c r="M28" s="95" t="str">
        <f>$C$5 &amp; " - Waste Oil"</f>
        <v xml:space="preserve"> - Waste Oil</v>
      </c>
      <c r="N28" s="111">
        <f ca="1">N6</f>
        <v>0</v>
      </c>
      <c r="O28" s="165">
        <f ca="1">IF(N28=0,0,IF(MAX((IFERROR(OFFSET($G$21,MATCH(M28,$G$22,0),4),0)),((IFERROR(OFFSET($G$35,MATCH(M28,$G$36,0),4),0))),((IFERROR(OFFSET($G$51,MATCH(M28,$G$52,0),4),0))),((IFERROR(OFFSET($G$66,MATCH(M28,$G$67,0),4),0))),((IFERROR(OFFSET($G$81,MATCH(M28,$G$82,0),3),0))),((IFERROR(OFFSET($G$97,MATCH(M28,$G$98,0),4),0))),((IFERROR(OFFSET($G$112,MATCH(M28,$G$113,0),4),0))),((IFERROR(OFFSET($G$127,MATCH(M28,$G$128,0),4),0))),((IFERROR(OFFSET($G$142,MATCH(M28,$G$143,0),4),0))),((IFERROR(OFFSET($G$157,MATCH(M28,$G$158,0),4),0))))=0,0,(MAX((IFERROR(OFFSET($G$21,MATCH(M28,$G$22,0),4),0)),((IFERROR(OFFSET($G$35,MATCH(M28,$G$36,0)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ca="1" si="1"/>
        <v>lb/ton</v>
      </c>
      <c r="Q28" s="166" t="str">
        <f ca="1">IF(O28=4.5,N28*O28,IF(O28=6.5,N28*O28,""))</f>
        <v/>
      </c>
      <c r="R28" s="166" t="str">
        <f ca="1">IF(N28=0,"",IF(AND($F$12&gt;0,$O$28&gt;$O$27,$O$28&gt;=$O$29),$F$12,IF(O28=0.0098,N28*O28,IF(O28=0.023,N28*O28,""))))</f>
        <v/>
      </c>
      <c r="S28" s="166">
        <f ca="1">IF(N28=0,0,IF($G$12&gt;0,IF(S27=0,$G$12,""),IF(AND(OR($C$10&gt;0,$C$11&gt;0,$C$12&gt;0),$O$28&gt;$O$27,$O$28&gt;=$O$29),(IF($C$10&gt;0,$C$10*O28/2000,IF($C$11&gt;0,$C$11*365*O28/2000,IF($C$12&gt;0,$C$12*365*O28*N28/2000)))),IF(AND($F$12&gt;0,$O$28&gt;$O$27,$O$28&gt;=$O$29),$F$12*8760/2000,IF(AND(OR($C$10="",$C$10=0),OR($C$11="",$C$11=0),OR($C$12="",$C$12=0),$F$12=""),IF(R28="",Q28*8760/2000,R28*8760/2000),"")))))</f>
        <v>0</v>
      </c>
      <c r="T28" s="166">
        <f ca="1">IF(N28="","",SUM((IFERROR(MATCH(M28,$G$22,0)*$I$22*$K$22/2000,0)),(IFERROR(MATCH(M28,$G$36,0)*$I$36*$K$36/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E29" s="125"/>
      <c r="F29" s="125"/>
      <c r="G29" s="227"/>
      <c r="H29" s="228"/>
      <c r="I29" s="226"/>
      <c r="M29" s="95" t="str">
        <f>$C$5 &amp; " - Natural Gas"</f>
        <v xml:space="preserve"> - Natural Gas</v>
      </c>
      <c r="N29" s="111">
        <f ca="1">N7</f>
        <v>0</v>
      </c>
      <c r="O29" s="165">
        <f ca="1">IF(N29=0,0,IF(MAX((IFERROR(OFFSET($G$21,MATCH(M29,$G$22,0),4),0)),((IFERROR(OFFSET($G$35,MATCH(M29,$G$36,0),4),0))),((IFERROR(OFFSET($G$51,MATCH(M29,$G$52,0),4),0))),((IFERROR(OFFSET($G$66,MATCH(M29,$G$67,0),4),0))),((IFERROR(OFFSET($G$81,MATCH(M29,$G$82,0),3),0))),((IFERROR(OFFSET($G$97,MATCH(M29,$G$98,0),4),0))),((IFERROR(OFFSET($G$112,MATCH(M29,$G$113,0),4),0))),((IFERROR(OFFSET($G$127,MATCH(M29,$G$128,0),4),0))),((IFERROR(OFFSET($G$142,MATCH(M29,$G$143,0),4),0))),((IFERROR(OFFSET($G$157,MATCH(M29,$G$158,0),4),0))))=0,0,(MAX((IFERROR(OFFSET($G$21,MATCH(M29,$G$22,0),4),0)),((IFERROR(OFFSET($G$35,MATCH(M29,$G$36,0)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IF(N29=0,"",IF(AND($F$12&gt;0,$O$29&gt;$O$27,$O$29&gt;$O$28),$F$12,IF(O29=0.0098,N29*O29,IF(O29=0.023,N29*O29,""))))</f>
        <v/>
      </c>
      <c r="S29" s="166">
        <f ca="1">IF(N29=0,0,IF($G$12&gt;0,IF(AND(S27=0,S28=0),$G$12,""),IF(AND(OR($C$10&gt;0,$C$11&gt;0,$C$12&gt;0),$O$29&gt;$O$27,$O$29&gt;$O$28),(IF($C$10&gt;0,$C$10*O29/2000,IF($C$11&gt;0,$C$11*365*O29/2000,IF($C$12&gt;0,$C$12*365*O29*N29/2000)))),IF(AND($F$12&gt;0,$O$29&gt;$O$27,$O$29&gt;$O$28),$F$12*8760/2000,IF(AND(OR($C$10="",$C$10=0),OR($C$11="",$C$11=0),OR($C$12="",$C$12=0),$F$12=""),IF(R29="",Q29*8760/2000,R29*8760/2000),"")))))</f>
        <v>0</v>
      </c>
      <c r="T29" s="166">
        <f ca="1">IF(N29="","",SUM((IFERROR(MATCH(M29,$G$22,0)*$I$22*$K$22/2000,0)),(IFERROR(MATCH(M29,$G$36,0)*$I$36*$K$36/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84" t="s">
        <v>84</v>
      </c>
      <c r="F30" s="84"/>
      <c r="G30" s="85"/>
      <c r="J30" s="113"/>
      <c r="K30" s="113"/>
      <c r="M30" s="95" t="s">
        <v>247</v>
      </c>
      <c r="N30" s="111">
        <f ca="1">N11</f>
        <v>0</v>
      </c>
      <c r="O30" s="165">
        <f ca="1">IF(N30=0,0,IF(N30=0,0,LOOKUP(M30,'Emission Factors'!$A$23:$A$25,'Emission Factors'!$F$23:$F$25)))</f>
        <v>0</v>
      </c>
      <c r="P30" s="212" t="str">
        <f t="shared" ca="1" si="1"/>
        <v>lb/ton</v>
      </c>
      <c r="Q30" s="166">
        <f ca="1">N30*O30</f>
        <v>0</v>
      </c>
      <c r="R30" s="167"/>
      <c r="S30" s="166">
        <f ca="1">IF($G$12&gt;0,"",IF($C$10&gt;0,$C$10*O30/2000,IF($C$11&gt;0,$C$11*365*O30/2000,IF($C$12&gt;0,$C$12*365*O30*N30/2000,IF($F$11&gt;0,"",IF(R30="",Q30*8760/2000,R30*8760/2000))))))</f>
        <v>0</v>
      </c>
      <c r="T30" s="166">
        <f ca="1">(P11*O30/2000)</f>
        <v>0</v>
      </c>
    </row>
    <row r="31" spans="1:20" ht="14.25" customHeight="1" x14ac:dyDescent="0.2">
      <c r="A31" s="155"/>
      <c r="B31" s="56"/>
      <c r="F31" s="87" t="s">
        <v>60</v>
      </c>
      <c r="G31" s="52" t="s">
        <v>85</v>
      </c>
      <c r="H31" s="213" t="s">
        <v>86</v>
      </c>
      <c r="I31" s="52" t="s">
        <v>87</v>
      </c>
      <c r="J31" s="113"/>
      <c r="K31" s="113"/>
      <c r="M31" s="95" t="s">
        <v>249</v>
      </c>
      <c r="N31" s="111">
        <f ca="1">N12</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(P12*O31/2000)</f>
        <v>0</v>
      </c>
    </row>
    <row r="32" spans="1:20" ht="14.25" customHeight="1" x14ac:dyDescent="0.2">
      <c r="A32" s="155"/>
      <c r="B32" s="83"/>
      <c r="E32" s="125"/>
      <c r="F32" s="74"/>
      <c r="G32" s="148"/>
      <c r="H32" s="75"/>
      <c r="I32" s="148"/>
      <c r="M32" s="95" t="s">
        <v>251</v>
      </c>
      <c r="N32" s="111">
        <f ca="1">N13</f>
        <v>0</v>
      </c>
      <c r="O32" s="165">
        <f ca="1">IF(N32=0,0,IF(N32=0,0,LOOKUP(M32,'Emission Factors'!$A$23:$A$25,'Emission Factors'!$F$23:$F$25)))</f>
        <v>0</v>
      </c>
      <c r="P32" s="212" t="str">
        <f t="shared" ca="1" si="1"/>
        <v>lb/ton</v>
      </c>
      <c r="Q32" s="166">
        <f ca="1">N32*O32</f>
        <v>0</v>
      </c>
      <c r="R32" s="166"/>
      <c r="S32" s="166">
        <f ca="1">IF($G$12&gt;0,"",IF($C$10&gt;0,$C$10*O32/2000,IF($C$11&gt;0,$C$11*365*O32/2000,IF($C$12&gt;0,$C$12*365*O32*N32/2000,IF($F$11&gt;0,"",IF(R32="",Q32*8760/2000,R32*8760/2000))))))</f>
        <v>0</v>
      </c>
      <c r="T32" s="166">
        <f ca="1">(P13*O32/2000)</f>
        <v>0</v>
      </c>
    </row>
    <row r="33" spans="2:20" ht="14.25" customHeight="1" x14ac:dyDescent="0.2">
      <c r="D33" s="56"/>
      <c r="J33" s="161"/>
      <c r="K33" s="161"/>
    </row>
    <row r="34" spans="2:20" ht="28.5" customHeight="1" x14ac:dyDescent="0.25">
      <c r="B34" s="79" t="str">
        <f>IF($C$4&gt;1,"Asphalt Plant","")</f>
        <v/>
      </c>
      <c r="C34" s="156" t="str">
        <f>IF($C$4&gt;1,"Site 2","")</f>
        <v/>
      </c>
      <c r="E34" s="259" t="str">
        <f>IF($C$4&gt;1,"Emission Point #","")</f>
        <v/>
      </c>
      <c r="F34" s="259" t="str">
        <f>IF($C$4&gt;1,"Emission    Unit #","")</f>
        <v/>
      </c>
      <c r="G34" s="259" t="str">
        <f>IF($C$4&gt;1,"Process","")</f>
        <v/>
      </c>
      <c r="H34" s="259" t="str">
        <f>IF($C$4&gt;1,"Maximum Hourly     Design Rate","")</f>
        <v/>
      </c>
      <c r="I34" s="261" t="str">
        <f>IF($C$4&gt;1,('Facility Information'!G20&amp;" Annual Throughput"),"")</f>
        <v/>
      </c>
      <c r="J34" s="162"/>
      <c r="K34" s="162"/>
      <c r="N34" s="78" t="s">
        <v>39</v>
      </c>
      <c r="O34" s="242" t="s">
        <v>274</v>
      </c>
      <c r="P34" s="242" t="s">
        <v>321</v>
      </c>
      <c r="Q34" s="264" t="s">
        <v>146</v>
      </c>
      <c r="R34" s="264" t="s">
        <v>128</v>
      </c>
      <c r="S34" s="264" t="s">
        <v>13</v>
      </c>
      <c r="T34" s="243" t="s">
        <v>147</v>
      </c>
    </row>
    <row r="35" spans="2:20" ht="14.25" customHeight="1" x14ac:dyDescent="0.2">
      <c r="B35" s="82" t="str">
        <f>IF($C$4&gt;1,"Site Name","")</f>
        <v/>
      </c>
      <c r="C35" s="73"/>
      <c r="D35" s="56"/>
      <c r="E35" s="325" t="str">
        <f>IF($C$4&gt;1,"Dryers, Hot Screens, Mixer","")</f>
        <v/>
      </c>
      <c r="F35" s="325"/>
      <c r="G35" s="325"/>
      <c r="H35" s="149" t="str">
        <f>IF($C$4&gt;1,"(tons/hr)","")</f>
        <v/>
      </c>
      <c r="I35" s="149" t="str">
        <f>IF($C$4&gt;1,"(tons/yr)","")</f>
        <v/>
      </c>
      <c r="J35" s="163" t="s">
        <v>109</v>
      </c>
      <c r="K35" s="163" t="s">
        <v>16</v>
      </c>
      <c r="N35" s="96" t="s">
        <v>151</v>
      </c>
      <c r="O35" s="124">
        <f>N15</f>
        <v>0</v>
      </c>
      <c r="P35" s="124">
        <v>3.64</v>
      </c>
      <c r="Q35" s="124">
        <f>O35*P35*(1/24)</f>
        <v>0</v>
      </c>
      <c r="R35" s="124"/>
      <c r="S35" s="124">
        <f>O35*P35*365/2000</f>
        <v>0</v>
      </c>
      <c r="T35" s="124">
        <f>O15*P35/2000</f>
        <v>0</v>
      </c>
    </row>
    <row r="36" spans="2:20" ht="14.25" customHeight="1" x14ac:dyDescent="0.2">
      <c r="B36" s="82" t="str">
        <f>IF($C$4&gt;1,"County:","")</f>
        <v/>
      </c>
      <c r="C36" s="73"/>
      <c r="D36" s="56"/>
      <c r="E36" s="124" t="str">
        <f>IF(C38="","","AP-1 EP-1")</f>
        <v/>
      </c>
      <c r="F36" s="124" t="str">
        <f>IF(C38="","","AP-1 EU-1")</f>
        <v/>
      </c>
      <c r="G36" s="222" t="str">
        <f>IF(C38="","",C5 &amp; " - "&amp;C38)</f>
        <v/>
      </c>
      <c r="H36" s="72"/>
      <c r="I36" s="144"/>
      <c r="J36" s="225" t="str">
        <f>IF(C39="","",IF(C39="yes",LOOKUP(G36,'Emission Factors'!$A$12:$A$17,'Emission Factors'!$D$12:$D$17),LOOKUP(G36,'Emission Factors'!$A$5:$A$10,'Emission Factors'!$D$5:$D$10)))</f>
        <v/>
      </c>
      <c r="K36" s="225" t="str">
        <f>IF(C39="","",IF(C39="yes",LOOKUP(G36,'Emission Factors'!$A$12:$A$17,'Emission Factors'!$F$12:$F$17),LOOKUP(G36,'Emission Factors'!$A$5:$A$10,'Emission Factors'!$F$5:$F$10)))</f>
        <v/>
      </c>
    </row>
    <row r="37" spans="2:20" ht="14.25" customHeight="1" x14ac:dyDescent="0.2">
      <c r="B37" s="82" t="str">
        <f>IF($C$4&gt;1,"Production Period (Dates):","")</f>
        <v/>
      </c>
      <c r="C37" s="73"/>
      <c r="D37" s="56"/>
      <c r="E37" s="325" t="str">
        <f>IF($C$4&gt;1,"Liquid Asphalt Heater","")</f>
        <v/>
      </c>
      <c r="F37" s="325"/>
      <c r="G37" s="325"/>
      <c r="H37" s="149" t="str">
        <f>IF($C$4&gt;1,IF(C38="natural gas","MMCF/hr","(gallons/hr)"),"")</f>
        <v/>
      </c>
      <c r="I37" s="149" t="str">
        <f>IF($C$4&gt;1,IF(C38="natural gas","MMCF/yr","(gallons/yr)"),"")</f>
        <v/>
      </c>
      <c r="J37" s="226"/>
      <c r="K37" s="226"/>
      <c r="M37" s="94" t="s">
        <v>3</v>
      </c>
    </row>
    <row r="38" spans="2:20" ht="14.25" customHeight="1" x14ac:dyDescent="0.2">
      <c r="B38" s="82" t="str">
        <f>IF($C$4&gt;1,"Type of Fuel Used:","")</f>
        <v/>
      </c>
      <c r="C38" s="230"/>
      <c r="D38" s="56"/>
      <c r="E38" s="124" t="str">
        <f>IF(C38="","","AP-1 EP-2")</f>
        <v/>
      </c>
      <c r="F38" s="124" t="str">
        <f>IF(C38="","","AP-1 EU-2")</f>
        <v/>
      </c>
      <c r="G38" s="222" t="str">
        <f>IF(C38="","",C38&amp; " Fired Heater")</f>
        <v/>
      </c>
      <c r="H38" s="72"/>
      <c r="I38" s="144"/>
      <c r="J38" s="163"/>
      <c r="K38" s="163"/>
      <c r="M38" s="95" t="str">
        <f>$C$5 &amp; " - Fuel Oil"</f>
        <v xml:space="preserve"> - Fuel Oil</v>
      </c>
      <c r="N38" s="111">
        <f ca="1">$N$5</f>
        <v>0</v>
      </c>
      <c r="O38" s="165">
        <f ca="1">IF(N38=0,0,LOOKUP(M38,'Emission Factors'!$A$5:$A$10,'Emission Factors'!$H$5:$H$10))</f>
        <v>0</v>
      </c>
      <c r="P38" s="212" t="str">
        <f ca="1">IF(O38="","","lb/ton")</f>
        <v>lb/ton</v>
      </c>
      <c r="Q38" s="166">
        <f ca="1">N38*O38</f>
        <v>0</v>
      </c>
      <c r="R38" s="166" t="str">
        <f ca="1">IF(N38=0,"",IF(AND($F$13&gt;0,N39=0),$F$13,""))</f>
        <v/>
      </c>
      <c r="S38" s="166">
        <f ca="1">IF(N38=0,0,IF($G$13&gt;0,$G$13,IF(OR(AND($C$10&gt;0,$N$39&gt;0),AND($C$11&gt;0,$N$39&gt;0),AND($C$12&gt;0,$N$39&gt;0)),"",IF($C$10&gt;0,$C$10*O38/2000,IF($C$11&gt;0,$C$11*365*O38/2000,IF($C$12&gt;0,$C$12*365*O38*N38/2000,IF(AND(N39&gt;0,F13&gt;0),"",IF(R38="",Q38*8760/2000,R38*8760/2000))))))))</f>
        <v>0</v>
      </c>
      <c r="T38" s="166">
        <f ca="1">P5*O38/2000</f>
        <v>0</v>
      </c>
    </row>
    <row r="39" spans="2:20" ht="14.25" customHeight="1" x14ac:dyDescent="0.2">
      <c r="B39" s="82" t="str">
        <f>IF($C$4&gt;1,"Is Your Operation Controlled?:","")</f>
        <v/>
      </c>
      <c r="C39" s="230"/>
      <c r="D39" s="56"/>
      <c r="E39" s="325" t="str">
        <f>IF($C$4&gt;1,"Silo Filling, Truck Loadout, Aggregate Transfer","")</f>
        <v/>
      </c>
      <c r="F39" s="325"/>
      <c r="G39" s="325"/>
      <c r="H39" s="149" t="str">
        <f>IF($C$4&gt;1,"(tons/hr)","")</f>
        <v/>
      </c>
      <c r="I39" s="149" t="str">
        <f>IF($C$4&gt;1,"(tons/yr)","")</f>
        <v/>
      </c>
      <c r="J39" s="226"/>
      <c r="K39" s="226"/>
      <c r="M39" s="95" t="str">
        <f>$C$5 &amp; " - Waste Oil"</f>
        <v xml:space="preserve"> - Waste Oil</v>
      </c>
      <c r="N39" s="111">
        <f ca="1">$N$6</f>
        <v>0</v>
      </c>
      <c r="O39" s="165">
        <f ca="1">IF(N39=0,0,LOOKUP(M39,'Emission Factors'!$A$5:$A$10,'Emission Factors'!$H$5:$H$10))</f>
        <v>0</v>
      </c>
      <c r="P39" s="212" t="str">
        <f ca="1">IF(O39="","","lb/ton")</f>
        <v>lb/ton</v>
      </c>
      <c r="Q39" s="166">
        <f ca="1">N39*O39</f>
        <v>0</v>
      </c>
      <c r="R39" s="166" t="str">
        <f ca="1">IF(N39=0,"",IF($F$13&gt;0,$F$13,""))</f>
        <v/>
      </c>
      <c r="S39" s="166">
        <f ca="1">IF(N39=0,0,IF($G$13&gt;0,IF(S38=0,G13,""),IF($C$10&gt;0,$C$10*O39/2000,IF($C$11&gt;0,$C$11*365*O39/2000,IF($C$12&gt;0,$C$12*365*O39*N39/2000,IF(R39="",Q39*8760/2000,R39*8760/2000))))))</f>
        <v>0</v>
      </c>
      <c r="T39" s="166">
        <f ca="1">P6*O39/2000</f>
        <v>0</v>
      </c>
    </row>
    <row r="40" spans="2:20" ht="14.25" customHeight="1" x14ac:dyDescent="0.2">
      <c r="D40" s="56"/>
      <c r="E40" s="124" t="str">
        <f>IF($C$4&gt;1,"AP-1 EP-3","")</f>
        <v/>
      </c>
      <c r="F40" s="124" t="str">
        <f>IF($C$4&gt;1,"AP-1 EU-3","")</f>
        <v/>
      </c>
      <c r="G40" s="222" t="str">
        <f>IF($C$4&gt;1,"Silo Filling","")</f>
        <v/>
      </c>
      <c r="H40" s="72"/>
      <c r="I40" s="144"/>
      <c r="J40" s="226"/>
      <c r="K40" s="226"/>
      <c r="M40" s="95" t="str">
        <f>$C$5 &amp; " - Natural Gas"</f>
        <v xml:space="preserve"> - Natural Gas</v>
      </c>
      <c r="N40" s="111">
        <f ca="1">$N$7</f>
        <v>0</v>
      </c>
      <c r="O40" s="165">
        <f ca="1">IF(N40=0,0,LOOKUP(M40,'Emission Factors'!$A$5:$A$10,'Emission Factors'!$H$5:$H$10))</f>
        <v>0</v>
      </c>
      <c r="P40" s="212" t="str">
        <f ca="1">IF(O40="","","lb/ton")</f>
        <v>lb/ton</v>
      </c>
      <c r="Q40" s="166">
        <f ca="1">N40*O40</f>
        <v>0</v>
      </c>
      <c r="R40" s="166" t="str">
        <f ca="1">IF(N40=0,"",IF(AND($F$13&gt;0,N38=0,N39=0),$F$13,""))</f>
        <v/>
      </c>
      <c r="S40" s="166">
        <f ca="1">IF(N40=0,0,IF($G$13&gt;0,IF(AND(S38=0,S39=0),G13,""),IF(OR(AND($C$10&gt;0,$N$39&gt;0),AND($C$11&gt;0,$N$39&gt;0),AND($C$12&gt;0,$N$39&gt;0)),"",IF(OR(AND($C$10&gt;0,$N$38&gt;0),AND($C$11&gt;0,$N$38&gt;0),AND($C$12&gt;0,$N$38&gt;0)),"",IF($C$10&gt;0,$C$10*O40/2000,IF($C$11&gt;0,$C$11*365*O40/2000,IF($C$12&gt;0,$C$12*365*O40*N40/2000,IF(AND(N39&gt;0,N38&gt;0,F13&gt;0),"",IF(R40="",Q40*8760/2000,R40*8760/2000)))))))))</f>
        <v>0</v>
      </c>
      <c r="T40" s="166">
        <f ca="1">P7*O40/2000</f>
        <v>0</v>
      </c>
    </row>
    <row r="41" spans="2:20" ht="14.25" customHeight="1" x14ac:dyDescent="0.2">
      <c r="B41" s="83"/>
      <c r="D41" s="56"/>
      <c r="E41" s="124" t="str">
        <f>IF($C$4&gt;1,"AP-1 EP-3","")</f>
        <v/>
      </c>
      <c r="F41" s="124" t="str">
        <f>IF($C$4&gt;1,"AP-1 EU-4","")</f>
        <v/>
      </c>
      <c r="G41" s="222" t="str">
        <f>IF($C$4&gt;1,"Truck Loadout","")</f>
        <v/>
      </c>
      <c r="H41" s="72"/>
      <c r="I41" s="144"/>
      <c r="J41" s="226"/>
      <c r="K41" s="226"/>
      <c r="M41" s="94" t="s">
        <v>26</v>
      </c>
      <c r="T41" s="171"/>
    </row>
    <row r="42" spans="2:20" ht="14.25" customHeight="1" x14ac:dyDescent="0.2">
      <c r="B42" s="83"/>
      <c r="D42" s="56"/>
      <c r="E42" s="124" t="str">
        <f>IF($C$4&gt;1,"AP-1 EP-3","")</f>
        <v/>
      </c>
      <c r="F42" s="124" t="str">
        <f>IF($C$4&gt;1,"AP-1 EU-5","")</f>
        <v/>
      </c>
      <c r="G42" s="222" t="str">
        <f>IF($C$4&gt;1,"Cold Aggregate Bins","")</f>
        <v/>
      </c>
      <c r="H42" s="72"/>
      <c r="I42" s="144"/>
      <c r="J42" s="226"/>
      <c r="K42" s="226"/>
      <c r="M42" s="95" t="str">
        <f>$C$5 &amp; " - Fuel Oil"</f>
        <v xml:space="preserve"> - Fuel Oil</v>
      </c>
      <c r="N42" s="111">
        <f ca="1">$N$5</f>
        <v>0</v>
      </c>
      <c r="O42" s="165">
        <f ca="1">IF(N42=0,0,LOOKUP(M42,'Emission Factors'!$A$5:$A$10,'Emission Factors'!$J$5:$J$10))</f>
        <v>0</v>
      </c>
      <c r="P42" s="212" t="str">
        <f ca="1">IF(O42="","","lb/ton")</f>
        <v>lb/ton</v>
      </c>
      <c r="Q42" s="166">
        <f ca="1">N42*O42</f>
        <v>0</v>
      </c>
      <c r="R42" s="166" t="str">
        <f ca="1">IF(N42=0,"",IF(AND($F$14&gt;0,N43=0),$F$14,""))</f>
        <v/>
      </c>
      <c r="S42" s="166">
        <f ca="1">IF(N42=0,0,IF($G$14&gt;0,$G$14,IF(OR(AND($C$10&gt;0,$N$43&gt;0),AND($C$11&gt;0,$N$43&gt;0),AND($C$12&gt;0,$N$43&gt;0)),"",IF($C$10&gt;0,$C$10*O42/2000,IF($C$11&gt;0,$C$11*365*O42/2000,IF($C$12&gt;0,$C$12*365*O42*N42/2000,IF(AND(N43&gt;0,F14&gt;0),"",IF(R42="",Q42*8760/2000,R42*8760/2000))))))))</f>
        <v>0</v>
      </c>
      <c r="T42" s="166">
        <f ca="1">P5*O42/2000</f>
        <v>0</v>
      </c>
    </row>
    <row r="43" spans="2:20" ht="14.25" customHeight="1" x14ac:dyDescent="0.2">
      <c r="B43" s="83"/>
      <c r="E43" s="125"/>
      <c r="F43" s="125"/>
      <c r="G43" s="227"/>
      <c r="H43" s="228"/>
      <c r="I43" s="226"/>
      <c r="M43" s="95" t="str">
        <f>$C$5 &amp; " - Waste Oil"</f>
        <v xml:space="preserve"> - Waste Oil</v>
      </c>
      <c r="N43" s="111">
        <f ca="1">$N$6</f>
        <v>0</v>
      </c>
      <c r="O43" s="165">
        <f ca="1">IF(N43=0,0,LOOKUP(M43,'Emission Factors'!$A$5:$A$10,'Emission Factors'!$J$5:$J$10))</f>
        <v>0</v>
      </c>
      <c r="P43" s="212" t="str">
        <f ca="1">IF(O43="","","lb/ton")</f>
        <v>lb/ton</v>
      </c>
      <c r="Q43" s="166">
        <f ca="1">N43*O43</f>
        <v>0</v>
      </c>
      <c r="R43" s="166" t="str">
        <f ca="1">IF(N43=0,"",IF($F$14&gt;0,$F$14,""))</f>
        <v/>
      </c>
      <c r="S43" s="166">
        <f ca="1">IF(N43=0,0,IF($G$14&gt;0,IF(S42=0,G14,""),IF($C$10&gt;0,$C$10*O43/2000,IF($C$11&gt;0,$C$11*365*O43/2000,IF($C$12&gt;0,$C$12*365*O43*N43/2000,IF(R43="",Q43*8760/2000,R43*8760/2000))))))</f>
        <v>0</v>
      </c>
      <c r="T43" s="166">
        <f ca="1">P6*O43/2000</f>
        <v>0</v>
      </c>
    </row>
    <row r="44" spans="2:20" ht="14.25" customHeight="1" x14ac:dyDescent="0.2">
      <c r="B44" s="83"/>
      <c r="E44" s="84" t="str">
        <f>IF($C$4&gt;1,"Stock Pile Area","")</f>
        <v/>
      </c>
      <c r="F44" s="84"/>
      <c r="G44" s="85"/>
      <c r="J44" s="113"/>
      <c r="K44" s="113"/>
      <c r="M44" s="95" t="str">
        <f>$C$5 &amp; " - Natural Gas"</f>
        <v xml:space="preserve"> - Natural Gas</v>
      </c>
      <c r="N44" s="111">
        <f ca="1">$N$7</f>
        <v>0</v>
      </c>
      <c r="O44" s="165">
        <f ca="1">IF(N44=0,0,LOOKUP(M44,'Emission Factors'!$A$5:$A$10,'Emission Factors'!$J$5:$J$10))</f>
        <v>0</v>
      </c>
      <c r="P44" s="212" t="str">
        <f ca="1">IF(O44="","","lb/ton")</f>
        <v>lb/ton</v>
      </c>
      <c r="Q44" s="166">
        <f ca="1">N44*O44</f>
        <v>0</v>
      </c>
      <c r="R44" s="166" t="str">
        <f ca="1">IF(N44=0,"",IF(AND($F$14&gt;0,N42=0,N43=0),$F$14,""))</f>
        <v/>
      </c>
      <c r="S44" s="166">
        <f ca="1">IF(N44=0,0,IF($G$14&gt;0,IF(AND(S42=0,S43=0),G14,""),IF(OR(AND($C$10&gt;0,$N$43&gt;0),AND($C$11&gt;0,$N$43&gt;0),AND($C$12&gt;0,$N$43&gt;0)),"",IF(OR(AND($C$10&gt;0,$N$42&gt;0),AND($C$11&gt;0,$N$42&gt;0),AND($C$12&gt;0,$N$42&gt;0)),"",IF($C$10&gt;0,$C$10*O44/2000,IF($C$11&gt;0,$C$11*365*O44/2000,IF($C$12&gt;0,$C$12*365*O44*N44/2000,IF(AND(N42&gt;0,N43&gt;0,F14&gt;0),"",IF(R44="",Q44*8760/2000,R44*8760/2000)))))))))</f>
        <v>0</v>
      </c>
      <c r="T44" s="166">
        <f ca="1">P7*O44/2000</f>
        <v>0</v>
      </c>
    </row>
    <row r="45" spans="2:20" ht="14.25" customHeight="1" x14ac:dyDescent="0.2">
      <c r="B45" s="56"/>
      <c r="F45" s="87" t="str">
        <f>IF($C$4&gt;1,"Emission Unit #","")</f>
        <v/>
      </c>
      <c r="G45" s="52" t="str">
        <f>IF($C$4&gt;1,"Maximum Storage Area (acres)","")</f>
        <v/>
      </c>
      <c r="H45" s="213" t="str">
        <f>IF($C$4&gt;1,"Actual Storage Area (acres)","")</f>
        <v/>
      </c>
      <c r="I45" s="52" t="str">
        <f>IF($C$4&gt;1,"Actual Days in Existence (days)","")</f>
        <v/>
      </c>
      <c r="J45" s="113"/>
      <c r="K45" s="113"/>
      <c r="L45" s="86"/>
      <c r="M45" s="94" t="s">
        <v>5</v>
      </c>
      <c r="T45" s="171"/>
    </row>
    <row r="46" spans="2:20" ht="14.25" customHeight="1" x14ac:dyDescent="0.2">
      <c r="B46" s="83"/>
      <c r="E46" s="125"/>
      <c r="F46" s="74"/>
      <c r="G46" s="148"/>
      <c r="H46" s="75"/>
      <c r="I46" s="148"/>
      <c r="M46" s="95" t="str">
        <f>$C$5 &amp; " - Fuel Oil"</f>
        <v xml:space="preserve"> - Fuel Oil</v>
      </c>
      <c r="N46" s="111">
        <f ca="1">$N$5</f>
        <v>0</v>
      </c>
      <c r="O46" s="165">
        <f ca="1">IF(N46=0,0,LOOKUP(M46,'Emission Factors'!$A$5:$A$10,'Emission Factors'!$L$5:$L$10))</f>
        <v>0</v>
      </c>
      <c r="P46" s="212" t="str">
        <f ca="1">IF(O46="","","lb/ton")</f>
        <v>lb/ton</v>
      </c>
      <c r="Q46" s="166">
        <f ca="1">N46*O46</f>
        <v>0</v>
      </c>
      <c r="R46" s="166" t="str">
        <f ca="1">IF(N46=0,"",IF(AND($F$15&gt;0,N48=0),$F$15,""))</f>
        <v/>
      </c>
      <c r="S46" s="166">
        <f ca="1">IF(N46=0,0,IF($G$15&gt;0,$G$15,IF(OR(AND($C$10&gt;0,$N$48&gt;0),AND($C$11&gt;0,$N$48&gt;0),AND($C$12&gt;0,$N$48&gt;0)),"",IF($C$10&gt;0,$C$10*O46/2000,IF($C$11&gt;0,$C$11*365*O46/2000,IF($C$12&gt;0,$C$12*365*O46*N46/2000,IF(AND(N48&gt;0,F15&gt;0),"",IF(R46="",Q46*8760/2000,R46*8760/2000))))))))</f>
        <v>0</v>
      </c>
      <c r="T46" s="166">
        <f ca="1">P5*O46/2000</f>
        <v>0</v>
      </c>
    </row>
    <row r="47" spans="2:20" ht="14.25" customHeight="1" x14ac:dyDescent="0.2">
      <c r="B47" s="83"/>
      <c r="E47" s="125"/>
      <c r="F47" s="359"/>
      <c r="G47" s="360"/>
      <c r="H47" s="360"/>
      <c r="I47" s="360"/>
      <c r="M47" s="95"/>
      <c r="N47" s="111"/>
      <c r="O47" s="165"/>
      <c r="P47" s="258"/>
      <c r="Q47" s="166"/>
      <c r="R47" s="166"/>
      <c r="S47" s="166"/>
      <c r="T47" s="166"/>
    </row>
    <row r="48" spans="2: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IF(N48=0,0,IF($G$15&gt;0,IF(S46=0,G15,""),IF($C$10&gt;0,$C$10*O48/2000,IF($C$11&gt;0,$C$11*365*O48/2000,IF($C$12&gt;0,$C$12*365*O48*N48/2000,IF(R48="",Q48*8760/2000,R48*8760/2000))))))</f>
        <v>0</v>
      </c>
      <c r="T48" s="166">
        <f ca="1">P6*O48/2000</f>
        <v>0</v>
      </c>
    </row>
    <row r="49" spans="2:20" ht="28.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IF(N49=0,"",IF(AND($F$15&gt;0,N46=0,N48=0),$F$15,""))</f>
        <v/>
      </c>
      <c r="S49" s="166">
        <f ca="1">IF(N49=0,0,IF($G$15&gt;0,IF(AND(S46=0,S48=0),G15,""),IF(OR(AND($C$10&gt;0,$N$48&gt;0),AND($C$11&gt;0,$N$48&gt;0),AND($C$12&gt;0,$N$48&gt;0)),"",IF(OR(AND($C$10&gt;0,$N$46&gt;0),AND($C$11&gt;0,$N$46&gt;0),AND($C$12&gt;0,$N$46&gt;0)),"",IF($C$10&gt;0,$C$10*O49/2000,IF($C$11&gt;0,$C$11*365*O49/2000,IF($C$12&gt;0,$C$12*365*O49*N49/2000,IF(AND(N46&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IF(C54="","","AP-1 EP-1")</f>
        <v/>
      </c>
      <c r="F52" s="124" t="str">
        <f>IF(C54="","","AP-1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IF(C54="","","AP-1 EP-2")</f>
        <v/>
      </c>
      <c r="F54" s="124" t="str">
        <f>IF(C54="","","AP-1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IF($C$4&gt;2,"AP-1 EP-3","")</f>
        <v/>
      </c>
      <c r="F56" s="124" t="str">
        <f>IF($C$4&gt;2,"AP-1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IF($C$4&gt;2,"AP-1 EP-3","")</f>
        <v/>
      </c>
      <c r="F57" s="124" t="str">
        <f>IF($C$4&gt;2,"AP-1 EU-4","")</f>
        <v/>
      </c>
      <c r="G57" s="222" t="str">
        <f>IF($C$4&gt;2,"Truck Loadout","")</f>
        <v/>
      </c>
      <c r="H57" s="72"/>
      <c r="I57" s="144"/>
      <c r="J57" s="226"/>
      <c r="K57" s="226"/>
      <c r="M57" s="94" t="s">
        <v>212</v>
      </c>
      <c r="T57" s="171"/>
    </row>
    <row r="58" spans="2:20" ht="14.25" customHeight="1" x14ac:dyDescent="0.2">
      <c r="B58" s="83"/>
      <c r="D58" s="56"/>
      <c r="E58" s="124" t="str">
        <f>IF($C$4&gt;2,"AP-1 EP-3","")</f>
        <v/>
      </c>
      <c r="F58" s="124" t="str">
        <f>IF($C$4&gt;2,"AP-1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9.2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IF(C69="","","AP-1 EP-1")</f>
        <v/>
      </c>
      <c r="F67" s="124" t="str">
        <f>IF(C69="","","AP-1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IF(C69="","","AP-1 EP-2")</f>
        <v/>
      </c>
      <c r="F69" s="124" t="str">
        <f>IF(C69="","","AP-1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IF($C$4&gt;3,"AP-1 EP-3","")</f>
        <v/>
      </c>
      <c r="F71" s="124" t="str">
        <f>IF($C$4&gt;3,"AP-1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IF($C$4&gt;3,"AP-1 EP-3","")</f>
        <v/>
      </c>
      <c r="F72" s="124" t="str">
        <f>IF($C$4&gt;3,"AP-1 EU-4","")</f>
        <v/>
      </c>
      <c r="G72" s="222" t="str">
        <f>IF($C$4&gt;3,"Truck Loadout","")</f>
        <v/>
      </c>
      <c r="H72" s="72"/>
      <c r="I72" s="144"/>
      <c r="J72" s="226"/>
      <c r="K72" s="226"/>
      <c r="M72" s="94" t="s">
        <v>217</v>
      </c>
      <c r="T72" s="171"/>
    </row>
    <row r="73" spans="2:20" ht="14.25" customHeight="1" x14ac:dyDescent="0.2">
      <c r="B73" s="83"/>
      <c r="D73" s="56"/>
      <c r="E73" s="124" t="str">
        <f>IF($C$4&gt;3,"AP-1 EP-3","")</f>
        <v/>
      </c>
      <c r="F73" s="124" t="str">
        <f>IF($C$4&gt;3,"AP-1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IF(C23="drum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8.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IF(C84="","","AP-1 EP-1")</f>
        <v/>
      </c>
      <c r="F82" s="124" t="str">
        <f>IF(C84="","","AP-1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IF(C84="","","AP-1 EP-2")</f>
        <v/>
      </c>
      <c r="F84" s="124" t="str">
        <f>IF(C84="","","AP-1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IF(OR(C25="yes",C39="yes",C70="yes",C85="yes",C101="yes",C116="yes",C131="yes",C146="yes",C161="yes"),1,0)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IF($C$4&gt;4,"AP-1 EP-3","")</f>
        <v/>
      </c>
      <c r="F86" s="124" t="str">
        <f>IF($C$4&gt;4,"AP-1 EU-3","")</f>
        <v/>
      </c>
      <c r="G86" s="222" t="str">
        <f>IF($C$4&gt;4,"Silo Filling","")</f>
        <v/>
      </c>
      <c r="H86" s="72"/>
      <c r="I86" s="144"/>
      <c r="J86" s="226"/>
      <c r="K86" s="226"/>
      <c r="M86" s="94" t="s">
        <v>224</v>
      </c>
      <c r="T86" s="171"/>
    </row>
    <row r="87" spans="2:20" ht="14.25" customHeight="1" x14ac:dyDescent="0.2">
      <c r="B87" s="83"/>
      <c r="D87" s="56"/>
      <c r="E87" s="124" t="str">
        <f>IF($C$4&gt;4,"AP-1 EP-3","")</f>
        <v/>
      </c>
      <c r="F87" s="124" t="str">
        <f>IF($C$4&gt;4,"AP-1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3"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IF($C$4&gt;4,"AP-1 EP-3","")</f>
        <v/>
      </c>
      <c r="F88" s="124" t="str">
        <f>IF($C$4&gt;4,"AP-1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 t="shared" si="2"/>
        <v>0</v>
      </c>
      <c r="R93" s="166" t="str">
        <f>IF($K$85=1,N93*O93,"")</f>
        <v/>
      </c>
      <c r="S93" s="166">
        <f>IF(N93=0,0,IF($C$10&gt;0,$C$10*O93/2000,IF($C$11&gt;0,$C$11*365*O93/2000,IF($C$12&gt;0,$C$12*365*O93*N93/2000,IF(R93="",Q93*8760/2000,R93*8760/2000)))))</f>
        <v>0</v>
      </c>
      <c r="T93" s="166">
        <f>IF(N93&gt;0,$P$7*O93/2000,0)</f>
        <v>0</v>
      </c>
    </row>
    <row r="94" spans="2:20" ht="31.5" customHeight="1" x14ac:dyDescent="0.2">
      <c r="J94" s="161"/>
      <c r="K94" s="161"/>
      <c r="M94" s="322"/>
      <c r="N94" s="323"/>
      <c r="O94" s="324"/>
      <c r="P94" s="125"/>
      <c r="Q94" s="210"/>
      <c r="R94" s="210"/>
      <c r="S94" s="210"/>
      <c r="T94" s="210"/>
    </row>
    <row r="95" spans="2:20" ht="25.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IF(C100="","","AP-1 EP-1")</f>
        <v/>
      </c>
      <c r="F98" s="124" t="str">
        <f>IF(C100="","","AP-1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IF(C100="","","AP-1 EP-2")</f>
        <v/>
      </c>
      <c r="F100" s="124" t="str">
        <f>IF(C100="","","AP-1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IF($C$4&gt;5,"AP-1 EP-3","")</f>
        <v/>
      </c>
      <c r="F102" s="124" t="str">
        <f>IF($C$4&gt;5,"AP-1 EU-3","")</f>
        <v/>
      </c>
      <c r="G102" s="222" t="str">
        <f>IF($C$4&gt;5,"Silo Filling","")</f>
        <v/>
      </c>
      <c r="H102" s="72"/>
      <c r="I102" s="144"/>
      <c r="J102" s="226"/>
      <c r="K102" s="226"/>
    </row>
    <row r="103" spans="2:11" ht="14.25" customHeight="1" x14ac:dyDescent="0.2">
      <c r="B103" s="83"/>
      <c r="D103" s="56"/>
      <c r="E103" s="124" t="str">
        <f>IF($C$4&gt;5,"AP-1 EP-3","")</f>
        <v/>
      </c>
      <c r="F103" s="124" t="str">
        <f>IF($C$4&gt;5,"AP-1 EU-4","")</f>
        <v/>
      </c>
      <c r="G103" s="222" t="str">
        <f>IF($C$4&gt;5,"Truck Loadout","")</f>
        <v/>
      </c>
      <c r="H103" s="72"/>
      <c r="I103" s="144"/>
      <c r="J103" s="226"/>
      <c r="K103" s="226"/>
    </row>
    <row r="104" spans="2:11" ht="14.25" customHeight="1" x14ac:dyDescent="0.2">
      <c r="B104" s="83"/>
      <c r="D104" s="56"/>
      <c r="E104" s="124" t="str">
        <f>IF($C$4&gt;5,"AP-1 EP-3","")</f>
        <v/>
      </c>
      <c r="F104" s="124" t="str">
        <f>IF($C$4&gt;5,"AP-1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4.75" customHeight="1" x14ac:dyDescent="0.2">
      <c r="J109" s="161"/>
      <c r="K109" s="161"/>
    </row>
    <row r="110" spans="2:11" ht="27"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IF(C115="","","AP-1 EP-1")</f>
        <v/>
      </c>
      <c r="F113" s="124" t="str">
        <f>IF(C115="","","AP-1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IF(C115="","","AP-1 EP-2")</f>
        <v/>
      </c>
      <c r="F115" s="124" t="str">
        <f>IF(C115="","","AP-1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IF($C$4&gt;6,"AP-1 EP-3","")</f>
        <v/>
      </c>
      <c r="F117" s="124" t="str">
        <f>IF($C$4&gt;6,"AP-1 EU-3","")</f>
        <v/>
      </c>
      <c r="G117" s="222" t="str">
        <f>IF($C$4&gt;6,"Silo Filling","")</f>
        <v/>
      </c>
      <c r="H117" s="72"/>
      <c r="I117" s="144"/>
      <c r="J117" s="226"/>
      <c r="K117" s="226"/>
    </row>
    <row r="118" spans="2:11" ht="14.25" customHeight="1" x14ac:dyDescent="0.2">
      <c r="B118" s="83"/>
      <c r="D118" s="56"/>
      <c r="E118" s="124" t="str">
        <f>IF($C$4&gt;6,"AP-1 EP-3","")</f>
        <v/>
      </c>
      <c r="F118" s="124" t="str">
        <f>IF($C$4&gt;6,"AP-1 EU-4","")</f>
        <v/>
      </c>
      <c r="G118" s="222" t="str">
        <f>IF($C$4&gt;6,"Truck Loadout","")</f>
        <v/>
      </c>
      <c r="H118" s="72"/>
      <c r="I118" s="144"/>
      <c r="J118" s="226"/>
      <c r="K118" s="226"/>
    </row>
    <row r="119" spans="2:11" ht="14.25" customHeight="1" x14ac:dyDescent="0.2">
      <c r="B119" s="83"/>
      <c r="D119" s="56"/>
      <c r="E119" s="124" t="str">
        <f>IF($C$4&gt;6,"AP-1 EP-3","")</f>
        <v/>
      </c>
      <c r="F119" s="124" t="str">
        <f>IF($C$4&gt;6,"AP-1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26.25" customHeight="1" x14ac:dyDescent="0.2">
      <c r="B123" s="83"/>
      <c r="E123" s="125"/>
      <c r="F123" s="74"/>
      <c r="G123" s="148"/>
      <c r="H123" s="75"/>
      <c r="I123" s="148"/>
    </row>
    <row r="124" spans="2:11" ht="14.25" customHeight="1" x14ac:dyDescent="0.2">
      <c r="J124" s="161"/>
      <c r="K124" s="161"/>
    </row>
    <row r="125" spans="2:11" ht="28.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IF(C130="","","AP-1 EP-1")</f>
        <v/>
      </c>
      <c r="F128" s="124" t="str">
        <f>IF(C130="","","AP-1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IF(C130="","","AP-1 EP-2")</f>
        <v/>
      </c>
      <c r="F130" s="124" t="str">
        <f>IF(C130="","","AP-1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IF($C$4&gt;7,"AP-1 EP-3","")</f>
        <v/>
      </c>
      <c r="F132" s="124" t="str">
        <f>IF($C$4&gt;7,"AP-1 EU-3","")</f>
        <v/>
      </c>
      <c r="G132" s="222" t="str">
        <f>IF($C$4&gt;7,"Silo Filling","")</f>
        <v/>
      </c>
      <c r="H132" s="72"/>
      <c r="I132" s="144"/>
      <c r="J132" s="226"/>
      <c r="K132" s="226"/>
    </row>
    <row r="133" spans="2:11" ht="14.25" customHeight="1" x14ac:dyDescent="0.2">
      <c r="B133" s="83"/>
      <c r="D133" s="56"/>
      <c r="E133" s="124" t="str">
        <f>IF($C$4&gt;7,"AP-1 EP-3","")</f>
        <v/>
      </c>
      <c r="F133" s="124" t="str">
        <f>IF($C$4&gt;7,"AP-1 EU-4","")</f>
        <v/>
      </c>
      <c r="G133" s="222" t="str">
        <f>IF($C$4&gt;7,"Truck Loadout","")</f>
        <v/>
      </c>
      <c r="H133" s="72"/>
      <c r="I133" s="144"/>
      <c r="J133" s="226"/>
      <c r="K133" s="226"/>
    </row>
    <row r="134" spans="2:11" ht="14.25" customHeight="1" x14ac:dyDescent="0.2">
      <c r="B134" s="83"/>
      <c r="D134" s="56"/>
      <c r="E134" s="124" t="str">
        <f>IF($C$4&gt;7,"AP-1 EP-3","")</f>
        <v/>
      </c>
      <c r="F134" s="124" t="str">
        <f>IF($C$4&gt;7,"AP-1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34.5" customHeight="1" x14ac:dyDescent="0.2">
      <c r="J139" s="161"/>
      <c r="K139" s="161"/>
    </row>
    <row r="140" spans="2:11" ht="28.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IF(C145="","","AP-1 EP-1")</f>
        <v/>
      </c>
      <c r="F143" s="124" t="str">
        <f>IF(C145="","","AP-1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IF(C145="","","AP-1 EP-2")</f>
        <v/>
      </c>
      <c r="F145" s="124" t="str">
        <f>IF(C145="","","AP-1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IF($C$4&gt;8,"AP-1 EP-3","")</f>
        <v/>
      </c>
      <c r="F147" s="124" t="str">
        <f>IF($C$4&gt;8,"AP-1 EU-3","")</f>
        <v/>
      </c>
      <c r="G147" s="222" t="str">
        <f>IF($C$4&gt;8,"Silo Filling","")</f>
        <v/>
      </c>
      <c r="H147" s="72"/>
      <c r="I147" s="144"/>
      <c r="J147" s="226"/>
      <c r="K147" s="226"/>
    </row>
    <row r="148" spans="2:11" ht="14.25" customHeight="1" x14ac:dyDescent="0.2">
      <c r="B148" s="83"/>
      <c r="D148" s="56"/>
      <c r="E148" s="124" t="str">
        <f>IF($C$4&gt;8,"AP-1 EP-3","")</f>
        <v/>
      </c>
      <c r="F148" s="124" t="str">
        <f>IF($C$4&gt;8,"AP-1 EU-4","")</f>
        <v/>
      </c>
      <c r="G148" s="222" t="str">
        <f>IF($C$4&gt;8,"Truck Loadout","")</f>
        <v/>
      </c>
      <c r="H148" s="72"/>
      <c r="I148" s="144"/>
      <c r="J148" s="226"/>
      <c r="K148" s="226"/>
    </row>
    <row r="149" spans="2:11" ht="14.25" customHeight="1" x14ac:dyDescent="0.2">
      <c r="B149" s="83"/>
      <c r="D149" s="56"/>
      <c r="E149" s="124" t="str">
        <f>IF($C$4&gt;8,"AP-1 EP-3","")</f>
        <v/>
      </c>
      <c r="F149" s="124" t="str">
        <f>IF($C$4&gt;8,"AP-1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30"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IF(C160="","","AP-1 EP-1")</f>
        <v/>
      </c>
      <c r="F158" s="124" t="str">
        <f>IF(C160="","","AP-1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IF(C160="","","AP-1 EP-2")</f>
        <v/>
      </c>
      <c r="F160" s="124" t="str">
        <f>IF(C160="","","AP-1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IF($C$4&gt;9,"AP-1 EP-3","")</f>
        <v/>
      </c>
      <c r="F162" s="124" t="str">
        <f>IF($C$4&gt;9,"AP-1 EU-3","")</f>
        <v/>
      </c>
      <c r="G162" s="222" t="str">
        <f>IF($C$4&gt;9,"Silo Filling","")</f>
        <v/>
      </c>
      <c r="H162" s="72"/>
      <c r="I162" s="144"/>
      <c r="J162" s="226"/>
      <c r="K162" s="226"/>
    </row>
    <row r="163" spans="2:11" ht="14.25" customHeight="1" x14ac:dyDescent="0.2">
      <c r="B163" s="83"/>
      <c r="D163" s="56"/>
      <c r="E163" s="124" t="str">
        <f>IF($C$4&gt;9,"AP-1 EP-3","")</f>
        <v/>
      </c>
      <c r="F163" s="124" t="str">
        <f>IF($C$4&gt;9,"AP-1 EU-4","")</f>
        <v/>
      </c>
      <c r="G163" s="222" t="str">
        <f>IF($C$4&gt;9,"Truck Loadout","")</f>
        <v/>
      </c>
      <c r="H163" s="72"/>
      <c r="I163" s="144"/>
      <c r="J163" s="226"/>
      <c r="K163" s="226"/>
    </row>
    <row r="164" spans="2:11" ht="14.25" customHeight="1" x14ac:dyDescent="0.2">
      <c r="B164" s="83"/>
      <c r="D164" s="56"/>
      <c r="E164" s="124" t="str">
        <f>IF($C$4&gt;9,"AP-1 EP-3","")</f>
        <v/>
      </c>
      <c r="F164" s="124" t="str">
        <f>IF($C$4&gt;9,"AP-1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6kTkBv8NZEsrENuHW3FqJHbIjroXrnMIVoi4RORJnVFu7NUiJuQbt/JqbleCbfMZD1NT52x/AhPd23pPgf9ywg==" saltValue="f75UOBfx09UVmWPQwumEPg==" spinCount="100000" sheet="1" objects="1" scenarios="1"/>
  <conditionalFormatting sqref="E22:F22 E24:F24 E26:F29">
    <cfRule type="notContainsBlanks" dxfId="489" priority="147">
      <formula>LEN(TRIM(E22))&gt;0</formula>
    </cfRule>
  </conditionalFormatting>
  <conditionalFormatting sqref="H35:I35 H37:I37 J38:K38 H39:I39 J44:K44 F45:I45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7:B30 B25">
    <cfRule type="notContainsBlanks" dxfId="488" priority="4">
      <formula>LEN(TRIM(B25))&gt;0</formula>
    </cfRule>
  </conditionalFormatting>
  <conditionalFormatting sqref="E32">
    <cfRule type="notContainsBlanks" dxfId="487" priority="42">
      <formula>LEN(TRIM(E32))&gt;0</formula>
    </cfRule>
  </conditionalFormatting>
  <conditionalFormatting sqref="B32">
    <cfRule type="notContainsBlanks" dxfId="486" priority="41">
      <formula>LEN(TRIM(B32))&gt;0</formula>
    </cfRule>
  </conditionalFormatting>
  <conditionalFormatting sqref="B35:E35 B34:I34 B36:I36 H35:I35 D38:I38 B37:E37 H37:I37 J33:K34 H39:I39 B41:I47 D40:I40 D39:E39 B38:C39 J37:K45">
    <cfRule type="cellIs" dxfId="485" priority="149" operator="notEqual">
      <formula>$B$34=""</formula>
    </cfRule>
  </conditionalFormatting>
  <conditionalFormatting sqref="E35:G42 B35:B39">
    <cfRule type="notContainsBlanks" dxfId="484" priority="35">
      <formula>LEN(TRIM(B35))&gt;0</formula>
    </cfRule>
  </conditionalFormatting>
  <conditionalFormatting sqref="J45:K45 F46:I47 J39:K41 H40:I42 H36:I36 J37:K37 H38:I38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5:C39 J85">
    <cfRule type="notContainsBlanks" dxfId="483" priority="28">
      <formula>LEN(TRIM(C35))&gt;0</formula>
    </cfRule>
  </conditionalFormatting>
  <conditionalFormatting sqref="B51:E51 B49:I50 B52:I52 H51:I51 D54:I54 B53:E53 H53:I53 J48:K50 H55:I55 B57:I62 D56:I56 D55:E55 B54:C55 J53:K61">
    <cfRule type="cellIs" dxfId="482" priority="122" operator="notEqual">
      <formula>$B$49=""</formula>
    </cfRule>
  </conditionalFormatting>
  <conditionalFormatting sqref="E51:G58 B51:B55">
    <cfRule type="notContainsBlanks" dxfId="481" priority="32">
      <formula>LEN(TRIM(B51))&gt;0</formula>
    </cfRule>
  </conditionalFormatting>
  <conditionalFormatting sqref="C51:C55">
    <cfRule type="notContainsBlanks" dxfId="480" priority="31">
      <formula>LEN(TRIM(C51))&gt;0</formula>
    </cfRule>
  </conditionalFormatting>
  <conditionalFormatting sqref="B34:C34">
    <cfRule type="notContainsBlanks" dxfId="479" priority="30">
      <formula>LEN(TRIM(B34))&gt;0</formula>
    </cfRule>
  </conditionalFormatting>
  <conditionalFormatting sqref="B49:C49">
    <cfRule type="notContainsBlanks" dxfId="478" priority="29">
      <formula>LEN(TRIM(B49))&gt;0</formula>
    </cfRule>
  </conditionalFormatting>
  <conditionalFormatting sqref="B66:E66 B64:I65 B67:I67 H66:I66 D69:I69 B68:E68 H68:I68 J63:K65 H70:I70 B72:I77 D71:I71 D70:E70 B69:C70 J68:K76">
    <cfRule type="cellIs" dxfId="477" priority="36" operator="notEqual">
      <formula>$B$64=""</formula>
    </cfRule>
  </conditionalFormatting>
  <conditionalFormatting sqref="E66:G73 B66:B70">
    <cfRule type="notContainsBlanks" dxfId="476" priority="27">
      <formula>LEN(TRIM(B66))&gt;0</formula>
    </cfRule>
  </conditionalFormatting>
  <conditionalFormatting sqref="C66:C70">
    <cfRule type="notContainsBlanks" dxfId="475" priority="26">
      <formula>LEN(TRIM(C66))&gt;0</formula>
    </cfRule>
  </conditionalFormatting>
  <conditionalFormatting sqref="B64:C64">
    <cfRule type="notContainsBlanks" dxfId="474" priority="25">
      <formula>LEN(TRIM(B64))&gt;0</formula>
    </cfRule>
  </conditionalFormatting>
  <conditionalFormatting sqref="B81:E81 B79:I80 B82:I82 H81:I81 B83:E83 J78:K80 B87:I92 D86:I86 D85:E85 B84:C85 H83:K83 J86:K91 H85:J85 D84:J84">
    <cfRule type="cellIs" dxfId="473" priority="33" operator="notEqual">
      <formula>$B$79=""</formula>
    </cfRule>
  </conditionalFormatting>
  <conditionalFormatting sqref="E81:G88 B81:B85">
    <cfRule type="notContainsBlanks" dxfId="472" priority="23">
      <formula>LEN(TRIM(B81))&gt;0</formula>
    </cfRule>
  </conditionalFormatting>
  <conditionalFormatting sqref="C81:C85">
    <cfRule type="notContainsBlanks" dxfId="471" priority="22">
      <formula>LEN(TRIM(C81))&gt;0</formula>
    </cfRule>
  </conditionalFormatting>
  <conditionalFormatting sqref="B79:C79">
    <cfRule type="notContainsBlanks" dxfId="470" priority="21">
      <formula>LEN(TRIM(B79))&gt;0</formula>
    </cfRule>
  </conditionalFormatting>
  <conditionalFormatting sqref="B97:E97 B95:I96 B98:I98 H97:I97 D100:I100 B99:E99 H99:I99 J93:K96 H101:I101 B103:I108 D102:I102 D101:E101 B100:C101 J99:K107">
    <cfRule type="cellIs" dxfId="469" priority="24" operator="notEqual">
      <formula>$B$95=""</formula>
    </cfRule>
  </conditionalFormatting>
  <conditionalFormatting sqref="E97:G104 B97:B101">
    <cfRule type="notContainsBlanks" dxfId="468" priority="19">
      <formula>LEN(TRIM(B97))&gt;0</formula>
    </cfRule>
  </conditionalFormatting>
  <conditionalFormatting sqref="C97:C101">
    <cfRule type="notContainsBlanks" dxfId="467" priority="18">
      <formula>LEN(TRIM(C97))&gt;0</formula>
    </cfRule>
  </conditionalFormatting>
  <conditionalFormatting sqref="B95:C95">
    <cfRule type="notContainsBlanks" dxfId="466" priority="17">
      <formula>LEN(TRIM(B95))&gt;0</formula>
    </cfRule>
  </conditionalFormatting>
  <conditionalFormatting sqref="B112:E112 B110:I111 B113:I113 H112:I112 D115:I115 B114:E114 H114:I114 J109:K111 H116:I116 B118:I123 D117:I117 D116:E116 B115:C116 J114:K122">
    <cfRule type="cellIs" dxfId="465" priority="20" operator="notEqual">
      <formula>$B$110=""</formula>
    </cfRule>
  </conditionalFormatting>
  <conditionalFormatting sqref="E112:G119 B112:B116">
    <cfRule type="notContainsBlanks" dxfId="464" priority="15">
      <formula>LEN(TRIM(B112))&gt;0</formula>
    </cfRule>
  </conditionalFormatting>
  <conditionalFormatting sqref="C112:C116">
    <cfRule type="notContainsBlanks" dxfId="463" priority="14">
      <formula>LEN(TRIM(C112))&gt;0</formula>
    </cfRule>
  </conditionalFormatting>
  <conditionalFormatting sqref="B110:C110">
    <cfRule type="notContainsBlanks" dxfId="462" priority="13">
      <formula>LEN(TRIM(B110))&gt;0</formula>
    </cfRule>
  </conditionalFormatting>
  <conditionalFormatting sqref="B127:E127 B125:I126 B128:I128 H127:I127 D130:I130 B129:E129 H129:I129 J124:K126 H131:I131 B133:I138 D132:I132 D131:E131 B130:C131 J129:K137">
    <cfRule type="cellIs" dxfId="461" priority="16" operator="notEqual">
      <formula>$B$125=""</formula>
    </cfRule>
  </conditionalFormatting>
  <conditionalFormatting sqref="E127:G134 B127:B131">
    <cfRule type="notContainsBlanks" dxfId="460" priority="11">
      <formula>LEN(TRIM(B127))&gt;0</formula>
    </cfRule>
  </conditionalFormatting>
  <conditionalFormatting sqref="C127:C131">
    <cfRule type="notContainsBlanks" dxfId="459" priority="10">
      <formula>LEN(TRIM(C127))&gt;0</formula>
    </cfRule>
  </conditionalFormatting>
  <conditionalFormatting sqref="B125:C125">
    <cfRule type="notContainsBlanks" dxfId="458" priority="9">
      <formula>LEN(TRIM(B125))&gt;0</formula>
    </cfRule>
  </conditionalFormatting>
  <conditionalFormatting sqref="B142:E142 B140:I141 B143:I143 H142:I142 D145:I145 B144:E144 H144:I144 J139:K141 H146:I146 B148:I153 D147:I147 D146:E146 B145:C146 J144:K152">
    <cfRule type="cellIs" dxfId="457" priority="12" operator="notEqual">
      <formula>$B$140=""</formula>
    </cfRule>
  </conditionalFormatting>
  <conditionalFormatting sqref="E142:G149 B142:B146">
    <cfRule type="notContainsBlanks" dxfId="456" priority="7">
      <formula>LEN(TRIM(B142))&gt;0</formula>
    </cfRule>
  </conditionalFormatting>
  <conditionalFormatting sqref="C142:C146">
    <cfRule type="notContainsBlanks" dxfId="455" priority="6">
      <formula>LEN(TRIM(C142))&gt;0</formula>
    </cfRule>
  </conditionalFormatting>
  <conditionalFormatting sqref="B140:C140">
    <cfRule type="notContainsBlanks" dxfId="454" priority="5">
      <formula>LEN(TRIM(B140))&gt;0</formula>
    </cfRule>
  </conditionalFormatting>
  <conditionalFormatting sqref="B157:E157 B155:I156 B158:I158 H157:I157 D160:I160 B159:E159 H159:I159 J154:K156 H161:I161 B163:I168 D162:I162 D161:E161 B160:C161 J159:K167">
    <cfRule type="cellIs" dxfId="453" priority="8" operator="notEqual">
      <formula>$B$155=""</formula>
    </cfRule>
  </conditionalFormatting>
  <conditionalFormatting sqref="E157:G164 B157:B161">
    <cfRule type="notContainsBlanks" dxfId="452" priority="3">
      <formula>LEN(TRIM(B157))&gt;0</formula>
    </cfRule>
  </conditionalFormatting>
  <conditionalFormatting sqref="C157:C161">
    <cfRule type="notContainsBlanks" dxfId="451" priority="2">
      <formula>LEN(TRIM(C157))&gt;0</formula>
    </cfRule>
  </conditionalFormatting>
  <conditionalFormatting sqref="B155:C155">
    <cfRule type="notContainsBlanks" dxfId="450" priority="1">
      <formula>LEN(TRIM(B155))&gt;0</formula>
    </cfRule>
  </conditionalFormatting>
  <dataValidations count="4">
    <dataValidation type="whole" allowBlank="1" showInputMessage="1" showErrorMessage="1" sqref="C4 D6" xr:uid="{00000000-0002-0000-0100-000000000000}">
      <formula1>0</formula1>
      <formula2>100</formula2>
    </dataValidation>
    <dataValidation type="list" allowBlank="1" showInputMessage="1" showErrorMessage="1" sqref="C5" xr:uid="{00000000-0002-0000-0100-000001000000}">
      <formula1>PlantType</formula1>
    </dataValidation>
    <dataValidation type="list" allowBlank="1" showInputMessage="1" showErrorMessage="1" sqref="C24 A13 A15 C38 C54 C69 C84 C100 C115 C130 C145 C160" xr:uid="{00000000-0002-0000-0100-000002000000}">
      <formula1>Fuel</formula1>
    </dataValidation>
    <dataValidation type="list" allowBlank="1" showInputMessage="1" showErrorMessage="1" sqref="C25 C39 C55 C70 C85 C101 C116 C131 C146 C161" xr:uid="{00000000-0002-0000-0100-000003000000}">
      <formula1>CHECK</formula1>
    </dataValidation>
  </dataValidations>
  <pageMargins left="0.7" right="0.7" top="0.75" bottom="0.75" header="0.3" footer="0.3"/>
  <pageSetup scale="70" fitToHeight="0"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169"/>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275</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9.2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t="s">
        <v>196</v>
      </c>
      <c r="E5" s="164"/>
      <c r="F5" s="113"/>
      <c r="M5" s="95" t="str">
        <f>$C$5 &amp; " - Fuel Oil"</f>
        <v>Batch Mix Plant - Fuel Oil</v>
      </c>
      <c r="N5" s="158">
        <f ca="1">MAX((IFERROR(OFFSET($G$22,MATCH(M5,$G$23,0),1),0)),((IFERROR(OFFSET($G$36,MATCH(M5,$G$37,0),1),0))),((IFERROR(OFFSET($G$51,MATCH(M5,$G$52,0),1),0))),((IFERROR(OFFSET($G$66,MATCH(M5,$G$67,0),1),0))),((IFERROR(OFFSET($G$81,MATCH(M5,$G$82,0),1),0))),((IFERROR(OFFSET($G$98,MATCH(M5,$G$99,0),1),0))),((IFERROR(OFFSET($G$113,MATCH(M5,$G$114,0),1),0))),((IFERROR(OFFSET($G$128,MATCH(M5,$G$129,0),1),0))),((IFERROR(OFFSET($G$143,MATCH(M5,$G$144,0),1),0))),((IFERROR(OFFSET($G$158,MATCH(M5,$G$159,0),1),0))))</f>
        <v>0</v>
      </c>
      <c r="O5" s="212" t="s">
        <v>253</v>
      </c>
      <c r="P5" s="158">
        <f ca="1">SUM((IFERROR(OFFSET($G$22,MATCH(M5,$G$23,0),2),0)),((IFERROR(OFFSET($G$36,MATCH(M5,$G$37,0),2),0))),((IFERROR(OFFSET($G$51,MATCH(M5,$G$52,0),2),0))),((IFERROR(OFFSET($G$66,MATCH(M5,$G$67,0),2),0))),((IFERROR(OFFSET($G$81,MATCH(M5,$G$82,0),2),0))),((IFERROR(OFFSET($G$98,MATCH(M5,$G$99,0),2),0))),((IFERROR(OFFSET($G$113,MATCH(M5,$G$114,0),2),0))),((IFERROR(OFFSET($G$128,MATCH(M5,$G$129,0),2),0))),((IFERROR(OFFSET($G$143,MATCH(M5,$G$144,0),2),0))),((IFERROR(OFFSET($G$158,MATCH(M5,$G$159,0),2),0))))</f>
        <v>0</v>
      </c>
      <c r="R5" s="250"/>
      <c r="S5" s="250"/>
      <c r="T5" s="212" t="s">
        <v>138</v>
      </c>
    </row>
    <row r="6" spans="1:20" ht="14.25" customHeight="1" x14ac:dyDescent="0.2">
      <c r="B6" s="88"/>
      <c r="C6" s="88"/>
      <c r="D6" s="113"/>
      <c r="E6" s="113"/>
      <c r="F6" s="113"/>
      <c r="J6" s="160"/>
      <c r="K6" s="160"/>
      <c r="M6" s="95" t="str">
        <f>$C$5 &amp; " - Waste Oil"</f>
        <v>Batch Mix Plant - Waste Oil</v>
      </c>
      <c r="N6" s="158">
        <f ca="1">MAX((IFERROR(OFFSET($G$22,MATCH(M6,$G$23,0),1),0)),((IFERROR(OFFSET($G$36,MATCH(M6,$G$37,0),1),0))),((IFERROR(OFFSET($G$51,MATCH(M6,$G$52,0),1),0))),((IFERROR(OFFSET($G$66,MATCH(M6,$G$67,0),1),0))),((IFERROR(OFFSET($G$81,MATCH(M6,$G$82,0),1),0))),((IFERROR(OFFSET($G$98,MATCH(M6,$G$99,0),1),0))),((IFERROR(OFFSET($G$113,MATCH(M6,$G$114,0),1),0))),((IFERROR(OFFSET($G$128,MATCH(M6,$G$129,0),1),0))),((IFERROR(OFFSET($G$143,MATCH(M6,$G$144,0),1),0))),((IFERROR(OFFSET($G$158,MATCH(M6,$G$159,0),1),0))))</f>
        <v>0</v>
      </c>
      <c r="O6" s="212" t="s">
        <v>253</v>
      </c>
      <c r="P6" s="158">
        <f ca="1">SUM((IFERROR(OFFSET($G$22,MATCH(M6,$G$23,0),2),0)),((IFERROR(OFFSET($G$36,MATCH(M6,$G$37,0),2),0))),((IFERROR(OFFSET($G$51,MATCH(M6,$G$52,0),2),0))),((IFERROR(OFFSET($G$66,MATCH(M6,$G$67,0),2),0))),((IFERROR(OFFSET($G$81,MATCH(M6,$G$82,0),2),0))),((IFERROR(OFFSET($G$98,MATCH(M6,$G$99,0),2),0))),((IFERROR(OFFSET($G$113,MATCH(M6,$G$114,0),2),0))),((IFERROR(OFFSET($G$128,MATCH(M6,$G$129,0),2),0))),((IFERROR(OFFSET($G$143,MATCH(M6,$G$144,0),2),0))),((IFERROR(OFFSET($G$158,MATCH(M6,$G$159,0),2),0))))</f>
        <v>0</v>
      </c>
      <c r="T6" s="212" t="s">
        <v>138</v>
      </c>
    </row>
    <row r="7" spans="1:20" ht="14.25" customHeight="1" x14ac:dyDescent="0.2">
      <c r="B7" s="76" t="s">
        <v>153</v>
      </c>
      <c r="C7" s="148"/>
      <c r="D7" s="56"/>
      <c r="E7" s="56"/>
      <c r="F7" s="56"/>
      <c r="G7" s="56"/>
      <c r="H7" s="56"/>
      <c r="I7" s="56"/>
      <c r="J7" s="160"/>
      <c r="K7" s="160"/>
      <c r="M7" s="95" t="str">
        <f>$C$5 &amp; " - Natural Gas"</f>
        <v>Batch Mix Plant - Natural Gas</v>
      </c>
      <c r="N7" s="158">
        <f ca="1">MAX((IFERROR(OFFSET($G$22,MATCH(M7,$G$23,0),1),0)),((IFERROR(OFFSET($G$36,MATCH(M7,$G$37,0),1),0))),((IFERROR(OFFSET($G$51,MATCH(M7,$G$52,0),1),0))),((IFERROR(OFFSET($G$66,MATCH(M7,$G$67,0),1),0))),((IFERROR(OFFSET($G$81,MATCH(M7,$G$82,0),1),0))),((IFERROR(OFFSET($G$98,MATCH(M7,$G$99,0),1),0))),((IFERROR(OFFSET($G$113,MATCH(M7,$G$114,0),1),0))),((IFERROR(OFFSET($G$128,MATCH(M7,$G$129,0),1),0))),((IFERROR(OFFSET($G$143,MATCH(M7,$G$144,0),1),0))),((IFERROR(OFFSET($G$158,MATCH(M7,$G$159,0),1),0))))</f>
        <v>0</v>
      </c>
      <c r="O7" s="212" t="s">
        <v>253</v>
      </c>
      <c r="P7" s="158">
        <f ca="1">SUM((IFERROR(OFFSET($G$22,MATCH(M7,$G$23,0),2),0)),((IFERROR(OFFSET($G$36,MATCH(M7,$G$37,0),2),0))),((IFERROR(OFFSET($G$51,MATCH(M7,$G$52,0),2),0))),((IFERROR(OFFSET($G$66,MATCH(M7,$G$67,0),2),0))),((IFERROR(OFFSET($G$81,MATCH(M7,$G$82,0),2),0))),((IFERROR(OFFSET($G$98,MATCH(M7,$G$99,0),2),0))),((IFERROR(OFFSET($G$113,MATCH(M7,$G$114,0),2),0))),((IFERROR(OFFSET($G$128,MATCH(M7,$G$129,0),2),0))),((IFERROR(OFFSET($G$143,MATCH(M7,$G$144,0),2),0))),((IFERROR(OFFSET($G$158,MATCH(M7,$G$159,0)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Heater",$G$84,0),1),0))),((IFERROR(OFFSET($G$100,MATCH("Fuel Oil Fired Heater",$G$101,0),1),0))),((IFERROR(OFFSET($G$115,MATCH("Fuel Oil Fired Heater",$G$116,0),1),0))),((IFERROR(OFFSET($G$130,MATCH("Fuel Oil Fired Heater",$G$131,0),1),0))),((IFERROR(OFFSET($G$145,MATCH("Fuel Oil Fired Heater",$G$146,0),1),0))),((IFERROR(OFFSET($G$160,MATCH("Fuel Oil Fired Heater",$G$161,0),1),0))))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Heater",$G$84,0),2),0))),((IFERROR(OFFSET($G$100,MATCH("Fuel Oil Fired Heater",$G$101,0),2),0))),((IFERROR(OFFSET($G$115,MATCH("Fuel Oil Fired Heater",$G$116,0),2),0))),((IFERROR(OFFSET($G$130,MATCH("Fuel Oil Fired Heater",$G$131,0),2),0))),((IFERROR(OFFSET($G$145,MATCH("Fuel Oil Fired Heater",$G$146,0),2),0))),((IFERROR(OFFSET($G$160,MATCH("Fuel Oil Fired Heater",$G$161,0),2),0))))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Heater",$G$84,0),1),0))),((IFERROR(OFFSET($G$100,MATCH("waste oil Fired Heater",$G$101,0),1),0))),((IFERROR(OFFSET($G$115,MATCH("waste oil Fired Heater",$G$116,0),1),0))),((IFERROR(OFFSET($G$130,MATCH("waste oil Fired Heater",$G$131,0),1),0))),((IFERROR(OFFSET($G$145,MATCH("waste oil Fired Heater",$G$146,0),1),0))),((IFERROR(OFFSET($G$160,MATCH("waste oil Fired Heater",$G$161,0),1),0))))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Heater",$G$84,0),2),0))),((IFERROR(OFFSET($G$100,MATCH("waste oil Fired Heater",$G$101,0),2),0))),((IFERROR(OFFSET($G$115,MATCH("waste oil Fired Heater",$G$116,0),2),0))),((IFERROR(OFFSET($G$130,MATCH("waste oil Fired Heater",$G$131,0),2),0))),((IFERROR(OFFSET($G$145,MATCH("waste oil Fired Heater",$G$146,0),2),0))),((IFERROR(OFFSET($G$160,MATCH("waste oil Fired Heater",$G$161,0),2),0))))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Heater",$G$84,0),1),0))),((IFERROR(OFFSET($G$100,MATCH("Natural Gas Fired Heater",$G$101,0),1),0))),((IFERROR(OFFSET($G$115,MATCH("Natural Gas Fired Heater",$G$116,0),1),0))),((IFERROR(OFFSET($G$130,MATCH("Natural Gas Fired Heater",$G$131,0),1),0))),((IFERROR(OFFSET($G$145,MATCH("Natural Gas Fired Heater",$G$146,0),1),0))),((IFERROR(OFFSET($G$160,MATCH("Natural Gas Fired Heater",$G$161,0),1),0))))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Heater",$G$84,0),2),0))),((IFERROR(OFFSET($G$100,MATCH("Natural Gas Fired Heater",$G$101,0),2),0))),((IFERROR(OFFSET($G$115,MATCH("Natural Gas Fired Heater",$G$116,0),2),0))),((IFERROR(OFFSET($G$130,MATCH("Natural Gas Fired Heater",$G$131,0),2),0))),((IFERROR(OFFSET($G$145,MATCH("Natural Gas Fired Heater",$G$146,0),2),0))),((IFERROR(OFFSET($G$160,MATCH("Natural Gas Fired Heater",$G$161,0),2),0))))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Filling",$G$86,0),1),0))),((IFERROR(OFFSET($G$102,MATCH("Silo Filling",$G$103,0),1),0))),((IFERROR(OFFSET($G$117,MATCH("Silo Filling",$G$118,0),1),0))),((IFERROR(OFFSET($G$132,MATCH("Silo Filling",$G$133,0),1),0))),((IFERROR(OFFSET($G$147,MATCH("Silo Filling",$G$148,0),1),0))),((IFERROR(OFFSET($G$162,MATCH("Silo Filling",$G$163,0),1),0))))</f>
        <v>0</v>
      </c>
      <c r="O11" s="212" t="s">
        <v>253</v>
      </c>
      <c r="P11" s="158">
        <f ca="1">SUM((IFERROR(OFFSET($G$26,MATCH("Silo Filling",$G$27,0),2),0)),((IFERROR(OFFSET($G$40,MATCH("Silo Filling",$G$41,0),2),0))),((IFERROR(OFFSET($G$55,MATCH("Silo Filling",$G$56,0),2),0))),((IFERROR(OFFSET($G$70,MATCH("Silo Filling",$G$71,0),2),0))),((IFERROR(OFFSET($G$85,MATCH("Silo Filling",$G$86,0),2),0))),((IFERROR(OFFSET($G$102,MATCH("Silo Filling",$G$103,0),2),0))),((IFERROR(OFFSET($G$117,MATCH("Silo Filling",$G$118,0),2),0))),((IFERROR(OFFSET($G$132,MATCH("Silo Filling",$G$133,0),2),0))),((IFERROR(OFFSET($G$147,MATCH("Silo Filling",$G$148,0),2),0))),((IFERROR(OFFSET($G$162,MATCH("Silo Filling",$G$163,0),2),0))))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Loadout",G87,0),1),0))),((IFERROR(OFFSET(G103,MATCH("Truck Loadout",G104,0),1),0))),((IFERROR(OFFSET(G118,MATCH("Truck Loadout",G119,0),1),0))),((IFERROR(OFFSET(G133,MATCH("Truck Loadout",G134,0),1),0))),((IFERROR(OFFSET(G148,MATCH("Truck Loadout",G149,0),1),0))),((IFERROR(OFFSET(G163,MATCH("Truck Loadout",G164,0),1),0))))</f>
        <v>0</v>
      </c>
      <c r="O12" s="212" t="s">
        <v>253</v>
      </c>
      <c r="P12" s="158">
        <f ca="1">SUM((IFERROR(OFFSET(G27,MATCH("Truck Loadout",G28,0),2),0)),((IFERROR(OFFSET(G41,MATCH("Truck Loadout",G42,0),2),0))),((IFERROR(OFFSET(G56,MATCH("Truck Loadout",G57,0),2),0))),((IFERROR(OFFSET(G71,MATCH("Truck Loadout",G72,0),2),0))),((IFERROR(OFFSET(G86,MATCH("Truck Loadout",G87,0),2),0))),((IFERROR(OFFSET(G103,MATCH("Truck Loadout",G104,0),2),0))),((IFERROR(OFFSET(G118,MATCH("Truck Loadout",G119,0),2),0))),((IFERROR(OFFSET(G133,MATCH("Truck Loadout",G134,0),2),0))),((IFERROR(OFFSET(G148,MATCH("Truck Loadout",G149,0),2),0))),((IFERROR(OFFSET(G163,MATCH("Truck Loadout",G164,0),2),0))))</f>
        <v>0</v>
      </c>
      <c r="T12" s="212" t="s">
        <v>138</v>
      </c>
    </row>
    <row r="13" spans="1:20" ht="14.25" customHeight="1" x14ac:dyDescent="0.25">
      <c r="A13" s="78" t="s">
        <v>199</v>
      </c>
      <c r="B13" s="318" t="s">
        <v>317</v>
      </c>
      <c r="C13" s="316"/>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Bins",G88,0),1),0))),((IFERROR(OFFSET(G104,MATCH("Cold Aggregate Bins",G105,0),1),0))),((IFERROR(OFFSET(G119,MATCH("Cold Aggregate Bins",G120,0),1),0))),((IFERROR(OFFSET(G134,MATCH("Cold Aggregate Bins",G135,0),1),0))),((IFERROR(OFFSET(G149,MATCH("Cold Aggregate Bins",G150,0),1),0))),((IFERROR(OFFSET(G164,MATCH("Cold Aggregate Bins",G165,0),1),0))))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Bins",G88,0),2),0))),((IFERROR(OFFSET(G104,MATCH("Cold Aggregate Bins",G105,0),2),0))),((IFERROR(OFFSET(G119,MATCH("Cold Aggregate Bins",G120,0),2),0))),((IFERROR(OFFSET(G134,MATCH("Cold Aggregate Bins",G135,0),2),0))),((IFERROR(OFFSET(G149,MATCH("Cold Aggregate Bins",G150,0),2),0))),((IFERROR(OFFSET(G164,MATCH("Cold Aggregate Bins",G165,0),2),0))))</f>
        <v>0</v>
      </c>
      <c r="T13" s="212" t="s">
        <v>138</v>
      </c>
    </row>
    <row r="14" spans="1:20" ht="14.25" customHeight="1" x14ac:dyDescent="0.25">
      <c r="A14" s="78" t="s">
        <v>200</v>
      </c>
      <c r="B14" s="319" t="s">
        <v>319</v>
      </c>
      <c r="C14" s="317"/>
      <c r="D14" s="36"/>
      <c r="E14" s="69" t="s">
        <v>26</v>
      </c>
      <c r="F14" s="148"/>
      <c r="G14" s="148"/>
      <c r="M14" s="78"/>
      <c r="N14" s="214" t="s">
        <v>273</v>
      </c>
      <c r="O14" s="251" t="s">
        <v>152</v>
      </c>
      <c r="P14" s="251"/>
    </row>
    <row r="15" spans="1:20" ht="14.25" customHeight="1" x14ac:dyDescent="0.25">
      <c r="A15" s="78" t="s">
        <v>201</v>
      </c>
      <c r="B15" s="319" t="s">
        <v>318</v>
      </c>
      <c r="C15" s="317"/>
      <c r="D15" s="36"/>
      <c r="E15" s="69" t="s">
        <v>5</v>
      </c>
      <c r="F15" s="148"/>
      <c r="G15" s="148"/>
      <c r="M15" s="95" t="s">
        <v>39</v>
      </c>
      <c r="N15" s="212">
        <f>SUM(G33,G47,G62,G77,G92,G109,G124,G139,G154,G169,)</f>
        <v>0</v>
      </c>
      <c r="O15" s="258">
        <f>SUM(H33*I33,H47*I47,H62*I62,H77*I77,H92*I92,H109*I109,H124*I124,H139*I139,H154*I154,H169*I169)</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9.25" customHeight="1" x14ac:dyDescent="0.25">
      <c r="B20" s="79" t="s">
        <v>193</v>
      </c>
      <c r="C20" s="80" t="s">
        <v>144</v>
      </c>
      <c r="D20" s="320"/>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331"/>
      <c r="E21" s="260"/>
      <c r="F21" s="260"/>
      <c r="G21" s="260"/>
      <c r="H21" s="260"/>
      <c r="I21" s="260"/>
      <c r="J21" s="163"/>
      <c r="K21" s="163"/>
      <c r="M21" s="95" t="str">
        <f>$C$5 &amp; " - Fuel Oil"</f>
        <v>Batch Mix Plant - Fuel Oil</v>
      </c>
      <c r="N21" s="111">
        <f ca="1">N5</f>
        <v>0</v>
      </c>
      <c r="O21" s="165">
        <f ca="1">IF(N21=0,0,IF(MAX((IFERROR(OFFSET($G$22,MATCH(M21,$G$23,0),3),0)),((IFERROR(OFFSET($G$36,MATCH(M21,$G$37,0),3),0))),((IFERROR(OFFSET($G$51,MATCH(M21,$G$52,0),3),0))),((IFERROR(OFFSET($G$66,MATCH(M21,$G$67,0),3),0))),((IFERROR(OFFSET($G$81,MATCH(M21,$G$82,0),3),0))),((IFERROR(OFFSET($G$98,MATCH(M21,$G$99,0),3),0))),((IFERROR(OFFSET($G$113,MATCH(M21,$G$114,0),3),0))),((IFERROR(OFFSET($G$128,MATCH(M21,$G$129,0),3),0))),((IFERROR(OFFSET($G$143,MATCH(M21,$G$144,0),3),0))),((IFERROR(OFFSET($G$158,MATCH(M21,$G$159,0),3),0))))=0,0,(MAX((IFERROR(OFFSET($G$22,MATCH(M21,$G$23,0),3),0)),((IFERROR(OFFSET($G$36,MATCH(M21,$G$37,0),3),0))),((IFERROR(OFFSET($G$51,MATCH(M21,$G$52,0),3),0))),((IFERROR(OFFSET($G$66,MATCH(M21,$G$67,0),3),0))),((IFERROR(OFFSET($G$81,MATCH(M21,$G$82,0),3),0))),((IFERROR(OFFSET($G$98,MATCH(M21,$G$99,0),3),0))),((IFERROR(OFFSET($G$113,MATCH(M21,$G$114,0),3),0))),((IFERROR(OFFSET($G$128,MATCH(M21,$G$129,0),3),0))),((IFERROR(OFFSET($G$143,MATCH(M21,$G$144,0),3),0))),((IFERROR(OFFSET($G$158,MATCH(M21,$G$159,0)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$99,0)*$I$99*$J$99/2000,0)),(IFERROR(MATCH(M21,$G$114,0)*$I$114*$J$114/2000,0)),(IFERROR(MATCH(M21,$G$129,0)*$I$129*$J$129/2000,0)),(IFERROR(MATCH(M21,$G$144,0)*$I$144*$J$144/2000,0)),(IFERROR(MATCH(M21,$G$159,0)*$I$159*$J$159/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Batch Mix Plant - Waste Oil</v>
      </c>
      <c r="N22" s="111">
        <f ca="1">N6</f>
        <v>0</v>
      </c>
      <c r="O22" s="165">
        <f ca="1">IF(N22=0,0,IF(MAX((IFERROR(OFFSET($G$22,MATCH(M22,$G$23,0),3),0)),((IFERROR(OFFSET($G$36,MATCH(M22,$G$37,0),3),0))),((IFERROR(OFFSET($G$51,MATCH(M22,$G$52,0),3),0))),((IFERROR(OFFSET($G$66,MATCH(M22,$G$67,0),3),0))),((IFERROR(OFFSET($G$81,MATCH(M22,$G$82,0),3),0))),((IFERROR(OFFSET($G$98,MATCH(M22,$G$99,0),3),0))),((IFERROR(OFFSET($G$113,MATCH(M22,$G$114,0),3),0))),((IFERROR(OFFSET($G$128,MATCH(M22,$G$129,0),3),0))),((IFERROR(OFFSET($G$143,MATCH(M22,$G$144,0),3),0))),((IFERROR(OFFSET($G$158,MATCH(M22,$G$159,0),3),0))))=0,0,(MAX((IFERROR(OFFSET($G$22,MATCH(M22,$G$23,0),3),0)),((IFERROR(OFFSET($G$36,MATCH(M22,$G$37,0),3),0))),((IFERROR(OFFSET($G$51,MATCH(M22,$G$52,0),3),0))),((IFERROR(OFFSET($G$66,MATCH(M22,$G$67,0),3),0))),((IFERROR(OFFSET($G$81,MATCH(M22,$G$82,0),3),0))),((IFERROR(OFFSET($G$98,MATCH(M22,$G$99,0),3),0))),((IFERROR(OFFSET($G$113,MATCH(M22,$G$114,0),3),0))),((IFERROR(OFFSET($G$128,MATCH(M22,$G$129,0),3),0))),((IFERROR(OFFSET($G$143,MATCH(M22,$G$144,0),3),0))),((IFERROR(OFFSET($G$158,MATCH(M22,$G$159,0)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$99,0)*$I$99*$J$99/2000,0)),(IFERROR(MATCH(M22,$G$114,0)*$I$114*$J$114/2000,0)),(IFERROR(MATCH(M22,$G$129,0)*$I$129*$J$129/2000,0)),(IFERROR(MATCH(M22,$G$144,0)*$I$144*$J$144/2000,0)),(IFERROR(MATCH(M22,$G$159,0)*$I$159*$J$159/2000,0))))</f>
        <v>0</v>
      </c>
    </row>
    <row r="23" spans="1:20" ht="14.25" customHeight="1" x14ac:dyDescent="0.2">
      <c r="B23" s="82" t="s">
        <v>89</v>
      </c>
      <c r="C23" s="73"/>
      <c r="D23" s="56"/>
      <c r="E23" s="124" t="str">
        <f>IF($C$4&gt;0,"AP-2 EP-1","")</f>
        <v/>
      </c>
      <c r="F23" s="124" t="str">
        <f>IF($C$4&gt;0,"AP-2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Batch Mix Plant - Natural Gas</v>
      </c>
      <c r="N23" s="111">
        <f ca="1">N7</f>
        <v>0</v>
      </c>
      <c r="O23" s="165">
        <f ca="1">IF(N23=0,0,IF(MAX((IFERROR(OFFSET($G$22,MATCH(M23,$G$23,0),3),0)),((IFERROR(OFFSET($G$36,MATCH(M23,$G$37,0),3),0))),((IFERROR(OFFSET($G$51,MATCH(M23,$G$52,0),3),0))),((IFERROR(OFFSET($G$66,MATCH(M23,$G$67,0),3),0))),((IFERROR(OFFSET($G$81,MATCH(M23,$G$82,0),3),0))),((IFERROR(OFFSET($G$98,MATCH(M23,$G$99,0),3),0))),((IFERROR(OFFSET($G$113,MATCH(M23,$G$114,0),3),0))),((IFERROR(OFFSET($G$128,MATCH(M23,$G$129,0),3),0))),((IFERROR(OFFSET($G$143,MATCH(M23,$G$144,0),3),0))),((IFERROR(OFFSET($G$158,MATCH(M23,$G$159,0),3),0))))=0,0,(MAX((IFERROR(OFFSET($G$22,MATCH(M23,$G$23,0),3),0)),((IFERROR(OFFSET($G$36,MATCH(M23,$G$37,0),3),0))),((IFERROR(OFFSET($G$51,MATCH(M23,$G$52,0),3),0))),((IFERROR(OFFSET($G$66,MATCH(M23,$G$67,0),3),0))),((IFERROR(OFFSET($G$81,MATCH(M23,$G$82,0),3),0))),((IFERROR(OFFSET($G$98,MATCH(M23,$G$99,0),3),0))),((IFERROR(OFFSET($G$113,MATCH(M23,$G$114,0),3),0))),((IFERROR(OFFSET($G$128,MATCH(M23,$G$129,0),3),0))),((IFERROR(OFFSET($G$143,MATCH(M23,$G$144,0),3),0))),((IFERROR(OFFSET($G$158,MATCH(M23,$G$159,0)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$99,0)*$I$99*$J$99/2000,0)),(IFERROR(MATCH(M23,$G$114,0)*$I$114*$J$114/2000,0)),(IFERROR(MATCH(M23,$G$129,0)*$I$129*$J$129/2000,0)),(IFERROR(MATCH(M23,$G$144,0)*$I$144*$J$144/2000,0)),(IFERROR(MATCH(M23,$G$159,0)*$I$159*$J$159/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IF($C$4&gt;0,"AP-2 EP-2","")</f>
        <v/>
      </c>
      <c r="F25" s="124" t="str">
        <f>IF($C$4&gt;0,"AP-2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IF($C$4&gt;0,"AP-2 EP-3","")</f>
        <v/>
      </c>
      <c r="F27" s="124" t="str">
        <f>IF($C$4&gt;0,"AP-2 EU-3","")</f>
        <v/>
      </c>
      <c r="G27" s="222" t="str">
        <f>IF(C5="","","Silo Filling")</f>
        <v>Silo Filling</v>
      </c>
      <c r="H27" s="72"/>
      <c r="I27" s="144"/>
      <c r="J27" s="226"/>
      <c r="K27" s="226"/>
      <c r="M27" s="94" t="s">
        <v>16</v>
      </c>
      <c r="Q27" s="172"/>
    </row>
    <row r="28" spans="1:20" ht="14.25" customHeight="1" x14ac:dyDescent="0.2">
      <c r="A28" s="155"/>
      <c r="B28" s="83"/>
      <c r="D28" s="56"/>
      <c r="E28" s="124" t="str">
        <f>IF($C$4&gt;0,"AP-2 EP-3","")</f>
        <v/>
      </c>
      <c r="F28" s="124" t="str">
        <f>IF($C$4&gt;0,"AP-2 EU-4","")</f>
        <v/>
      </c>
      <c r="G28" s="222" t="str">
        <f>IF(C5="","","Truck Loadout")</f>
        <v>Truck Loadout</v>
      </c>
      <c r="H28" s="72"/>
      <c r="I28" s="144"/>
      <c r="J28" s="226"/>
      <c r="K28" s="226"/>
      <c r="M28" s="95" t="str">
        <f>$C$5 &amp; " - Fuel Oil"</f>
        <v>Batch Mix Plant - Fuel Oil</v>
      </c>
      <c r="N28" s="111">
        <f ca="1">N5</f>
        <v>0</v>
      </c>
      <c r="O28" s="165">
        <f ca="1">IF(N28=0,0,IF(MAX((IFERROR(OFFSET($G$22,MATCH(M28,$G$23,0),4),0)),((IFERROR(OFFSET($G$36,MATCH(M28,$G$37,0),4),0))),((IFERROR(OFFSET($G$51,MATCH(M28,$G$52,0),4),0))),((IFERROR(OFFSET($G$66,MATCH(M28,$G$67,0),4),0))),((IFERROR(OFFSET($G$81,MATCH(M28,$G$82,0),3),0))),((IFERROR(OFFSET($G$98,MATCH(M28,$G$99,0),4),0))),((IFERROR(OFFSET($G$113,MATCH(M28,$G$114,0),4),0))),((IFERROR(OFFSET($G$128,MATCH(M28,$G$129,0),4),0))),((IFERROR(OFFSET($G$143,MATCH(M28,$G$144,0),4),0))),((IFERROR(OFFSET($G$158,MATCH(M28,$G$159,0),4),0))))=0,0,(MAX((IFERROR(OFFSET($G$22,MATCH(M28,$G$23,0),4),0)),((IFERROR(OFFSET($G$36,MATCH(M28,$G$37,0),4),0))),((IFERROR(OFFSET($G$51,MATCH(M28,$G$52,0),4),0))),((IFERROR(OFFSET($G$66,MATCH(M28,$G$67,0),4),0))),((IFERROR(OFFSET($G$81,MATCH(M28,$G$82,0),4),0))),((IFERROR(OFFSET($G$98,MATCH(M28,$G$99,0),4),0))),((IFERROR(OFFSET($G$113,MATCH(M28,$G$114,0),4),0))),((IFERROR(OFFSET($G$128,MATCH(M28,$G$129,0),4),0))),((IFERROR(OFFSET($G$143,MATCH(M28,$G$144,0),4),0))),((IFERROR(OFFSET($G$158,MATCH(M28,$G$159,0)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$99,0)*$I$99*$K$99/2000,0)),(IFERROR(MATCH(M28,$G$114,0)*$I$114*$K$114/2000,0)),(IFERROR(MATCH(M28,$G$129,0)*$I$129*$K$129/2000,0)),(IFERROR(MATCH(M28,$G$144,0)*$I$144*$K$144/2000,0)),(IFERROR(MATCH(M28,$G$159,0)*$I$159*$K$159/2000,0))))</f>
        <v>0</v>
      </c>
    </row>
    <row r="29" spans="1:20" ht="14.25" customHeight="1" x14ac:dyDescent="0.2">
      <c r="A29" s="155"/>
      <c r="B29" s="83"/>
      <c r="D29" s="56"/>
      <c r="E29" s="124" t="str">
        <f>IF($C$4&gt;0,"AP-2 EP-3","")</f>
        <v/>
      </c>
      <c r="F29" s="124" t="str">
        <f>IF($C$4&gt;0,"AP-2 EU-5","")</f>
        <v/>
      </c>
      <c r="G29" s="222" t="str">
        <f>IF(C5="","","Cold Aggregate Bins")</f>
        <v>Cold Aggregate Bins</v>
      </c>
      <c r="H29" s="72"/>
      <c r="I29" s="144"/>
      <c r="J29" s="226"/>
      <c r="K29" s="226"/>
      <c r="M29" s="95" t="str">
        <f>$C$5 &amp; " - Waste Oil"</f>
        <v>Batch Mix Plant - Waste Oil</v>
      </c>
      <c r="N29" s="111">
        <f ca="1">N6</f>
        <v>0</v>
      </c>
      <c r="O29" s="165">
        <f ca="1">IF(N29=0,0,IF(MAX((IFERROR(OFFSET($G$22,MATCH(M29,$G$23,0),4),0)),((IFERROR(OFFSET($G$36,MATCH(M29,$G$37,0),4),0))),((IFERROR(OFFSET($G$51,MATCH(M29,$G$52,0),4),0))),((IFERROR(OFFSET($G$66,MATCH(M29,$G$67,0),4),0))),((IFERROR(OFFSET($G$81,MATCH(M29,$G$82,0),3),0))),((IFERROR(OFFSET($G$98,MATCH(M29,$G$99,0),4),0))),((IFERROR(OFFSET($G$113,MATCH(M29,$G$114,0),4),0))),((IFERROR(OFFSET($G$128,MATCH(M29,$G$129,0),4),0))),((IFERROR(OFFSET($G$143,MATCH(M29,$G$144,0),4),0))),((IFERROR(OFFSET($G$158,MATCH(M29,$G$159,0),4),0))))=0,0,(MAX((IFERROR(OFFSET($G$22,MATCH(M29,$G$23,0),4),0)),((IFERROR(OFFSET($G$36,MATCH(M29,$G$37,0),4),0))),((IFERROR(OFFSET($G$51,MATCH(M29,$G$52,0),4),0))),((IFERROR(OFFSET($G$66,MATCH(M29,$G$67,0),4),0))),((IFERROR(OFFSET($G$81,MATCH(M29,$G$82,0),4),0))),((IFERROR(OFFSET($G$98,MATCH(M29,$G$99,0),4),0))),((IFERROR(OFFSET($G$113,MATCH(M29,$G$114,0),4),0))),((IFERROR(OFFSET($G$128,MATCH(M29,$G$129,0),4),0))),((IFERROR(OFFSET($G$143,MATCH(M29,$G$144,0),4),0))),((IFERROR(OFFSET($G$158,MATCH(M29,$G$159,0)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$99,0)*$I$99*$K$99/2000,0)),(IFERROR(MATCH(M29,$G$114,0)*$I$114*$K$114/2000,0)),(IFERROR(MATCH(M29,$G$129,0)*$I$129*$K$129/2000,0)),(IFERROR(MATCH(M29,$G$144,0)*$I$144*$K$144/2000,0)),(IFERROR(MATCH(M29,$G$159,0)*$I$159*$K$159/2000,0))))</f>
        <v>0</v>
      </c>
    </row>
    <row r="30" spans="1:20" ht="14.25" customHeight="1" x14ac:dyDescent="0.2">
      <c r="A30" s="155"/>
      <c r="B30" s="83"/>
      <c r="E30" s="125"/>
      <c r="F30" s="125"/>
      <c r="G30" s="227"/>
      <c r="H30" s="228"/>
      <c r="I30" s="226"/>
      <c r="M30" s="95" t="str">
        <f>$C$5 &amp; " - Natural Gas"</f>
        <v>Batch Mix Plant - Natural Gas</v>
      </c>
      <c r="N30" s="111">
        <f ca="1">N7</f>
        <v>0</v>
      </c>
      <c r="O30" s="165">
        <f ca="1">IF(N30=0,0,IF(MAX((IFERROR(OFFSET($G$22,MATCH(M30,$G$23,0),4),0)),((IFERROR(OFFSET($G$36,MATCH(M30,$G$37,0),4),0))),((IFERROR(OFFSET($G$51,MATCH(M30,$G$52,0),4),0))),((IFERROR(OFFSET($G$66,MATCH(M30,$G$67,0),4),0))),((IFERROR(OFFSET($G$81,MATCH(M30,$G$82,0),3),0))),((IFERROR(OFFSET($G$98,MATCH(M30,$G$99,0),4),0))),((IFERROR(OFFSET($G$113,MATCH(M30,$G$114,0),4),0))),((IFERROR(OFFSET($G$128,MATCH(M30,$G$129,0),4),0))),((IFERROR(OFFSET($G$143,MATCH(M30,$G$144,0),4),0))),((IFERROR(OFFSET($G$158,MATCH(M30,$G$159,0),4),0))))=0,0,(MAX((IFERROR(OFFSET($G$22,MATCH(M30,$G$23,0),4),0)),((IFERROR(OFFSET($G$36,MATCH(M30,$G$37,0),4),0))),((IFERROR(OFFSET($G$51,MATCH(M30,$G$52,0),4),0))),((IFERROR(OFFSET($G$66,MATCH(M30,$G$67,0),4),0))),((IFERROR(OFFSET($G$81,MATCH(M30,$G$82,0),4),0))),((IFERROR(OFFSET($G$98,MATCH(M30,$G$99,0),4),0))),((IFERROR(OFFSET($G$113,MATCH(M30,$G$114,0),4),0))),((IFERROR(OFFSET($G$128,MATCH(M30,$G$129,0),4),0))),((IFERROR(OFFSET($G$143,MATCH(M30,$G$144,0),4),0))),((IFERROR(OFFSET($G$158,MATCH(M30,$G$159,0)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$99,0)*$I$99*$K$99/2000,0)),(IFERROR(MATCH(M30,$G$114,0)*$I$114*$K$114/2000,0)),(IFERROR(MATCH(M30,$G$129,0)*$I$129*$K$129/2000,0)),(IFERROR(MATCH(M30,$G$144,0)*$I$144*$K$144/2000,0)),(IFERROR(MATCH(M30,$G$159,0)*$I$159*$K$159/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7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IF(C39="","","AP-2 EP-1")</f>
        <v/>
      </c>
      <c r="F37" s="124" t="str">
        <f>IF(C39="","","AP-2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IF(C39="","","AP-2 EP-2")</f>
        <v/>
      </c>
      <c r="F39" s="124" t="str">
        <f>IF(C39="","","AP-2 EU-2")</f>
        <v/>
      </c>
      <c r="G39" s="222" t="str">
        <f>IF(C39="","",C39&amp; " Fired Heater")</f>
        <v/>
      </c>
      <c r="H39" s="72"/>
      <c r="I39" s="144"/>
      <c r="J39" s="163"/>
      <c r="K39" s="163"/>
      <c r="M39" s="95" t="str">
        <f>$C$5 &amp; " - Fuel Oil"</f>
        <v>Batch Mix Plant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Batch Mix Plant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IF($C$4&gt;1,"AP-2 EP-3","")</f>
        <v/>
      </c>
      <c r="F41" s="124" t="str">
        <f>IF($C$4&gt;1,"AP-2 EU-3","")</f>
        <v/>
      </c>
      <c r="G41" s="222" t="str">
        <f>IF($C$4&gt;1,"Silo Filling","")</f>
        <v/>
      </c>
      <c r="H41" s="72"/>
      <c r="I41" s="144"/>
      <c r="J41" s="226"/>
      <c r="K41" s="226"/>
      <c r="M41" s="95" t="str">
        <f>$C$5 &amp; " - Natural Gas"</f>
        <v>Batch Mix Plant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IF($C$4&gt;1,"AP-2 EP-3","")</f>
        <v/>
      </c>
      <c r="F42" s="124" t="str">
        <f>IF($C$4&gt;1,"AP-2 EU-4","")</f>
        <v/>
      </c>
      <c r="G42" s="222" t="str">
        <f>IF($C$4&gt;1,"Truck Loadout","")</f>
        <v/>
      </c>
      <c r="H42" s="72"/>
      <c r="I42" s="144"/>
      <c r="J42" s="226"/>
      <c r="K42" s="226"/>
      <c r="M42" s="94" t="s">
        <v>26</v>
      </c>
      <c r="T42" s="171"/>
    </row>
    <row r="43" spans="1:20" ht="14.25" customHeight="1" x14ac:dyDescent="0.2">
      <c r="B43" s="83"/>
      <c r="D43" s="56"/>
      <c r="E43" s="124" t="str">
        <f>IF($C$4&gt;1,"AP-2 EP-3","")</f>
        <v/>
      </c>
      <c r="F43" s="124" t="str">
        <f>IF($C$4&gt;1,"AP-2 EU-5","")</f>
        <v/>
      </c>
      <c r="G43" s="222" t="str">
        <f>IF($C$4&gt;1,"Cold Aggregate Bins","")</f>
        <v/>
      </c>
      <c r="H43" s="72"/>
      <c r="I43" s="144"/>
      <c r="J43" s="226"/>
      <c r="K43" s="226"/>
      <c r="M43" s="95" t="str">
        <f>$C$5 &amp; " - Fuel Oil"</f>
        <v>Batch Mix Plant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Batch Mix Plant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Batch Mix Plant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Batch Mix Plant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Batch Mix Plant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9.2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Batch Mix Plant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Batch Mix Plant</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IF(C54="","","AP-2 EP-1")</f>
        <v/>
      </c>
      <c r="F52" s="124" t="str">
        <f>IF(C54="","","AP-2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IF(C54="","","AP-2 EP-2")</f>
        <v/>
      </c>
      <c r="F54" s="124" t="str">
        <f>IF(C54="","","AP-2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IF($C$4&gt;2,"AP-2 EP-3","")</f>
        <v/>
      </c>
      <c r="F56" s="124" t="str">
        <f>IF($C$4&gt;2,"AP-2 EU-3","")</f>
        <v/>
      </c>
      <c r="G56" s="222" t="str">
        <f>IF($C$4&gt;2,"Silo Filling","")</f>
        <v/>
      </c>
      <c r="H56" s="72"/>
      <c r="I56" s="144"/>
      <c r="J56" s="226"/>
      <c r="K56" s="226"/>
      <c r="M56" s="95" t="str">
        <f>IF($C$5="","",$C$5)</f>
        <v>Batch Mix Plant</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IF($C$4&gt;2,"AP-2 EP-3","")</f>
        <v/>
      </c>
      <c r="F57" s="124" t="str">
        <f>IF($C$4&gt;2,"AP-2 EU-4","")</f>
        <v/>
      </c>
      <c r="G57" s="222" t="str">
        <f>IF($C$4&gt;2,"Truck Loadout","")</f>
        <v/>
      </c>
      <c r="H57" s="72"/>
      <c r="I57" s="144"/>
      <c r="J57" s="226"/>
      <c r="K57" s="226"/>
      <c r="M57" s="94" t="s">
        <v>212</v>
      </c>
      <c r="T57" s="171"/>
    </row>
    <row r="58" spans="2:20" ht="14.25" customHeight="1" x14ac:dyDescent="0.2">
      <c r="B58" s="83"/>
      <c r="D58" s="56"/>
      <c r="E58" s="124" t="str">
        <f>IF($C$4&gt;2,"AP-2 EP-3","")</f>
        <v/>
      </c>
      <c r="F58" s="124" t="str">
        <f>IF($C$4&gt;2,"AP-2 EU-5","")</f>
        <v/>
      </c>
      <c r="G58" s="222" t="str">
        <f>IF($C$4&gt;2,"Cold Aggregate Bins","")</f>
        <v/>
      </c>
      <c r="H58" s="72"/>
      <c r="I58" s="144"/>
      <c r="J58" s="226"/>
      <c r="K58" s="226"/>
      <c r="M58" s="95" t="str">
        <f>IF($C$5="","",$C$5)</f>
        <v>Batch Mix Plant</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Batch Mix Plant</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Batch Mix Plant</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30"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Batch Mix Plant</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IF(C69="","","AP-2 EP-1")</f>
        <v/>
      </c>
      <c r="F67" s="124" t="str">
        <f>IF(C69="","","AP-2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Batch Mix Plant</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IF(C69="","","AP-2 EP-2")</f>
        <v/>
      </c>
      <c r="F69" s="124" t="str">
        <f>IF(C69="","","AP-2 EU-2")</f>
        <v/>
      </c>
      <c r="G69" s="222" t="str">
        <f>IF(C69="","",C69&amp; " Fired Heater")</f>
        <v/>
      </c>
      <c r="H69" s="72"/>
      <c r="I69" s="144"/>
      <c r="J69" s="163"/>
      <c r="K69" s="163"/>
      <c r="M69" s="95" t="str">
        <f>IF($C$5="","",$C$5)</f>
        <v>Batch Mix Plant</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IF($C$4&gt;3,"AP-2 EP-3","")</f>
        <v/>
      </c>
      <c r="F71" s="124" t="str">
        <f>IF($C$4&gt;3,"AP-2 EU-3","")</f>
        <v/>
      </c>
      <c r="G71" s="222" t="str">
        <f>IF($C$4&gt;3,"Silo Filling","")</f>
        <v/>
      </c>
      <c r="H71" s="72"/>
      <c r="I71" s="144"/>
      <c r="J71" s="226"/>
      <c r="K71" s="226"/>
      <c r="M71" s="95" t="str">
        <f>IF($C$5="","",$C$5)</f>
        <v>Batch Mix Plant</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IF($C$4&gt;3,"AP-2 EP-3","")</f>
        <v/>
      </c>
      <c r="F72" s="124" t="str">
        <f>IF($C$4&gt;3,"AP-2 EU-4","")</f>
        <v/>
      </c>
      <c r="G72" s="222" t="str">
        <f>IF($C$4&gt;3,"Truck Loadout","")</f>
        <v/>
      </c>
      <c r="H72" s="72"/>
      <c r="I72" s="144"/>
      <c r="J72" s="226"/>
      <c r="K72" s="226"/>
      <c r="M72" s="94" t="s">
        <v>217</v>
      </c>
      <c r="T72" s="171"/>
    </row>
    <row r="73" spans="2:20" ht="14.25" customHeight="1" x14ac:dyDescent="0.2">
      <c r="B73" s="83"/>
      <c r="D73" s="56"/>
      <c r="E73" s="124" t="str">
        <f>IF($C$4&gt;3,"AP-2 EP-3","")</f>
        <v/>
      </c>
      <c r="F73" s="124" t="str">
        <f>IF($C$4&gt;3,"AP-2 EU-5","")</f>
        <v/>
      </c>
      <c r="G73" s="222" t="str">
        <f>IF($C$4&gt;3,"Cold Aggregate Bins","")</f>
        <v/>
      </c>
      <c r="H73" s="72"/>
      <c r="I73" s="144"/>
      <c r="J73" s="226"/>
      <c r="K73" s="226"/>
      <c r="M73" s="95" t="str">
        <f>IF($C$5="","",$C$5)</f>
        <v>Batch Mix Plant</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Batch Mix Plant</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Batch Mix Plant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Batch Mix Plant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7"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Batch Mix Plant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Batch Mix Plant</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IF(C84="","","AP-2 EP-1")</f>
        <v/>
      </c>
      <c r="F82" s="124" t="str">
        <f>IF(C84="","","AP-2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Batch Mix Plant</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IF(C84="","","AP-2 EP-2")</f>
        <v/>
      </c>
      <c r="F84" s="124" t="str">
        <f>IF(C84="","","AP-2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IF(OR(C26="yes",C40="yes",C70="yes",C85="yes",C102="yes",C117="yes",C132="yes",C147="yes",C162="yes"),1,0)</f>
        <v>0</v>
      </c>
      <c r="M85" s="95" t="str">
        <f>IF($C$5="","",$C$5)</f>
        <v>Batch Mix Plant</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IF($C$4&gt;4,"AP-2 EP-3","")</f>
        <v/>
      </c>
      <c r="F86" s="124" t="str">
        <f>IF($C$4&gt;4,"AP-2 EU-3","")</f>
        <v/>
      </c>
      <c r="G86" s="222" t="str">
        <f>IF($C$4&gt;4,"Silo Filling","")</f>
        <v/>
      </c>
      <c r="H86" s="72"/>
      <c r="I86" s="144"/>
      <c r="J86" s="226"/>
      <c r="K86" s="226"/>
      <c r="M86" s="94" t="s">
        <v>224</v>
      </c>
      <c r="T86" s="171"/>
    </row>
    <row r="87" spans="2:20" ht="14.25" customHeight="1" x14ac:dyDescent="0.2">
      <c r="B87" s="83"/>
      <c r="D87" s="56"/>
      <c r="E87" s="124" t="str">
        <f>IF($C$4&gt;4,"AP-2 EP-3","")</f>
        <v/>
      </c>
      <c r="F87" s="124" t="str">
        <f>IF($C$4&gt;4,"AP-2 EU-4","")</f>
        <v/>
      </c>
      <c r="G87" s="222" t="str">
        <f>IF($C$4&gt;4,"Truck Loadout","")</f>
        <v/>
      </c>
      <c r="H87" s="72"/>
      <c r="I87" s="144"/>
      <c r="J87" s="226"/>
      <c r="K87" s="226"/>
      <c r="M87" s="95" t="str">
        <f>IF($C$5="","",$C$5)</f>
        <v>Batch Mix Plant</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IF($C$4&gt;4,"AP-2 EP-3","")</f>
        <v/>
      </c>
      <c r="F88" s="124" t="str">
        <f>IF($C$4&gt;4,"AP-2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Batch Mix Plant</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Batch Mix Plant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Batch Mix Plant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Batch Mix Plant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14.25" customHeight="1" x14ac:dyDescent="0.2">
      <c r="J94" s="161"/>
      <c r="K94" s="161"/>
      <c r="M94" s="322"/>
      <c r="N94" s="323"/>
      <c r="O94" s="324"/>
      <c r="P94" s="125"/>
      <c r="Q94" s="210"/>
      <c r="R94" s="210"/>
      <c r="S94" s="210"/>
      <c r="T94" s="210"/>
    </row>
    <row r="95" spans="2:20" ht="14.25" customHeight="1" x14ac:dyDescent="0.2">
      <c r="J95" s="161"/>
      <c r="K95" s="161"/>
      <c r="M95" s="322"/>
      <c r="N95" s="323"/>
      <c r="O95" s="324"/>
      <c r="P95" s="125"/>
      <c r="Q95" s="210"/>
      <c r="R95" s="210"/>
      <c r="S95" s="210"/>
      <c r="T95" s="210"/>
    </row>
    <row r="96" spans="2:20" ht="27" customHeight="1" x14ac:dyDescent="0.25">
      <c r="B96" s="79" t="str">
        <f>IF($C$4&gt;5,"Asphalt Plant","")</f>
        <v/>
      </c>
      <c r="C96" s="156" t="str">
        <f>IF($C$4&gt;5,"Site 6","")</f>
        <v/>
      </c>
      <c r="E96" s="259" t="str">
        <f>IF($C$4&gt;5,"Emission Point #","")</f>
        <v/>
      </c>
      <c r="F96" s="259" t="str">
        <f>IF($C$4&gt;5,"Emission    Unit #","")</f>
        <v/>
      </c>
      <c r="G96" s="259" t="str">
        <f>IF($C$4&gt;5,"Process","")</f>
        <v/>
      </c>
      <c r="H96" s="259" t="str">
        <f>IF($C$4&gt;5,"Maximum Hourly     Design Rate","")</f>
        <v/>
      </c>
      <c r="I96" s="261" t="str">
        <f>IF($C$4&gt;5,('Facility Information'!G80&amp;" Annual Throughput"),"")</f>
        <v/>
      </c>
      <c r="J96" s="162"/>
      <c r="K96" s="162"/>
    </row>
    <row r="97" spans="2:11" ht="14.25" customHeight="1" x14ac:dyDescent="0.2">
      <c r="B97" s="81"/>
      <c r="D97" s="56"/>
      <c r="E97" s="260"/>
      <c r="F97" s="260"/>
      <c r="G97" s="260"/>
      <c r="H97" s="260"/>
      <c r="I97" s="260"/>
      <c r="J97" s="163"/>
      <c r="K97" s="163"/>
    </row>
    <row r="98" spans="2:11" ht="14.25" customHeight="1" x14ac:dyDescent="0.2">
      <c r="B98" s="82" t="str">
        <f>IF($C$4&gt;5,"Site Name","")</f>
        <v/>
      </c>
      <c r="C98" s="73"/>
      <c r="D98" s="56"/>
      <c r="E98" s="325" t="str">
        <f>IF($C$4&gt;5,"Dryers, Hot Screens, Mixer","")</f>
        <v/>
      </c>
      <c r="F98" s="325"/>
      <c r="G98" s="325"/>
      <c r="H98" s="149" t="str">
        <f>IF($C$4&gt;5,"(tons/hr)","")</f>
        <v/>
      </c>
      <c r="I98" s="149" t="str">
        <f>IF($C$4&gt;5,"(tons/yr)","")</f>
        <v/>
      </c>
      <c r="J98" s="163" t="s">
        <v>109</v>
      </c>
      <c r="K98" s="163" t="s">
        <v>16</v>
      </c>
    </row>
    <row r="99" spans="2:11" ht="14.25" customHeight="1" x14ac:dyDescent="0.2">
      <c r="B99" s="82" t="str">
        <f>IF($C$4&gt;5,"County:","")</f>
        <v/>
      </c>
      <c r="C99" s="73"/>
      <c r="D99" s="56"/>
      <c r="E99" s="124" t="str">
        <f>IF(C101="","","AP-2 EP-1")</f>
        <v/>
      </c>
      <c r="F99" s="124" t="str">
        <f>IF(C101="","","AP-2 EU-1")</f>
        <v/>
      </c>
      <c r="G99" s="222" t="str">
        <f>IF(C101="","",C5 &amp; " - "&amp;C101)</f>
        <v/>
      </c>
      <c r="H99" s="72"/>
      <c r="I99" s="144"/>
      <c r="J99" s="225" t="str">
        <f>IF(C102="","",IF(C102="yes",LOOKUP(G99,'Emission Factors'!$A$12:$A$17,'Emission Factors'!$D$12:$D$17),LOOKUP(G99,'Emission Factors'!$A$5:$A$10,'Emission Factors'!$D$5:$D$10)))</f>
        <v/>
      </c>
      <c r="K99" s="225" t="str">
        <f>IF(C102="","",IF(C102="yes",LOOKUP(G99,'Emission Factors'!$A$12:$A$17,'Emission Factors'!$F$12:$F$17),LOOKUP(G99,'Emission Factors'!$A$5:$A$10,'Emission Factors'!$F$5:$F$10)))</f>
        <v/>
      </c>
    </row>
    <row r="100" spans="2:11" ht="14.25" customHeight="1" x14ac:dyDescent="0.2">
      <c r="B100" s="82" t="str">
        <f>IF($C$4&gt;5,"Production Period (Dates):","")</f>
        <v/>
      </c>
      <c r="C100" s="73"/>
      <c r="D100" s="56"/>
      <c r="E100" s="325" t="str">
        <f>IF($C$4&gt;5,"Liquid Asphalt Heater","")</f>
        <v/>
      </c>
      <c r="F100" s="325"/>
      <c r="G100" s="325"/>
      <c r="H100" s="149" t="str">
        <f>IF($C$4&gt;5,IF(C101="natural gas","(MMCF/hr)","(gallons/hr)"),"")</f>
        <v/>
      </c>
      <c r="I100" s="149" t="str">
        <f>IF($C$4&gt;5,IF(C101="natural gas","(MMCF/yr)","(gallons/yr)"),"")</f>
        <v/>
      </c>
      <c r="J100" s="225"/>
      <c r="K100" s="225"/>
    </row>
    <row r="101" spans="2:11" ht="14.25" customHeight="1" x14ac:dyDescent="0.2">
      <c r="B101" s="82" t="str">
        <f>IF($C$4&gt;5,"Type of Fuel Used:","")</f>
        <v/>
      </c>
      <c r="C101" s="230"/>
      <c r="D101" s="56"/>
      <c r="E101" s="124" t="str">
        <f>IF(C101="","","AP-2 EP-2")</f>
        <v/>
      </c>
      <c r="F101" s="124" t="str">
        <f>IF(C101="","","AP-2 EU-2")</f>
        <v/>
      </c>
      <c r="G101" s="222" t="str">
        <f>IF(C101="","",C101&amp; " Fired Heater")</f>
        <v/>
      </c>
      <c r="H101" s="72"/>
      <c r="I101" s="144"/>
      <c r="J101" s="163"/>
      <c r="K101" s="163"/>
    </row>
    <row r="102" spans="2:11" ht="14.25" customHeight="1" x14ac:dyDescent="0.2">
      <c r="B102" s="82" t="str">
        <f>IF($C$4&gt;5,"Is Your Operation Controlled?:","")</f>
        <v/>
      </c>
      <c r="C102" s="230"/>
      <c r="D102" s="56"/>
      <c r="E102" s="325" t="str">
        <f>IF($C$4&gt;5,"Silo Filling, Truck Loadout, Aggregate Transfer","")</f>
        <v/>
      </c>
      <c r="F102" s="325"/>
      <c r="G102" s="325"/>
      <c r="H102" s="149" t="str">
        <f>IF($C$4&gt;5,"(tons/hr)","")</f>
        <v/>
      </c>
      <c r="I102" s="149" t="str">
        <f>IF($C$4&gt;5,"(tons/yr)","")</f>
        <v/>
      </c>
      <c r="J102" s="226"/>
      <c r="K102" s="226"/>
    </row>
    <row r="103" spans="2:11" ht="14.25" customHeight="1" x14ac:dyDescent="0.2">
      <c r="D103" s="56"/>
      <c r="E103" s="124" t="str">
        <f>IF($C$4&gt;5,"AP-2 EP-3","")</f>
        <v/>
      </c>
      <c r="F103" s="124" t="str">
        <f>IF($C$4&gt;5,"AP-2 EU-3","")</f>
        <v/>
      </c>
      <c r="G103" s="222" t="str">
        <f>IF($C$4&gt;5,"Silo Filling","")</f>
        <v/>
      </c>
      <c r="H103" s="72"/>
      <c r="I103" s="144"/>
      <c r="J103" s="226"/>
      <c r="K103" s="226"/>
    </row>
    <row r="104" spans="2:11" ht="14.25" customHeight="1" x14ac:dyDescent="0.2">
      <c r="B104" s="83"/>
      <c r="D104" s="56"/>
      <c r="E104" s="124" t="str">
        <f>IF($C$4&gt;5,"AP-2 EP-3","")</f>
        <v/>
      </c>
      <c r="F104" s="124" t="str">
        <f>IF($C$4&gt;5,"AP-2 EU-4","")</f>
        <v/>
      </c>
      <c r="G104" s="222" t="str">
        <f>IF($C$4&gt;5,"Truck Loadout","")</f>
        <v/>
      </c>
      <c r="H104" s="72"/>
      <c r="I104" s="144"/>
      <c r="J104" s="226"/>
      <c r="K104" s="226"/>
    </row>
    <row r="105" spans="2:11" ht="14.25" customHeight="1" x14ac:dyDescent="0.2">
      <c r="B105" s="83"/>
      <c r="D105" s="56"/>
      <c r="E105" s="124" t="str">
        <f>IF($C$4&gt;5,"AP-2 EP-3","")</f>
        <v/>
      </c>
      <c r="F105" s="124" t="str">
        <f>IF($C$4&gt;5,"AP-2 EU-5","")</f>
        <v/>
      </c>
      <c r="G105" s="222" t="str">
        <f>IF($C$4&gt;5,"Cold Aggregate Bins","")</f>
        <v/>
      </c>
      <c r="H105" s="72"/>
      <c r="I105" s="144"/>
      <c r="J105" s="226"/>
      <c r="K105" s="226"/>
    </row>
    <row r="106" spans="2:11" ht="14.25" customHeight="1" x14ac:dyDescent="0.2">
      <c r="B106" s="83"/>
      <c r="E106" s="125"/>
      <c r="F106" s="125"/>
      <c r="G106" s="227"/>
      <c r="H106" s="228"/>
      <c r="I106" s="226"/>
    </row>
    <row r="107" spans="2:11" ht="14.25" customHeight="1" x14ac:dyDescent="0.2">
      <c r="B107" s="83"/>
      <c r="E107" s="84" t="str">
        <f>IF($C$4&gt;5,"Stock Pile Area","")</f>
        <v/>
      </c>
      <c r="F107" s="84"/>
      <c r="G107" s="85"/>
      <c r="J107" s="113"/>
      <c r="K107" s="113"/>
    </row>
    <row r="108" spans="2:11" ht="14.25" customHeight="1" x14ac:dyDescent="0.2">
      <c r="B108" s="56"/>
      <c r="F108" s="87" t="str">
        <f>IF($C$4&gt;5,"Emission Unit #","")</f>
        <v/>
      </c>
      <c r="G108" s="52" t="str">
        <f>IF($C$4&gt;5,"Maximum Storage Area (acres)","")</f>
        <v/>
      </c>
      <c r="H108" s="213" t="str">
        <f>IF($C$4&gt;5,"Actual Storage Area (acres)","")</f>
        <v/>
      </c>
      <c r="I108" s="52" t="str">
        <f>IF($C$4&gt;5,"Actual Days in Existence (days)","")</f>
        <v/>
      </c>
      <c r="J108" s="113"/>
      <c r="K108" s="113"/>
    </row>
    <row r="109" spans="2:11" ht="14.25" customHeight="1" x14ac:dyDescent="0.2">
      <c r="B109" s="83"/>
      <c r="E109" s="125"/>
      <c r="F109" s="74"/>
      <c r="G109" s="148"/>
      <c r="H109" s="75"/>
      <c r="I109" s="148"/>
    </row>
    <row r="110" spans="2:11" ht="29.25" customHeight="1" x14ac:dyDescent="0.2">
      <c r="J110" s="161"/>
      <c r="K110" s="161"/>
    </row>
    <row r="111" spans="2:11" ht="27.75" customHeight="1" x14ac:dyDescent="0.25">
      <c r="B111" s="79" t="str">
        <f>IF($C$4&gt;6,"Asphalt Plant","")</f>
        <v/>
      </c>
      <c r="C111" s="156" t="str">
        <f>IF($C$4&gt;6,"Site 7","")</f>
        <v/>
      </c>
      <c r="E111" s="259" t="str">
        <f>IF($C$4&gt;6,"Emission Point #","")</f>
        <v/>
      </c>
      <c r="F111" s="259" t="str">
        <f>IF($C$4&gt;6,"Emission    Unit #","")</f>
        <v/>
      </c>
      <c r="G111" s="259" t="str">
        <f>IF($C$4&gt;6,"Process","")</f>
        <v/>
      </c>
      <c r="H111" s="259" t="str">
        <f>IF($C$4&gt;6,"Maximum Hourly     Design Rate","")</f>
        <v/>
      </c>
      <c r="I111" s="261" t="str">
        <f>IF($C$4&gt;6,('Facility Information'!G95&amp;" Annual Throughput"),"")</f>
        <v/>
      </c>
      <c r="J111" s="162"/>
      <c r="K111" s="162"/>
    </row>
    <row r="112" spans="2:11" ht="14.25" customHeight="1" x14ac:dyDescent="0.2">
      <c r="B112" s="81"/>
      <c r="D112" s="56"/>
      <c r="E112" s="260"/>
      <c r="F112" s="260"/>
      <c r="G112" s="260"/>
      <c r="H112" s="260"/>
      <c r="I112" s="260"/>
      <c r="J112" s="163"/>
      <c r="K112" s="163"/>
    </row>
    <row r="113" spans="2:11" ht="14.25" customHeight="1" x14ac:dyDescent="0.2">
      <c r="B113" s="82" t="str">
        <f>IF($C$4&gt;6,"Site Name","")</f>
        <v/>
      </c>
      <c r="C113" s="73"/>
      <c r="D113" s="56"/>
      <c r="E113" s="325" t="str">
        <f>IF($C$4&gt;6,"Dryers, Hot Screens, Mixer","")</f>
        <v/>
      </c>
      <c r="F113" s="325"/>
      <c r="G113" s="325"/>
      <c r="H113" s="149" t="str">
        <f>IF($C$4&gt;6,"(tons/hr)","")</f>
        <v/>
      </c>
      <c r="I113" s="149" t="str">
        <f>IF($C$4&gt;6,"(tons/yr)","")</f>
        <v/>
      </c>
      <c r="J113" s="163" t="s">
        <v>109</v>
      </c>
      <c r="K113" s="163" t="s">
        <v>16</v>
      </c>
    </row>
    <row r="114" spans="2:11" ht="14.25" customHeight="1" x14ac:dyDescent="0.2">
      <c r="B114" s="82" t="str">
        <f>IF($C$4&gt;6,"County:","")</f>
        <v/>
      </c>
      <c r="C114" s="73"/>
      <c r="D114" s="56"/>
      <c r="E114" s="124" t="str">
        <f>IF(C116="","","AP-2 EP-1")</f>
        <v/>
      </c>
      <c r="F114" s="124" t="str">
        <f>IF(C116="","","AP-2 EU-1")</f>
        <v/>
      </c>
      <c r="G114" s="222" t="str">
        <f>IF(C116="","",C5 &amp; " - "&amp;C116)</f>
        <v/>
      </c>
      <c r="H114" s="72"/>
      <c r="I114" s="144"/>
      <c r="J114" s="225" t="str">
        <f>IF(C117="","",IF(C117="yes",LOOKUP(G114,'Emission Factors'!$A$12:$A$17,'Emission Factors'!$D$12:$D$17),LOOKUP(G114,'Emission Factors'!$A$5:$A$10,'Emission Factors'!$D$5:$D$10)))</f>
        <v/>
      </c>
      <c r="K114" s="225" t="str">
        <f>IF(C117="","",IF(C117="yes",LOOKUP(G114,'Emission Factors'!$A$12:$A$17,'Emission Factors'!$F$12:$F$17),LOOKUP(G114,'Emission Factors'!$A$5:$A$10,'Emission Factors'!$F$5:$F$10)))</f>
        <v/>
      </c>
    </row>
    <row r="115" spans="2:11" ht="14.25" customHeight="1" x14ac:dyDescent="0.2">
      <c r="B115" s="82" t="str">
        <f>IF($C$4&gt;6,"Production Period (Dates):","")</f>
        <v/>
      </c>
      <c r="C115" s="73"/>
      <c r="D115" s="56"/>
      <c r="E115" s="325" t="str">
        <f>IF($C$4&gt;6,"Liquid Asphalt Heater","")</f>
        <v/>
      </c>
      <c r="F115" s="325"/>
      <c r="G115" s="325"/>
      <c r="H115" s="149" t="str">
        <f>IF($C$4&gt;6,IF(C116="natural gas","(MMCF/hr)","(gallons/hr)"),"")</f>
        <v/>
      </c>
      <c r="I115" s="149" t="str">
        <f>IF($C$4&gt;6,IF(C116="natural gas","(MMCF/yr)","(gallons/yr)"),"")</f>
        <v/>
      </c>
      <c r="J115" s="226"/>
      <c r="K115" s="226"/>
    </row>
    <row r="116" spans="2:11" ht="14.25" customHeight="1" x14ac:dyDescent="0.2">
      <c r="B116" s="82" t="str">
        <f>IF($C$4&gt;6,"Type of Fuel Used:","")</f>
        <v/>
      </c>
      <c r="C116" s="230"/>
      <c r="D116" s="56"/>
      <c r="E116" s="124" t="str">
        <f>IF(C116="","","AP-2 EP-2")</f>
        <v/>
      </c>
      <c r="F116" s="124" t="str">
        <f>IF(C116="","","AP-2 EU-2")</f>
        <v/>
      </c>
      <c r="G116" s="222" t="str">
        <f>IF(C116="","",C116&amp; " Fired Heater")</f>
        <v/>
      </c>
      <c r="H116" s="72"/>
      <c r="I116" s="144"/>
      <c r="J116" s="163"/>
      <c r="K116" s="163"/>
    </row>
    <row r="117" spans="2:11" ht="14.25" customHeight="1" x14ac:dyDescent="0.2">
      <c r="B117" s="82" t="str">
        <f>IF($C$4&gt;6,"Is Your Operation Controlled?:","")</f>
        <v/>
      </c>
      <c r="C117" s="230"/>
      <c r="D117" s="56"/>
      <c r="E117" s="325" t="str">
        <f>IF($C$4&gt;6,"Silo Filling, Truck Loadout, Aggregate Transfer","")</f>
        <v/>
      </c>
      <c r="F117" s="325"/>
      <c r="G117" s="325"/>
      <c r="H117" s="149" t="str">
        <f>IF($C$4&gt;6,"(tons/hr)","")</f>
        <v/>
      </c>
      <c r="I117" s="149" t="str">
        <f>IF($C$4&gt;6,"(tons/yr)","")</f>
        <v/>
      </c>
      <c r="J117" s="226"/>
      <c r="K117" s="226"/>
    </row>
    <row r="118" spans="2:11" ht="14.25" customHeight="1" x14ac:dyDescent="0.2">
      <c r="D118" s="56"/>
      <c r="E118" s="124" t="str">
        <f>IF($C$4&gt;6,"AP-2 EP-3","")</f>
        <v/>
      </c>
      <c r="F118" s="124" t="str">
        <f>IF($C$4&gt;6,"AP-2 EU-3","")</f>
        <v/>
      </c>
      <c r="G118" s="222" t="str">
        <f>IF($C$4&gt;6,"Silo Filling","")</f>
        <v/>
      </c>
      <c r="H118" s="72"/>
      <c r="I118" s="144"/>
      <c r="J118" s="226"/>
      <c r="K118" s="226"/>
    </row>
    <row r="119" spans="2:11" ht="14.25" customHeight="1" x14ac:dyDescent="0.2">
      <c r="B119" s="83"/>
      <c r="D119" s="56"/>
      <c r="E119" s="124" t="str">
        <f>IF($C$4&gt;6,"AP-2 EP-3","")</f>
        <v/>
      </c>
      <c r="F119" s="124" t="str">
        <f>IF($C$4&gt;6,"AP-2 EU-4","")</f>
        <v/>
      </c>
      <c r="G119" s="222" t="str">
        <f>IF($C$4&gt;6,"Truck Loadout","")</f>
        <v/>
      </c>
      <c r="H119" s="72"/>
      <c r="I119" s="144"/>
      <c r="J119" s="226"/>
      <c r="K119" s="226"/>
    </row>
    <row r="120" spans="2:11" ht="14.25" customHeight="1" x14ac:dyDescent="0.2">
      <c r="B120" s="83"/>
      <c r="D120" s="56"/>
      <c r="E120" s="124" t="str">
        <f>IF($C$4&gt;6,"AP-2 EP-3","")</f>
        <v/>
      </c>
      <c r="F120" s="124" t="str">
        <f>IF($C$4&gt;6,"AP-2 EU-5","")</f>
        <v/>
      </c>
      <c r="G120" s="222" t="str">
        <f>IF($C$4&gt;6,"Cold Aggregate Bins","")</f>
        <v/>
      </c>
      <c r="H120" s="72"/>
      <c r="I120" s="144"/>
      <c r="J120" s="226"/>
      <c r="K120" s="226"/>
    </row>
    <row r="121" spans="2:11" ht="14.25" customHeight="1" x14ac:dyDescent="0.2">
      <c r="B121" s="83"/>
      <c r="E121" s="125"/>
      <c r="F121" s="125"/>
      <c r="G121" s="227"/>
      <c r="H121" s="228"/>
      <c r="I121" s="226"/>
    </row>
    <row r="122" spans="2:11" ht="14.25" customHeight="1" x14ac:dyDescent="0.2">
      <c r="B122" s="83"/>
      <c r="E122" s="84" t="str">
        <f>IF($C$4&gt;6,"Stock Pile Area","")</f>
        <v/>
      </c>
      <c r="F122" s="84"/>
      <c r="G122" s="85"/>
      <c r="J122" s="113"/>
      <c r="K122" s="113"/>
    </row>
    <row r="123" spans="2:11" ht="14.25" customHeight="1" x14ac:dyDescent="0.2">
      <c r="B123" s="56"/>
      <c r="F123" s="87" t="str">
        <f>IF($C$4&gt;6,"Emission Unit #","")</f>
        <v/>
      </c>
      <c r="G123" s="52" t="str">
        <f>IF($C$4&gt;6,"Maximum Storage Area (acres)","")</f>
        <v/>
      </c>
      <c r="H123" s="213" t="str">
        <f>IF($C$4&gt;6,"Actual Storage Area (acres)","")</f>
        <v/>
      </c>
      <c r="I123" s="52" t="str">
        <f>IF($C$4&gt;6,"Actual Days in Existence (days)","")</f>
        <v/>
      </c>
      <c r="J123" s="113"/>
      <c r="K123" s="113"/>
    </row>
    <row r="124" spans="2:11" ht="14.25" customHeight="1" x14ac:dyDescent="0.2">
      <c r="B124" s="83"/>
      <c r="E124" s="125"/>
      <c r="F124" s="74"/>
      <c r="G124" s="148"/>
      <c r="H124" s="75"/>
      <c r="I124" s="148"/>
    </row>
    <row r="125" spans="2:11" ht="25.5" customHeight="1" x14ac:dyDescent="0.2">
      <c r="J125" s="161"/>
      <c r="K125" s="161"/>
    </row>
    <row r="126" spans="2:11" ht="30" customHeight="1" x14ac:dyDescent="0.25">
      <c r="B126" s="79" t="str">
        <f>IF($C$4&gt;7,"Asphalt Plant","")</f>
        <v/>
      </c>
      <c r="C126" s="156" t="str">
        <f>IF($C$4&gt;7,"Site 8","")</f>
        <v/>
      </c>
      <c r="E126" s="259" t="str">
        <f>IF($C$4&gt;7,"Emission Point #","")</f>
        <v/>
      </c>
      <c r="F126" s="259" t="str">
        <f>IF($C$4&gt;7,"Emission    Unit #","")</f>
        <v/>
      </c>
      <c r="G126" s="259" t="str">
        <f>IF($C$4&gt;7,"Process","")</f>
        <v/>
      </c>
      <c r="H126" s="259" t="str">
        <f>IF($C$4&gt;7,"Maximum Hourly     Design Rate","")</f>
        <v/>
      </c>
      <c r="I126" s="261" t="str">
        <f>IF($C$4&gt;7,('Facility Information'!G110&amp;" Annual Throughput"),"")</f>
        <v/>
      </c>
      <c r="J126" s="162"/>
      <c r="K126" s="162"/>
    </row>
    <row r="127" spans="2:11" ht="14.25" customHeight="1" x14ac:dyDescent="0.2">
      <c r="B127" s="81"/>
      <c r="D127" s="56"/>
      <c r="E127" s="260"/>
      <c r="F127" s="260"/>
      <c r="G127" s="260"/>
      <c r="H127" s="260"/>
      <c r="I127" s="260"/>
      <c r="J127" s="163"/>
      <c r="K127" s="163"/>
    </row>
    <row r="128" spans="2:11" ht="14.25" customHeight="1" x14ac:dyDescent="0.2">
      <c r="B128" s="82" t="str">
        <f>IF($C$4&gt;7,"Site Name","")</f>
        <v/>
      </c>
      <c r="C128" s="73"/>
      <c r="D128" s="56"/>
      <c r="E128" s="325" t="str">
        <f>IF($C$4&gt;7,"Dryers, Hot Screens, Mixer","")</f>
        <v/>
      </c>
      <c r="F128" s="325"/>
      <c r="G128" s="325"/>
      <c r="H128" s="149" t="str">
        <f>IF($C$4&gt;7,"(tons/hr)","")</f>
        <v/>
      </c>
      <c r="I128" s="149" t="str">
        <f>IF($C$4&gt;7,"(tons/yr)","")</f>
        <v/>
      </c>
      <c r="J128" s="163" t="s">
        <v>109</v>
      </c>
      <c r="K128" s="163" t="s">
        <v>16</v>
      </c>
    </row>
    <row r="129" spans="2:11" ht="14.25" customHeight="1" x14ac:dyDescent="0.2">
      <c r="B129" s="82" t="str">
        <f>IF($C$4&gt;7,"County:","")</f>
        <v/>
      </c>
      <c r="C129" s="73"/>
      <c r="D129" s="56"/>
      <c r="E129" s="124" t="str">
        <f>IF(C131="","","AP-2 EP-1")</f>
        <v/>
      </c>
      <c r="F129" s="124" t="str">
        <f>IF(C131="","","AP-2 EU-1")</f>
        <v/>
      </c>
      <c r="G129" s="222" t="str">
        <f>IF(C131="","",C5 &amp; " - "&amp;C131)</f>
        <v/>
      </c>
      <c r="H129" s="72"/>
      <c r="I129" s="144"/>
      <c r="J129" s="225" t="str">
        <f>IF(C132="","",IF(C132="yes",LOOKUP(G129,'Emission Factors'!$A$12:$A$17,'Emission Factors'!$D$12:$D$17),LOOKUP(G129,'Emission Factors'!$A$5:$A$10,'Emission Factors'!$D$5:$D$10)))</f>
        <v/>
      </c>
      <c r="K129" s="225" t="str">
        <f>IF(C132="","",IF(C132="yes",LOOKUP(G129,'Emission Factors'!$A$12:$A$17,'Emission Factors'!$F$12:$F$17),LOOKUP(G129,'Emission Factors'!$A$5:$A$10,'Emission Factors'!$F$5:$F$10)))</f>
        <v/>
      </c>
    </row>
    <row r="130" spans="2:11" ht="14.25" customHeight="1" x14ac:dyDescent="0.2">
      <c r="B130" s="82" t="str">
        <f>IF($C$4&gt;7,"Production Period (Dates):","")</f>
        <v/>
      </c>
      <c r="C130" s="73"/>
      <c r="D130" s="56"/>
      <c r="E130" s="325" t="str">
        <f>IF($C$4&gt;7,"Liquid Asphalt Heater","")</f>
        <v/>
      </c>
      <c r="F130" s="325"/>
      <c r="G130" s="325"/>
      <c r="H130" s="149" t="str">
        <f>IF($C$4&gt;7,IF(C131="natural gas","(MMCF/hr)","(gallons/hr)"),"")</f>
        <v/>
      </c>
      <c r="I130" s="149" t="str">
        <f>IF($C$4&gt;7,IF(C131="natural gas","(MMCF/yr)","(gallons/yr)"),"")</f>
        <v/>
      </c>
      <c r="J130" s="226"/>
      <c r="K130" s="226"/>
    </row>
    <row r="131" spans="2:11" ht="14.25" customHeight="1" x14ac:dyDescent="0.2">
      <c r="B131" s="82" t="str">
        <f>IF($C$4&gt;7,"Type of Fuel Used:","")</f>
        <v/>
      </c>
      <c r="C131" s="230"/>
      <c r="D131" s="56"/>
      <c r="E131" s="124" t="str">
        <f>IF(C131="","","AP-2 EP-2")</f>
        <v/>
      </c>
      <c r="F131" s="124" t="str">
        <f>IF(C131="","","AP-2 EU-2")</f>
        <v/>
      </c>
      <c r="G131" s="222" t="str">
        <f>IF(C131="","",C131&amp; " Fired Heater")</f>
        <v/>
      </c>
      <c r="H131" s="72"/>
      <c r="I131" s="144"/>
      <c r="J131" s="163"/>
      <c r="K131" s="163"/>
    </row>
    <row r="132" spans="2:11" ht="14.25" customHeight="1" x14ac:dyDescent="0.2">
      <c r="B132" s="82" t="str">
        <f>IF($C$4&gt;7,"Is Your Operation Controlled?:","")</f>
        <v/>
      </c>
      <c r="C132" s="230"/>
      <c r="D132" s="56"/>
      <c r="E132" s="325" t="str">
        <f>IF($C$4&gt;7,"Silo Filling, Truck Loadout, Aggregate Transfer","")</f>
        <v/>
      </c>
      <c r="F132" s="325"/>
      <c r="G132" s="325"/>
      <c r="H132" s="149" t="str">
        <f>IF($C$4&gt;7,"(tons/hr)","")</f>
        <v/>
      </c>
      <c r="I132" s="149" t="str">
        <f>IF($C$4&gt;7,"(tons/yr)","")</f>
        <v/>
      </c>
      <c r="J132" s="226"/>
      <c r="K132" s="226"/>
    </row>
    <row r="133" spans="2:11" ht="14.25" customHeight="1" x14ac:dyDescent="0.2">
      <c r="D133" s="56"/>
      <c r="E133" s="124" t="str">
        <f>IF($C$4&gt;7,"AP-2 EP-3","")</f>
        <v/>
      </c>
      <c r="F133" s="124" t="str">
        <f>IF($C$4&gt;7,"AP-2 EU-3","")</f>
        <v/>
      </c>
      <c r="G133" s="222" t="str">
        <f>IF($C$4&gt;7,"Silo Filling","")</f>
        <v/>
      </c>
      <c r="H133" s="72"/>
      <c r="I133" s="144"/>
      <c r="J133" s="226"/>
      <c r="K133" s="226"/>
    </row>
    <row r="134" spans="2:11" ht="14.25" customHeight="1" x14ac:dyDescent="0.2">
      <c r="B134" s="83"/>
      <c r="D134" s="56"/>
      <c r="E134" s="124" t="str">
        <f>IF($C$4&gt;7,"AP-2 EP-3","")</f>
        <v/>
      </c>
      <c r="F134" s="124" t="str">
        <f>IF($C$4&gt;7,"AP-2 EU-4","")</f>
        <v/>
      </c>
      <c r="G134" s="222" t="str">
        <f>IF($C$4&gt;7,"Truck Loadout","")</f>
        <v/>
      </c>
      <c r="H134" s="72"/>
      <c r="I134" s="144"/>
      <c r="J134" s="226"/>
      <c r="K134" s="226"/>
    </row>
    <row r="135" spans="2:11" ht="14.25" customHeight="1" x14ac:dyDescent="0.2">
      <c r="B135" s="83"/>
      <c r="D135" s="56"/>
      <c r="E135" s="124" t="str">
        <f>IF($C$4&gt;7,"AP-2 EP-3","")</f>
        <v/>
      </c>
      <c r="F135" s="124" t="str">
        <f>IF($C$4&gt;7,"AP-2 EU-5","")</f>
        <v/>
      </c>
      <c r="G135" s="222" t="str">
        <f>IF($C$4&gt;7,"Cold Aggregate Bins","")</f>
        <v/>
      </c>
      <c r="H135" s="72"/>
      <c r="I135" s="144"/>
      <c r="J135" s="226"/>
      <c r="K135" s="226"/>
    </row>
    <row r="136" spans="2:11" ht="14.25" customHeight="1" x14ac:dyDescent="0.2">
      <c r="B136" s="83"/>
      <c r="E136" s="125"/>
      <c r="F136" s="125"/>
      <c r="G136" s="227"/>
      <c r="H136" s="228"/>
      <c r="I136" s="226"/>
    </row>
    <row r="137" spans="2:11" ht="14.25" customHeight="1" x14ac:dyDescent="0.2">
      <c r="B137" s="83"/>
      <c r="E137" s="84" t="str">
        <f>IF($C$4&gt;7,"Stock Pile Area","")</f>
        <v/>
      </c>
      <c r="F137" s="84"/>
      <c r="G137" s="85"/>
      <c r="J137" s="113"/>
      <c r="K137" s="113"/>
    </row>
    <row r="138" spans="2:11" ht="14.25" customHeight="1" x14ac:dyDescent="0.2">
      <c r="B138" s="56"/>
      <c r="F138" s="87" t="str">
        <f>IF($C$4&gt;7,"Emission Unit #","")</f>
        <v/>
      </c>
      <c r="G138" s="52" t="str">
        <f>IF($C$4&gt;7,"Maximum Storage Area (acres)","")</f>
        <v/>
      </c>
      <c r="H138" s="213" t="str">
        <f>IF($C$4&gt;7,"Actual Storage Area (acres)","")</f>
        <v/>
      </c>
      <c r="I138" s="52" t="str">
        <f>IF($C$4&gt;7,"Actual Days in Existence (days)","")</f>
        <v/>
      </c>
      <c r="J138" s="113"/>
      <c r="K138" s="113"/>
    </row>
    <row r="139" spans="2:11" ht="14.25" customHeight="1" x14ac:dyDescent="0.2">
      <c r="B139" s="83"/>
      <c r="E139" s="125"/>
      <c r="F139" s="74"/>
      <c r="G139" s="148"/>
      <c r="H139" s="75"/>
      <c r="I139" s="148"/>
    </row>
    <row r="140" spans="2:11" ht="22.5" customHeight="1" x14ac:dyDescent="0.2">
      <c r="J140" s="161"/>
      <c r="K140" s="161"/>
    </row>
    <row r="141" spans="2:11" ht="27.75" customHeight="1" x14ac:dyDescent="0.25">
      <c r="B141" s="79" t="str">
        <f>IF($C$4&gt;8,"Asphalt Plant","")</f>
        <v/>
      </c>
      <c r="C141" s="156" t="str">
        <f>IF($C$4&gt;8,"Site 9","")</f>
        <v/>
      </c>
      <c r="E141" s="259" t="str">
        <f>IF($C$4&gt;8,"Emission Point #","")</f>
        <v/>
      </c>
      <c r="F141" s="259" t="str">
        <f>IF($C$4&gt;8,"Emission    Unit #","")</f>
        <v/>
      </c>
      <c r="G141" s="259" t="str">
        <f>IF($C$4&gt;8,"Process","")</f>
        <v/>
      </c>
      <c r="H141" s="259" t="str">
        <f>IF($C$4&gt;8,"Maximum Hourly     Design Rate","")</f>
        <v/>
      </c>
      <c r="I141" s="261" t="str">
        <f>IF($C$4&gt;8,('Facility Information'!G125&amp;" Annual Throughput"),"")</f>
        <v/>
      </c>
      <c r="J141" s="162"/>
      <c r="K141" s="162"/>
    </row>
    <row r="142" spans="2:11" ht="14.25" customHeight="1" x14ac:dyDescent="0.2">
      <c r="B142" s="81"/>
      <c r="D142" s="56"/>
      <c r="E142" s="260"/>
      <c r="F142" s="260"/>
      <c r="G142" s="260"/>
      <c r="H142" s="260"/>
      <c r="I142" s="260"/>
      <c r="J142" s="163"/>
      <c r="K142" s="163"/>
    </row>
    <row r="143" spans="2:11" ht="14.25" customHeight="1" x14ac:dyDescent="0.2">
      <c r="B143" s="82" t="str">
        <f>IF($C$4&gt;8,"Site Name","")</f>
        <v/>
      </c>
      <c r="C143" s="73"/>
      <c r="D143" s="56"/>
      <c r="E143" s="325" t="str">
        <f>IF($C$4&gt;8,"Dryers, Hot Screens, Mixer","")</f>
        <v/>
      </c>
      <c r="F143" s="325"/>
      <c r="G143" s="325"/>
      <c r="H143" s="149" t="str">
        <f>IF($C$4&gt;8,"(tons/hr)","")</f>
        <v/>
      </c>
      <c r="I143" s="149" t="str">
        <f>IF($C$4&gt;8,"(tons/yr)","")</f>
        <v/>
      </c>
      <c r="J143" s="163" t="s">
        <v>109</v>
      </c>
      <c r="K143" s="163" t="s">
        <v>16</v>
      </c>
    </row>
    <row r="144" spans="2:11" ht="14.25" customHeight="1" x14ac:dyDescent="0.2">
      <c r="B144" s="82" t="str">
        <f>IF($C$4&gt;8,"County:","")</f>
        <v/>
      </c>
      <c r="C144" s="73"/>
      <c r="D144" s="56"/>
      <c r="E144" s="124" t="str">
        <f>IF(C146="","","AP-2 EP-1")</f>
        <v/>
      </c>
      <c r="F144" s="124" t="str">
        <f>IF(C146="","","AP-2 EU-1")</f>
        <v/>
      </c>
      <c r="G144" s="222" t="str">
        <f>IF(C146="","",C5 &amp; " - "&amp;C146)</f>
        <v/>
      </c>
      <c r="H144" s="72"/>
      <c r="I144" s="144"/>
      <c r="J144" s="225" t="str">
        <f>IF(C147="","",IF(C147="yes",LOOKUP(G144,'Emission Factors'!$A$12:$A$17,'Emission Factors'!$D$12:$D$17),LOOKUP(G144,'Emission Factors'!$A$5:$A$10,'Emission Factors'!$D$5:$D$10)))</f>
        <v/>
      </c>
      <c r="K144" s="225" t="str">
        <f>IF(C147="","",IF(C147="yes",LOOKUP(G144,'Emission Factors'!$A$12:$A$17,'Emission Factors'!$F$12:$F$17),LOOKUP(G144,'Emission Factors'!$A$5:$A$10,'Emission Factors'!$F$5:$F$10)))</f>
        <v/>
      </c>
    </row>
    <row r="145" spans="2:11" ht="14.25" customHeight="1" x14ac:dyDescent="0.2">
      <c r="B145" s="82" t="str">
        <f>IF($C$4&gt;8,"Production Period (Dates):","")</f>
        <v/>
      </c>
      <c r="C145" s="73"/>
      <c r="D145" s="56"/>
      <c r="E145" s="325" t="str">
        <f>IF($C$4&gt;8,"Liquid Asphalt Heater","")</f>
        <v/>
      </c>
      <c r="F145" s="325"/>
      <c r="G145" s="325"/>
      <c r="H145" s="149" t="str">
        <f>IF($C$4&gt;8,IF(C146="natural gas","(MMCF/hr)","(gallons/hr)"),"")</f>
        <v/>
      </c>
      <c r="I145" s="149" t="str">
        <f>IF($C$4&gt;8,IF(C146="natural gas","(MMCF/yr)","(gallons/yr)"),"")</f>
        <v/>
      </c>
      <c r="J145" s="226"/>
      <c r="K145" s="226"/>
    </row>
    <row r="146" spans="2:11" ht="14.25" customHeight="1" x14ac:dyDescent="0.2">
      <c r="B146" s="82" t="str">
        <f>IF($C$4&gt;8,"Type of Fuel Used:","")</f>
        <v/>
      </c>
      <c r="C146" s="230"/>
      <c r="D146" s="56"/>
      <c r="E146" s="124" t="str">
        <f>IF(C146="","","AP-2 EP-2")</f>
        <v/>
      </c>
      <c r="F146" s="124" t="str">
        <f>IF(C146="","","AP-2 EU-2")</f>
        <v/>
      </c>
      <c r="G146" s="222" t="str">
        <f>IF(C146="","",C146&amp; " Fired Heater")</f>
        <v/>
      </c>
      <c r="H146" s="72"/>
      <c r="I146" s="144"/>
      <c r="J146" s="163"/>
      <c r="K146" s="163"/>
    </row>
    <row r="147" spans="2:11" ht="14.25" customHeight="1" x14ac:dyDescent="0.2">
      <c r="B147" s="82" t="str">
        <f>IF($C$4&gt;8,"Is Your Operation Controlled?:","")</f>
        <v/>
      </c>
      <c r="C147" s="230"/>
      <c r="D147" s="56"/>
      <c r="E147" s="325" t="str">
        <f>IF($C$4&gt;8,"Silo Filling, Truck Loadout, Aggregate Transfer","")</f>
        <v/>
      </c>
      <c r="F147" s="325"/>
      <c r="G147" s="325"/>
      <c r="H147" s="149" t="str">
        <f>IF($C$4&gt;8,"(tons/hr)","")</f>
        <v/>
      </c>
      <c r="I147" s="149" t="str">
        <f>IF($C$4&gt;8,"(tons/yr)","")</f>
        <v/>
      </c>
      <c r="J147" s="226"/>
      <c r="K147" s="226"/>
    </row>
    <row r="148" spans="2:11" ht="14.25" customHeight="1" x14ac:dyDescent="0.2">
      <c r="D148" s="56"/>
      <c r="E148" s="124" t="str">
        <f>IF($C$4&gt;8,"AP-2 EP-3","")</f>
        <v/>
      </c>
      <c r="F148" s="124" t="str">
        <f>IF($C$4&gt;8,"AP-2 EU-3","")</f>
        <v/>
      </c>
      <c r="G148" s="222" t="str">
        <f>IF($C$4&gt;8,"Silo Filling","")</f>
        <v/>
      </c>
      <c r="H148" s="72"/>
      <c r="I148" s="144"/>
      <c r="J148" s="226"/>
      <c r="K148" s="226"/>
    </row>
    <row r="149" spans="2:11" ht="14.25" customHeight="1" x14ac:dyDescent="0.2">
      <c r="B149" s="83"/>
      <c r="D149" s="56"/>
      <c r="E149" s="124" t="str">
        <f>IF($C$4&gt;8,"AP-2 EP-3","")</f>
        <v/>
      </c>
      <c r="F149" s="124" t="str">
        <f>IF($C$4&gt;8,"AP-2 EU-4","")</f>
        <v/>
      </c>
      <c r="G149" s="222" t="str">
        <f>IF($C$4&gt;8,"Truck Loadout","")</f>
        <v/>
      </c>
      <c r="H149" s="72"/>
      <c r="I149" s="144"/>
      <c r="J149" s="226"/>
      <c r="K149" s="226"/>
    </row>
    <row r="150" spans="2:11" ht="14.25" customHeight="1" x14ac:dyDescent="0.2">
      <c r="B150" s="83"/>
      <c r="D150" s="56"/>
      <c r="E150" s="124" t="str">
        <f>IF($C$4&gt;8,"AP-2 EP-3","")</f>
        <v/>
      </c>
      <c r="F150" s="124" t="str">
        <f>IF($C$4&gt;8,"AP-2 EU-5","")</f>
        <v/>
      </c>
      <c r="G150" s="222" t="str">
        <f>IF($C$4&gt;8,"Cold Aggregate Bins","")</f>
        <v/>
      </c>
      <c r="H150" s="72"/>
      <c r="I150" s="144"/>
      <c r="J150" s="226"/>
      <c r="K150" s="226"/>
    </row>
    <row r="151" spans="2:11" ht="14.25" customHeight="1" x14ac:dyDescent="0.2">
      <c r="B151" s="83"/>
      <c r="E151" s="125"/>
      <c r="F151" s="125"/>
      <c r="G151" s="227"/>
      <c r="H151" s="228"/>
      <c r="I151" s="226"/>
    </row>
    <row r="152" spans="2:11" ht="14.25" customHeight="1" x14ac:dyDescent="0.2">
      <c r="B152" s="83"/>
      <c r="E152" s="84" t="str">
        <f>IF($C$4&gt;8,"Stock Pile Area","")</f>
        <v/>
      </c>
      <c r="F152" s="84"/>
      <c r="G152" s="85"/>
      <c r="J152" s="113"/>
      <c r="K152" s="113"/>
    </row>
    <row r="153" spans="2:11" ht="14.25" customHeight="1" x14ac:dyDescent="0.2">
      <c r="B153" s="56"/>
      <c r="F153" s="87" t="str">
        <f>IF($C$4&gt;8,"Emission Unit #","")</f>
        <v/>
      </c>
      <c r="G153" s="52" t="str">
        <f>IF($C$4&gt;8,"Maximum Storage Area (acres)","")</f>
        <v/>
      </c>
      <c r="H153" s="213" t="str">
        <f>IF($C$4&gt;8,"Actual Storage Area (acres)","")</f>
        <v/>
      </c>
      <c r="I153" s="52" t="str">
        <f>IF($C$4&gt;8,"Actual Days in Existence (days)","")</f>
        <v/>
      </c>
      <c r="J153" s="113"/>
      <c r="K153" s="113"/>
    </row>
    <row r="154" spans="2:11" ht="14.25" customHeight="1" x14ac:dyDescent="0.2">
      <c r="B154" s="83"/>
      <c r="E154" s="125"/>
      <c r="F154" s="74"/>
      <c r="G154" s="148"/>
      <c r="H154" s="75"/>
      <c r="I154" s="148"/>
    </row>
    <row r="155" spans="2:11" ht="14.25" customHeight="1" x14ac:dyDescent="0.2">
      <c r="J155" s="161"/>
      <c r="K155" s="161"/>
    </row>
    <row r="156" spans="2:11" ht="29.25" customHeight="1" x14ac:dyDescent="0.25">
      <c r="B156" s="79" t="str">
        <f>IF($C$4&gt;9,"Asphalt Plant","")</f>
        <v/>
      </c>
      <c r="C156" s="156" t="str">
        <f>IF($C$4&gt;9,"Site 10","")</f>
        <v/>
      </c>
      <c r="E156" s="259" t="str">
        <f>IF($C$4&gt;9,"Emission Point #","")</f>
        <v/>
      </c>
      <c r="F156" s="259" t="str">
        <f>IF($C$4&gt;9,"Emission    Unit #","")</f>
        <v/>
      </c>
      <c r="G156" s="259" t="str">
        <f>IF($C$4&gt;9,"Process","")</f>
        <v/>
      </c>
      <c r="H156" s="259" t="str">
        <f>IF($C$4&gt;9,"Maximum Hourly     Design Rate","")</f>
        <v/>
      </c>
      <c r="I156" s="261" t="str">
        <f>IF($C$4&gt;9,('Facility Information'!G140&amp;" Annual Throughput"),"")</f>
        <v/>
      </c>
      <c r="J156" s="162"/>
      <c r="K156" s="162"/>
    </row>
    <row r="157" spans="2:11" ht="14.25" customHeight="1" x14ac:dyDescent="0.2">
      <c r="B157" s="81"/>
      <c r="D157" s="56"/>
      <c r="E157" s="260"/>
      <c r="F157" s="260"/>
      <c r="G157" s="260"/>
      <c r="H157" s="260"/>
      <c r="I157" s="260"/>
      <c r="J157" s="163"/>
      <c r="K157" s="163"/>
    </row>
    <row r="158" spans="2:11" ht="14.25" customHeight="1" x14ac:dyDescent="0.2">
      <c r="B158" s="82" t="str">
        <f>IF($C$4&gt;9,"Site Name","")</f>
        <v/>
      </c>
      <c r="C158" s="73"/>
      <c r="D158" s="56"/>
      <c r="E158" s="325" t="str">
        <f>IF($C$4&gt;9,"Dryers, Hot Screens, Mixer","")</f>
        <v/>
      </c>
      <c r="F158" s="325"/>
      <c r="G158" s="325"/>
      <c r="H158" s="149" t="str">
        <f>IF($C$4&gt;9,"(tons/hr)","")</f>
        <v/>
      </c>
      <c r="I158" s="149" t="str">
        <f>IF($C$4&gt;9,"(tons/yr)","")</f>
        <v/>
      </c>
      <c r="J158" s="163" t="s">
        <v>109</v>
      </c>
      <c r="K158" s="163" t="s">
        <v>16</v>
      </c>
    </row>
    <row r="159" spans="2:11" ht="14.25" customHeight="1" x14ac:dyDescent="0.2">
      <c r="B159" s="82" t="str">
        <f>IF($C$4&gt;9,"County:","")</f>
        <v/>
      </c>
      <c r="C159" s="73"/>
      <c r="D159" s="56"/>
      <c r="E159" s="124" t="str">
        <f>IF(C161="","","AP-2 EP-1")</f>
        <v/>
      </c>
      <c r="F159" s="124" t="str">
        <f>IF(C161="","","AP-2 EU-1")</f>
        <v/>
      </c>
      <c r="G159" s="222" t="str">
        <f>IF(C161="","",C5 &amp; " - "&amp;C161)</f>
        <v/>
      </c>
      <c r="H159" s="72"/>
      <c r="I159" s="144"/>
      <c r="J159" s="225" t="str">
        <f>IF(C162="","",IF(C162="yes",LOOKUP(G159,'Emission Factors'!$A$12:$A$17,'Emission Factors'!$D$12:$D$17),LOOKUP(G159,'Emission Factors'!$A$5:$A$10,'Emission Factors'!$D$5:$D$10)))</f>
        <v/>
      </c>
      <c r="K159" s="225" t="str">
        <f>IF(C162="","",IF(C162="yes",LOOKUP(G159,'Emission Factors'!$A$12:$A$17,'Emission Factors'!$F$12:$F$17),LOOKUP(G159,'Emission Factors'!$A$5:$A$10,'Emission Factors'!$F$5:$F$10)))</f>
        <v/>
      </c>
    </row>
    <row r="160" spans="2:11" ht="14.25" customHeight="1" x14ac:dyDescent="0.2">
      <c r="B160" s="82" t="str">
        <f>IF($C$4&gt;9,"Production Period (Dates):","")</f>
        <v/>
      </c>
      <c r="C160" s="73"/>
      <c r="D160" s="56"/>
      <c r="E160" s="325" t="str">
        <f>IF($C$4&gt;9,"Liquid Asphalt Heater","")</f>
        <v/>
      </c>
      <c r="F160" s="325"/>
      <c r="G160" s="325"/>
      <c r="H160" s="149" t="str">
        <f>IF($C$4&gt;9,IF(C161="natural gas","(MMCF/hr)","(gallons/hr)"),"")</f>
        <v/>
      </c>
      <c r="I160" s="149" t="str">
        <f>IF($C$4&gt;9,IF(C161="natural gas","(MMCF/yr)","(gallons/yr)"),"")</f>
        <v/>
      </c>
      <c r="J160" s="226"/>
      <c r="K160" s="226"/>
    </row>
    <row r="161" spans="2:11" ht="14.25" customHeight="1" x14ac:dyDescent="0.2">
      <c r="B161" s="82" t="str">
        <f>IF($C$4&gt;9,"Type of Fuel Used:","")</f>
        <v/>
      </c>
      <c r="C161" s="230"/>
      <c r="D161" s="56"/>
      <c r="E161" s="124" t="str">
        <f>IF(C161="","","AP-2 EP-2")</f>
        <v/>
      </c>
      <c r="F161" s="124" t="str">
        <f>IF(C161="","","AP-2 EU-2")</f>
        <v/>
      </c>
      <c r="G161" s="222" t="str">
        <f>IF(C161="","",C161&amp; " Fired Heater")</f>
        <v/>
      </c>
      <c r="H161" s="72"/>
      <c r="I161" s="144"/>
      <c r="J161" s="163"/>
      <c r="K161" s="163"/>
    </row>
    <row r="162" spans="2:11" ht="14.25" customHeight="1" x14ac:dyDescent="0.2">
      <c r="B162" s="82" t="str">
        <f>IF($C$4&gt;9,"Is Your Operation Controlled?:","")</f>
        <v/>
      </c>
      <c r="C162" s="230"/>
      <c r="D162" s="56"/>
      <c r="E162" s="325" t="str">
        <f>IF($C$4&gt;9,"Silo Filling, Truck Loadout, Aggregate Transfer","")</f>
        <v/>
      </c>
      <c r="F162" s="325"/>
      <c r="G162" s="325"/>
      <c r="H162" s="149" t="str">
        <f>IF($C$4&gt;9,"(tons/hr)","")</f>
        <v/>
      </c>
      <c r="I162" s="149" t="str">
        <f>IF($C$4&gt;9,"(tons/yr)","")</f>
        <v/>
      </c>
      <c r="J162" s="226"/>
      <c r="K162" s="226"/>
    </row>
    <row r="163" spans="2:11" ht="14.25" customHeight="1" x14ac:dyDescent="0.2">
      <c r="D163" s="56"/>
      <c r="E163" s="124" t="str">
        <f>IF($C$4&gt;9,"AP-2 EP-3","")</f>
        <v/>
      </c>
      <c r="F163" s="124" t="str">
        <f>IF($C$4&gt;9,"AP-2 EU-3","")</f>
        <v/>
      </c>
      <c r="G163" s="222" t="str">
        <f>IF($C$4&gt;9,"Silo Filling","")</f>
        <v/>
      </c>
      <c r="H163" s="72"/>
      <c r="I163" s="144"/>
      <c r="J163" s="226"/>
      <c r="K163" s="226"/>
    </row>
    <row r="164" spans="2:11" ht="14.25" customHeight="1" x14ac:dyDescent="0.2">
      <c r="B164" s="83"/>
      <c r="D164" s="56"/>
      <c r="E164" s="124" t="str">
        <f>IF($C$4&gt;9,"AP-2 EP-3","")</f>
        <v/>
      </c>
      <c r="F164" s="124" t="str">
        <f>IF($C$4&gt;9,"AP-2 EU-4","")</f>
        <v/>
      </c>
      <c r="G164" s="222" t="str">
        <f>IF($C$4&gt;9,"Truck Loadout","")</f>
        <v/>
      </c>
      <c r="H164" s="72"/>
      <c r="I164" s="144"/>
      <c r="J164" s="226"/>
      <c r="K164" s="226"/>
    </row>
    <row r="165" spans="2:11" ht="14.25" customHeight="1" x14ac:dyDescent="0.2">
      <c r="B165" s="83"/>
      <c r="D165" s="56"/>
      <c r="E165" s="124" t="str">
        <f>IF($C$4&gt;9,"AP-2 EP-3","")</f>
        <v/>
      </c>
      <c r="F165" s="124" t="str">
        <f>IF($C$4&gt;9,"AP-2 EU-5","")</f>
        <v/>
      </c>
      <c r="G165" s="222" t="str">
        <f>IF($C$4&gt;9,"Cold Aggregate Bins","")</f>
        <v/>
      </c>
      <c r="H165" s="72"/>
      <c r="I165" s="144"/>
      <c r="J165" s="226"/>
      <c r="K165" s="226"/>
    </row>
    <row r="166" spans="2:11" ht="14.25" customHeight="1" x14ac:dyDescent="0.2">
      <c r="B166" s="83"/>
      <c r="E166" s="125"/>
      <c r="F166" s="125"/>
      <c r="G166" s="227"/>
      <c r="H166" s="228"/>
      <c r="I166" s="226"/>
    </row>
    <row r="167" spans="2:11" ht="14.25" customHeight="1" x14ac:dyDescent="0.2">
      <c r="B167" s="83"/>
      <c r="E167" s="84" t="str">
        <f>IF($C$4&gt;9,"Stock Pile Area","")</f>
        <v/>
      </c>
      <c r="F167" s="84"/>
      <c r="G167" s="85"/>
      <c r="J167" s="113"/>
      <c r="K167" s="113"/>
    </row>
    <row r="168" spans="2:11" ht="14.25" customHeight="1" x14ac:dyDescent="0.2">
      <c r="B168" s="56"/>
      <c r="F168" s="87" t="str">
        <f>IF($C$4&gt;9,"Emission Unit #","")</f>
        <v/>
      </c>
      <c r="G168" s="52" t="str">
        <f>IF($C$4&gt;9,"Maximum Storage Area (acres)","")</f>
        <v/>
      </c>
      <c r="H168" s="213" t="str">
        <f>IF($C$4&gt;9,"Actual Storage Area (acres)","")</f>
        <v/>
      </c>
      <c r="I168" s="52" t="str">
        <f>IF($C$4&gt;9,"Actual Days in Existence (days)","")</f>
        <v/>
      </c>
      <c r="J168" s="113"/>
      <c r="K168" s="113"/>
    </row>
    <row r="169" spans="2:11" ht="14.25" customHeight="1" x14ac:dyDescent="0.2">
      <c r="B169" s="83"/>
      <c r="E169" s="125"/>
      <c r="F169" s="74"/>
      <c r="G169" s="148"/>
      <c r="H169" s="75"/>
      <c r="I169" s="148"/>
    </row>
  </sheetData>
  <sheetProtection algorithmName="SHA-512" hashValue="YiTJV1upTJqDw94NzyWlZ2oTp4gFhDsUnge08dFFoMO/ykYY9N7YWjR+FBwkzd2wQs8qdVehHAtiSsGJBPuDcw==" saltValue="MTz7+CSvtSQ0hepwAW61Eg==" spinCount="100000" sheet="1" objects="1" scenarios="1"/>
  <conditionalFormatting sqref="E23:F23 E25:F25 E27:F30">
    <cfRule type="notContainsBlanks" dxfId="44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7:K97 H98:I98 H100:I100 J101:K101 H102:I102 J107:K107 F108:I108 J112:K112 H113:I113 H115:I115 J116:K116 H117:I117 J122:K122 F123:I123 J127:K127 H128:I128 H130:I130 J131:K131 H132:I132 J137:K137 F138:I138 J142:K142 H143:I143 H145:I145 J146:K146 H147:I147 J152:K152 F153:I153 J157:K157 H158:I158 H160:I160 J161:K161 H162:I162 J167:K167 F168:I168 B28:B31 B26">
    <cfRule type="notContainsBlanks" dxfId="448" priority="4">
      <formula>LEN(TRIM(B26))&gt;0</formula>
    </cfRule>
  </conditionalFormatting>
  <conditionalFormatting sqref="E33">
    <cfRule type="notContainsBlanks" dxfId="447" priority="37">
      <formula>LEN(TRIM(E33))&gt;0</formula>
    </cfRule>
  </conditionalFormatting>
  <conditionalFormatting sqref="B33">
    <cfRule type="notContainsBlanks" dxfId="446" priority="36">
      <formula>LEN(TRIM(B33))&gt;0</formula>
    </cfRule>
  </conditionalFormatting>
  <conditionalFormatting sqref="B36:E36 B35:I35 B37:I37 H36:I36 D39:I39 B38:E38 H38:I38 J34:K35 H40:I40 B42:I47 D41:I41 D40:E40 B39:C40 J38:K46">
    <cfRule type="cellIs" dxfId="445" priority="40" operator="notEqual">
      <formula>$B$35=""</formula>
    </cfRule>
  </conditionalFormatting>
  <conditionalFormatting sqref="E36:G43 B36:B40">
    <cfRule type="notContainsBlanks" dxfId="44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8:K108 F109:I109 J102:K104 H103:I105 H99:I99 J100:K100 H101:I101 J123:K123 F124:I124 J117:K119 H118:I120 H114:I114 J115:K115 H116:I116 J138:K138 F139:I139 J132:K134 H133:I135 H129:I129 J130:K130 H131:I131 J153:K153 F154:I154 J147:K149 H148:I150 H144:I144 J145:K145 H146:I146 J168:K168 F169:I169 J162:K164 H163:I165 H159:I159 J160:K160 H161:I161 C36:C40 J85">
    <cfRule type="notContainsBlanks" dxfId="443" priority="28">
      <formula>LEN(TRIM(C36))&gt;0</formula>
    </cfRule>
  </conditionalFormatting>
  <conditionalFormatting sqref="B51:E51 B49:I50 B52:I52 H51:I51 D54:I54 B53:E53 H53:I53 J48:K50 H55:I55 B57:I62 D56:I56 D55:E55 B54:C55 J53:K61">
    <cfRule type="cellIs" dxfId="442" priority="38" operator="notEqual">
      <formula>$B$49=""</formula>
    </cfRule>
  </conditionalFormatting>
  <conditionalFormatting sqref="E51:G58 B51:B55">
    <cfRule type="notContainsBlanks" dxfId="441" priority="32">
      <formula>LEN(TRIM(B51))&gt;0</formula>
    </cfRule>
  </conditionalFormatting>
  <conditionalFormatting sqref="C51:C55">
    <cfRule type="notContainsBlanks" dxfId="440" priority="31">
      <formula>LEN(TRIM(C51))&gt;0</formula>
    </cfRule>
  </conditionalFormatting>
  <conditionalFormatting sqref="B35:C35">
    <cfRule type="notContainsBlanks" dxfId="439" priority="30">
      <formula>LEN(TRIM(B35))&gt;0</formula>
    </cfRule>
  </conditionalFormatting>
  <conditionalFormatting sqref="B49:C49">
    <cfRule type="notContainsBlanks" dxfId="438" priority="29">
      <formula>LEN(TRIM(B49))&gt;0</formula>
    </cfRule>
  </conditionalFormatting>
  <conditionalFormatting sqref="B66:E66 B64:I65 B67:I67 H66:I66 D69:I69 B68:E68 H68:I68 J63:K65 H70:I70 B72:I77 D71:I71 D70:E70 B69:C70 J68:K76">
    <cfRule type="cellIs" dxfId="437" priority="35" operator="notEqual">
      <formula>$B$64=""</formula>
    </cfRule>
  </conditionalFormatting>
  <conditionalFormatting sqref="E66:G73 B66:B70">
    <cfRule type="notContainsBlanks" dxfId="436" priority="27">
      <formula>LEN(TRIM(B66))&gt;0</formula>
    </cfRule>
  </conditionalFormatting>
  <conditionalFormatting sqref="C66:C70">
    <cfRule type="notContainsBlanks" dxfId="435" priority="26">
      <formula>LEN(TRIM(C66))&gt;0</formula>
    </cfRule>
  </conditionalFormatting>
  <conditionalFormatting sqref="B64:C64">
    <cfRule type="notContainsBlanks" dxfId="434" priority="25">
      <formula>LEN(TRIM(B64))&gt;0</formula>
    </cfRule>
  </conditionalFormatting>
  <conditionalFormatting sqref="B81:E81 B79:I80 B82:I82 H81:I81 B83:E83 J78:K80 B87:I92 D86:I86 D85:E85 B84:C85 H83:K83 J86:K91 H85:J85 D84:J84">
    <cfRule type="cellIs" dxfId="433" priority="33" operator="notEqual">
      <formula>$B$79=""</formula>
    </cfRule>
  </conditionalFormatting>
  <conditionalFormatting sqref="E81:G88 B81:B85">
    <cfRule type="notContainsBlanks" dxfId="432" priority="23">
      <formula>LEN(TRIM(B81))&gt;0</formula>
    </cfRule>
  </conditionalFormatting>
  <conditionalFormatting sqref="C81:C85">
    <cfRule type="notContainsBlanks" dxfId="431" priority="22">
      <formula>LEN(TRIM(C81))&gt;0</formula>
    </cfRule>
  </conditionalFormatting>
  <conditionalFormatting sqref="B79:C79">
    <cfRule type="notContainsBlanks" dxfId="430" priority="21">
      <formula>LEN(TRIM(B79))&gt;0</formula>
    </cfRule>
  </conditionalFormatting>
  <conditionalFormatting sqref="B98:E98 B96:I97 B99:I99 H98:I98 D101:I101 B100:E100 H100:I100 J93:K97 H102:I102 B104:I109 D103:I103 D102:E102 B101:C102 J100:K108">
    <cfRule type="cellIs" dxfId="429" priority="24" operator="notEqual">
      <formula>$B$96=""</formula>
    </cfRule>
  </conditionalFormatting>
  <conditionalFormatting sqref="E98:G105 B98:B102">
    <cfRule type="notContainsBlanks" dxfId="428" priority="19">
      <formula>LEN(TRIM(B98))&gt;0</formula>
    </cfRule>
  </conditionalFormatting>
  <conditionalFormatting sqref="C98:C102">
    <cfRule type="notContainsBlanks" dxfId="427" priority="18">
      <formula>LEN(TRIM(C98))&gt;0</formula>
    </cfRule>
  </conditionalFormatting>
  <conditionalFormatting sqref="B96:C96">
    <cfRule type="notContainsBlanks" dxfId="426" priority="17">
      <formula>LEN(TRIM(B96))&gt;0</formula>
    </cfRule>
  </conditionalFormatting>
  <conditionalFormatting sqref="B113:E113 B111:I112 B114:I114 H113:I113 D116:I116 B115:E115 H115:I115 J110:K112 H117:I117 B119:I124 D118:I118 D117:E117 B116:C117 J115:K123">
    <cfRule type="cellIs" dxfId="425" priority="20" operator="notEqual">
      <formula>$B$111=""</formula>
    </cfRule>
  </conditionalFormatting>
  <conditionalFormatting sqref="E113:G120 B113:B117">
    <cfRule type="notContainsBlanks" dxfId="424" priority="15">
      <formula>LEN(TRIM(B113))&gt;0</formula>
    </cfRule>
  </conditionalFormatting>
  <conditionalFormatting sqref="C113:C117">
    <cfRule type="notContainsBlanks" dxfId="423" priority="14">
      <formula>LEN(TRIM(C113))&gt;0</formula>
    </cfRule>
  </conditionalFormatting>
  <conditionalFormatting sqref="B111:C111">
    <cfRule type="notContainsBlanks" dxfId="422" priority="13">
      <formula>LEN(TRIM(B111))&gt;0</formula>
    </cfRule>
  </conditionalFormatting>
  <conditionalFormatting sqref="B128:E128 B126:I127 B129:I129 H128:I128 D131:I131 B130:E130 H130:I130 J125:K127 H132:I132 B134:I139 D133:I133 D132:E132 B131:C132 J130:K138">
    <cfRule type="cellIs" dxfId="421" priority="16" operator="notEqual">
      <formula>$B$126=""</formula>
    </cfRule>
  </conditionalFormatting>
  <conditionalFormatting sqref="E128:G135 B128:B132">
    <cfRule type="notContainsBlanks" dxfId="420" priority="11">
      <formula>LEN(TRIM(B128))&gt;0</formula>
    </cfRule>
  </conditionalFormatting>
  <conditionalFormatting sqref="C128:C132">
    <cfRule type="notContainsBlanks" dxfId="419" priority="10">
      <formula>LEN(TRIM(C128))&gt;0</formula>
    </cfRule>
  </conditionalFormatting>
  <conditionalFormatting sqref="B126:C126">
    <cfRule type="notContainsBlanks" dxfId="418" priority="9">
      <formula>LEN(TRIM(B126))&gt;0</formula>
    </cfRule>
  </conditionalFormatting>
  <conditionalFormatting sqref="B143:E143 B141:I142 B144:I144 H143:I143 D146:I146 B145:E145 H145:I145 J140:K142 H147:I147 B149:I154 D148:I148 D147:E147 B146:C147 J145:K153">
    <cfRule type="cellIs" dxfId="417" priority="12" operator="notEqual">
      <formula>$B$141=""</formula>
    </cfRule>
  </conditionalFormatting>
  <conditionalFormatting sqref="E143:G150 B143:B147">
    <cfRule type="notContainsBlanks" dxfId="416" priority="7">
      <formula>LEN(TRIM(B143))&gt;0</formula>
    </cfRule>
  </conditionalFormatting>
  <conditionalFormatting sqref="C143:C147">
    <cfRule type="notContainsBlanks" dxfId="415" priority="6">
      <formula>LEN(TRIM(C143))&gt;0</formula>
    </cfRule>
  </conditionalFormatting>
  <conditionalFormatting sqref="B141:C141">
    <cfRule type="notContainsBlanks" dxfId="414" priority="5">
      <formula>LEN(TRIM(B141))&gt;0</formula>
    </cfRule>
  </conditionalFormatting>
  <conditionalFormatting sqref="B158:E158 B156:I157 B159:I159 H158:I158 D161:I161 B160:E160 H160:I160 J155:K157 H162:I162 B164:I169 D163:I163 D162:E162 B161:C162 J160:K168">
    <cfRule type="cellIs" dxfId="413" priority="8" operator="notEqual">
      <formula>$B$156=""</formula>
    </cfRule>
  </conditionalFormatting>
  <conditionalFormatting sqref="E158:G165 B158:B162">
    <cfRule type="notContainsBlanks" dxfId="412" priority="3">
      <formula>LEN(TRIM(B158))&gt;0</formula>
    </cfRule>
  </conditionalFormatting>
  <conditionalFormatting sqref="C158:C162">
    <cfRule type="notContainsBlanks" dxfId="411" priority="2">
      <formula>LEN(TRIM(C158))&gt;0</formula>
    </cfRule>
  </conditionalFormatting>
  <conditionalFormatting sqref="B156:C156">
    <cfRule type="notContainsBlanks" dxfId="410" priority="1">
      <formula>LEN(TRIM(B156))&gt;0</formula>
    </cfRule>
  </conditionalFormatting>
  <dataValidations count="4">
    <dataValidation type="list" allowBlank="1" showInputMessage="1" showErrorMessage="1" sqref="C26 C40 C55 C70 C85 C102 C117 C132 C147 C162" xr:uid="{00000000-0002-0000-0200-000000000000}">
      <formula1>CHECK</formula1>
    </dataValidation>
    <dataValidation type="list" allowBlank="1" showInputMessage="1" showErrorMessage="1" sqref="C25 A13 A15 C39 C54 C69 C84 C101 C116 C131 C146 C161" xr:uid="{00000000-0002-0000-0200-000001000000}">
      <formula1>Fuel</formula1>
    </dataValidation>
    <dataValidation type="list" allowBlank="1" showInputMessage="1" showErrorMessage="1" sqref="C5" xr:uid="{00000000-0002-0000-0200-000002000000}">
      <formula1>PlantType</formula1>
    </dataValidation>
    <dataValidation type="whole" allowBlank="1" showInputMessage="1" showErrorMessage="1" sqref="C19 C4 D6" xr:uid="{00000000-0002-0000-02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276</v>
      </c>
      <c r="C1" s="253"/>
    </row>
    <row r="2" spans="1:20" ht="14.25" customHeight="1" x14ac:dyDescent="0.25">
      <c r="B2" s="315" t="s">
        <v>36</v>
      </c>
      <c r="C2" s="315"/>
      <c r="G2" s="37"/>
      <c r="H2" s="313"/>
      <c r="I2" s="314" t="s">
        <v>143</v>
      </c>
      <c r="J2" s="216"/>
      <c r="K2" s="216"/>
      <c r="M2" s="78" t="s">
        <v>304</v>
      </c>
      <c r="N2" s="78"/>
      <c r="O2" s="78"/>
      <c r="P2" s="78"/>
    </row>
    <row r="3" spans="1:20" ht="12" customHeight="1" x14ac:dyDescent="0.2">
      <c r="Q3" s="320"/>
      <c r="R3" s="320"/>
      <c r="S3" s="320"/>
    </row>
    <row r="4" spans="1:20" ht="23.2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1.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6"/>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7"/>
      <c r="D14" s="36"/>
      <c r="E14" s="69" t="s">
        <v>26</v>
      </c>
      <c r="F14" s="148"/>
      <c r="G14" s="148"/>
      <c r="M14" s="78"/>
      <c r="N14" s="214" t="s">
        <v>273</v>
      </c>
      <c r="O14" s="251" t="s">
        <v>152</v>
      </c>
      <c r="P14" s="251"/>
    </row>
    <row r="15" spans="1:20" ht="14.25" customHeight="1" x14ac:dyDescent="0.25">
      <c r="A15" s="78" t="s">
        <v>201</v>
      </c>
      <c r="B15" s="319" t="s">
        <v>318</v>
      </c>
      <c r="C15" s="317"/>
      <c r="D15" s="36"/>
      <c r="E15" s="69" t="s">
        <v>5</v>
      </c>
      <c r="F15" s="148"/>
      <c r="G15" s="148"/>
      <c r="M15" s="95" t="s">
        <v>39</v>
      </c>
      <c r="N15" s="212">
        <f>SUM(G33,G47,G62,G77,G92,G108,G123,G138,G153,G168,)</f>
        <v>0</v>
      </c>
      <c r="O15" s="258">
        <f>SUM(H33*I33,H47*I47,H62*I62,H77*I77,H92*I92,H108*I108,H123*I123,H138*I138,H153*I153,H168*I168)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2.75" customHeight="1" x14ac:dyDescent="0.25">
      <c r="A18" s="153" t="s">
        <v>197</v>
      </c>
      <c r="B18" s="15"/>
      <c r="C18" s="15"/>
      <c r="D18" s="15"/>
      <c r="E18" s="90"/>
      <c r="F18" s="90"/>
      <c r="G18" s="61"/>
      <c r="H18" s="61"/>
      <c r="M18" s="56" t="s">
        <v>298</v>
      </c>
    </row>
    <row r="19" spans="1:20" ht="10.5" customHeight="1" x14ac:dyDescent="0.2">
      <c r="B19" s="131"/>
      <c r="C19" s="61"/>
      <c r="J19" s="161"/>
      <c r="K19" s="161"/>
    </row>
    <row r="20" spans="1:20" ht="28.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IF($C$4&gt;0,"AP-3 EP-1","")</f>
        <v/>
      </c>
      <c r="F23" s="124" t="str">
        <f>IF($C$4&gt;0,"AP-3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IF($C$4&gt;0,"AP-3 EP-2","")</f>
        <v/>
      </c>
      <c r="F25" s="124" t="str">
        <f>IF($C$4&gt;0,"AP-3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IF($C$4&gt;0,"AP-3 EP-3","")</f>
        <v/>
      </c>
      <c r="F27" s="124" t="str">
        <f>IF($C$4&gt;0,"AP-3 EU-3","")</f>
        <v/>
      </c>
      <c r="G27" s="222" t="str">
        <f>IF(C5="","","Silo Filling")</f>
        <v/>
      </c>
      <c r="H27" s="72"/>
      <c r="I27" s="144"/>
      <c r="J27" s="226"/>
      <c r="K27" s="226"/>
      <c r="M27" s="94" t="s">
        <v>16</v>
      </c>
      <c r="Q27" s="172"/>
    </row>
    <row r="28" spans="1:20" ht="14.25" customHeight="1" x14ac:dyDescent="0.2">
      <c r="A28" s="155"/>
      <c r="B28" s="83"/>
      <c r="D28" s="56"/>
      <c r="E28" s="124" t="str">
        <f>IF($C$4&gt;0,"AP-3 EP-3","")</f>
        <v/>
      </c>
      <c r="F28" s="124" t="str">
        <f>IF($C$4&gt;0,"AP-3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IF($C$4&gt;0,"AP-3 EP-3","")</f>
        <v/>
      </c>
      <c r="F29" s="124" t="str">
        <f>IF($C$4&gt;0,"AP-3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IF(C39="","","AP-3 EP-1")</f>
        <v/>
      </c>
      <c r="F37" s="124" t="str">
        <f>IF(C39="","","AP-3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IF(C39="","","AP-3 EP-2")</f>
        <v/>
      </c>
      <c r="F39" s="124" t="str">
        <f>IF(C39="","","AP-3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IF($C$4&gt;1,"AP-3 EP-3","")</f>
        <v/>
      </c>
      <c r="F41" s="124" t="str">
        <f>IF($C$4&gt;1,"AP-3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IF($C$4&gt;1,"AP-3 EP-3","")</f>
        <v/>
      </c>
      <c r="F42" s="124" t="str">
        <f>IF($C$4&gt;1,"AP-3 EU-4","")</f>
        <v/>
      </c>
      <c r="G42" s="222" t="str">
        <f>IF($C$4&gt;1,"Truck Loadout","")</f>
        <v/>
      </c>
      <c r="H42" s="72"/>
      <c r="I42" s="144"/>
      <c r="J42" s="226"/>
      <c r="K42" s="226"/>
      <c r="M42" s="94" t="s">
        <v>26</v>
      </c>
      <c r="T42" s="171"/>
    </row>
    <row r="43" spans="1:20" ht="14.25" customHeight="1" x14ac:dyDescent="0.2">
      <c r="B43" s="83"/>
      <c r="D43" s="56"/>
      <c r="E43" s="124" t="str">
        <f>IF($C$4&gt;1,"AP-3 EP-3","")</f>
        <v/>
      </c>
      <c r="F43" s="124" t="str">
        <f>IF($C$4&gt;1,"AP-3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20.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7.7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IF(C54="","","AP-3 EP-1")</f>
        <v/>
      </c>
      <c r="F52" s="124" t="str">
        <f>IF(C54="","","AP-3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IF(C54="","","AP-3 EP-2")</f>
        <v/>
      </c>
      <c r="F54" s="124" t="str">
        <f>IF(C54="","","AP-3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IF($C$4&gt;2,"AP-3 EP-3","")</f>
        <v/>
      </c>
      <c r="F56" s="124" t="str">
        <f>IF($C$4&gt;2,"AP-3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IF($C$4&gt;2,"AP-3 EP-3","")</f>
        <v/>
      </c>
      <c r="F57" s="124" t="str">
        <f>IF($C$4&gt;2,"AP-3 EU-4","")</f>
        <v/>
      </c>
      <c r="G57" s="222" t="str">
        <f>IF($C$4&gt;2,"Truck Loadout","")</f>
        <v/>
      </c>
      <c r="H57" s="72"/>
      <c r="I57" s="144"/>
      <c r="J57" s="226"/>
      <c r="K57" s="226"/>
      <c r="M57" s="94" t="s">
        <v>212</v>
      </c>
      <c r="T57" s="171"/>
    </row>
    <row r="58" spans="2:20" ht="14.25" customHeight="1" x14ac:dyDescent="0.2">
      <c r="B58" s="83"/>
      <c r="D58" s="56"/>
      <c r="E58" s="124" t="str">
        <f>IF($C$4&gt;2,"AP-3 EP-3","")</f>
        <v/>
      </c>
      <c r="F58" s="124" t="str">
        <f>IF($C$4&gt;2,"AP-3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9.2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IF(C69="","","AP-3 EP-1")</f>
        <v/>
      </c>
      <c r="F67" s="124" t="str">
        <f>IF(C69="","","AP-3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IF(C69="","","AP-3 EP-2")</f>
        <v/>
      </c>
      <c r="F69" s="124" t="str">
        <f>IF(C69="","","AP-3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IF($C$4&gt;3,"AP-3 EP-3","")</f>
        <v/>
      </c>
      <c r="F71" s="124" t="str">
        <f>IF($C$4&gt;3,"AP-3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IF($C$4&gt;3,"AP-3 EP-3","")</f>
        <v/>
      </c>
      <c r="F72" s="124" t="str">
        <f>IF($C$4&gt;3,"AP-3 EU-4","")</f>
        <v/>
      </c>
      <c r="G72" s="222" t="str">
        <f>IF($C$4&gt;3,"Truck Loadout","")</f>
        <v/>
      </c>
      <c r="H72" s="72"/>
      <c r="I72" s="144"/>
      <c r="J72" s="226"/>
      <c r="K72" s="226"/>
      <c r="M72" s="94" t="s">
        <v>217</v>
      </c>
      <c r="T72" s="171"/>
    </row>
    <row r="73" spans="2:20" ht="14.25" customHeight="1" x14ac:dyDescent="0.2">
      <c r="B73" s="83"/>
      <c r="D73" s="56"/>
      <c r="E73" s="124" t="str">
        <f>IF($C$4&gt;3,"AP-3 EP-3","")</f>
        <v/>
      </c>
      <c r="F73" s="124" t="str">
        <f>IF($C$4&gt;3,"AP-3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9.2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IF(C84="","","AP-3 EP-1")</f>
        <v/>
      </c>
      <c r="F82" s="124" t="str">
        <f>IF(C84="","","AP-3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IF(C84="","","AP-3 EP-2")</f>
        <v/>
      </c>
      <c r="F84" s="124" t="str">
        <f>IF(C84="","","AP-3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IF($C$4&gt;4,"AP-3 EP-3","")</f>
        <v/>
      </c>
      <c r="F86" s="124" t="str">
        <f>IF($C$4&gt;4,"AP-3 EU-3","")</f>
        <v/>
      </c>
      <c r="G86" s="222" t="str">
        <f>IF($C$4&gt;4,"Silo Filling","")</f>
        <v/>
      </c>
      <c r="H86" s="72"/>
      <c r="I86" s="144"/>
      <c r="J86" s="226"/>
      <c r="K86" s="226"/>
      <c r="M86" s="94" t="s">
        <v>224</v>
      </c>
      <c r="T86" s="171"/>
    </row>
    <row r="87" spans="2:20" ht="14.25" customHeight="1" x14ac:dyDescent="0.2">
      <c r="B87" s="83"/>
      <c r="D87" s="56"/>
      <c r="E87" s="124" t="str">
        <f>IF($C$4&gt;4,"AP-3 EP-3","")</f>
        <v/>
      </c>
      <c r="F87" s="124" t="str">
        <f>IF($C$4&gt;4,"AP-3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IF($C$4&gt;4,"AP-3 EP-3","")</f>
        <v/>
      </c>
      <c r="F88" s="124" t="str">
        <f>IF($C$4&gt;4,"AP-3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21"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0.25" customHeight="1" x14ac:dyDescent="0.2">
      <c r="J94" s="161"/>
      <c r="K94" s="161"/>
      <c r="M94" s="322"/>
      <c r="N94" s="323"/>
      <c r="O94" s="324"/>
      <c r="P94" s="125"/>
      <c r="Q94" s="210"/>
      <c r="R94" s="210"/>
      <c r="S94" s="210"/>
      <c r="T94" s="210"/>
    </row>
    <row r="95" spans="2:20" ht="27.7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IF(C100="","","AP-3 EP-1")</f>
        <v/>
      </c>
      <c r="F98" s="124" t="str">
        <f>IF(C100="","","AP-3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IF(C100="","","AP-3 EP-2")</f>
        <v/>
      </c>
      <c r="F100" s="124" t="str">
        <f>IF(C100="","","AP-3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IF($C$4&gt;5,"AP-3 EP-3","")</f>
        <v/>
      </c>
      <c r="F102" s="124" t="str">
        <f>IF($C$4&gt;5,"AP-3 EU-3","")</f>
        <v/>
      </c>
      <c r="G102" s="222" t="str">
        <f>IF($C$4&gt;5,"Silo Filling","")</f>
        <v/>
      </c>
      <c r="H102" s="72"/>
      <c r="I102" s="144"/>
      <c r="J102" s="226"/>
      <c r="K102" s="226"/>
    </row>
    <row r="103" spans="2:11" ht="14.25" customHeight="1" x14ac:dyDescent="0.2">
      <c r="B103" s="83"/>
      <c r="D103" s="56"/>
      <c r="E103" s="124" t="str">
        <f>IF($C$4&gt;5,"AP-3 EP-3","")</f>
        <v/>
      </c>
      <c r="F103" s="124" t="str">
        <f>IF($C$4&gt;5,"AP-3 EU-4","")</f>
        <v/>
      </c>
      <c r="G103" s="222" t="str">
        <f>IF($C$4&gt;5,"Truck Loadout","")</f>
        <v/>
      </c>
      <c r="H103" s="72"/>
      <c r="I103" s="144"/>
      <c r="J103" s="226"/>
      <c r="K103" s="226"/>
    </row>
    <row r="104" spans="2:11" ht="14.25" customHeight="1" x14ac:dyDescent="0.2">
      <c r="B104" s="83"/>
      <c r="D104" s="56"/>
      <c r="E104" s="124" t="str">
        <f>IF($C$4&gt;5,"AP-3 EP-3","")</f>
        <v/>
      </c>
      <c r="F104" s="124" t="str">
        <f>IF($C$4&gt;5,"AP-3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0.25" customHeight="1" x14ac:dyDescent="0.2">
      <c r="J109" s="161"/>
      <c r="K109" s="161"/>
    </row>
    <row r="110" spans="2:11" ht="27"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IF(C115="","","AP-3 EP-1")</f>
        <v/>
      </c>
      <c r="F113" s="124" t="str">
        <f>IF(C115="","","AP-3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IF(C115="","","AP-3 EP-2")</f>
        <v/>
      </c>
      <c r="F115" s="124" t="str">
        <f>IF(C115="","","AP-3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IF($C$4&gt;6,"AP-3 EP-3","")</f>
        <v/>
      </c>
      <c r="F117" s="124" t="str">
        <f>IF($C$4&gt;6,"AP-3 EU-3","")</f>
        <v/>
      </c>
      <c r="G117" s="222" t="str">
        <f>IF($C$4&gt;6,"Silo Filling","")</f>
        <v/>
      </c>
      <c r="H117" s="72"/>
      <c r="I117" s="144"/>
      <c r="J117" s="226"/>
      <c r="K117" s="226"/>
    </row>
    <row r="118" spans="2:11" ht="14.25" customHeight="1" x14ac:dyDescent="0.2">
      <c r="B118" s="83"/>
      <c r="D118" s="56"/>
      <c r="E118" s="124" t="str">
        <f>IF($C$4&gt;6,"AP-3 EP-3","")</f>
        <v/>
      </c>
      <c r="F118" s="124" t="str">
        <f>IF($C$4&gt;6,"AP-3 EU-4","")</f>
        <v/>
      </c>
      <c r="G118" s="222" t="str">
        <f>IF($C$4&gt;6,"Truck Loadout","")</f>
        <v/>
      </c>
      <c r="H118" s="72"/>
      <c r="I118" s="144"/>
      <c r="J118" s="226"/>
      <c r="K118" s="226"/>
    </row>
    <row r="119" spans="2:11" ht="14.25" customHeight="1" x14ac:dyDescent="0.2">
      <c r="B119" s="83"/>
      <c r="D119" s="56"/>
      <c r="E119" s="124" t="str">
        <f>IF($C$4&gt;6,"AP-3 EP-3","")</f>
        <v/>
      </c>
      <c r="F119" s="124" t="str">
        <f>IF($C$4&gt;6,"AP-3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4.75" customHeight="1" x14ac:dyDescent="0.2">
      <c r="J124" s="161"/>
      <c r="K124" s="161"/>
    </row>
    <row r="125" spans="2:11" ht="27"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IF(C130="","","AP-3 EP-1")</f>
        <v/>
      </c>
      <c r="F128" s="124" t="str">
        <f>IF(C130="","","AP-3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IF(C130="","","AP-3 EP-2")</f>
        <v/>
      </c>
      <c r="F130" s="124" t="str">
        <f>IF(C130="","","AP-3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IF($C$4&gt;7,"AP-3 EP-3","")</f>
        <v/>
      </c>
      <c r="F132" s="124" t="str">
        <f>IF($C$4&gt;7,"AP-3 EU-3","")</f>
        <v/>
      </c>
      <c r="G132" s="222" t="str">
        <f>IF($C$4&gt;7,"Silo Filling","")</f>
        <v/>
      </c>
      <c r="H132" s="72"/>
      <c r="I132" s="144"/>
      <c r="J132" s="226"/>
      <c r="K132" s="226"/>
    </row>
    <row r="133" spans="2:11" ht="14.25" customHeight="1" x14ac:dyDescent="0.2">
      <c r="B133" s="83"/>
      <c r="D133" s="56"/>
      <c r="E133" s="124" t="str">
        <f>IF($C$4&gt;7,"AP-3 EP-3","")</f>
        <v/>
      </c>
      <c r="F133" s="124" t="str">
        <f>IF($C$4&gt;7,"AP-3 EU-4","")</f>
        <v/>
      </c>
      <c r="G133" s="222" t="str">
        <f>IF($C$4&gt;7,"Truck Loadout","")</f>
        <v/>
      </c>
      <c r="H133" s="72"/>
      <c r="I133" s="144"/>
      <c r="J133" s="226"/>
      <c r="K133" s="226"/>
    </row>
    <row r="134" spans="2:11" ht="14.25" customHeight="1" x14ac:dyDescent="0.2">
      <c r="B134" s="83"/>
      <c r="D134" s="56"/>
      <c r="E134" s="124" t="str">
        <f>IF($C$4&gt;7,"AP-3 EP-3","")</f>
        <v/>
      </c>
      <c r="F134" s="124" t="str">
        <f>IF($C$4&gt;7,"AP-3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30.75" customHeight="1" x14ac:dyDescent="0.2">
      <c r="J139" s="161"/>
      <c r="K139" s="161"/>
    </row>
    <row r="140" spans="2:11" ht="28.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IF(C145="","","AP-3 EP-1")</f>
        <v/>
      </c>
      <c r="F143" s="124" t="str">
        <f>IF(C145="","","AP-3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IF(C145="","","AP-3 EP-2")</f>
        <v/>
      </c>
      <c r="F145" s="124" t="str">
        <f>IF(C145="","","AP-3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IF($C$4&gt;8,"AP-3 EP-3","")</f>
        <v/>
      </c>
      <c r="F147" s="124" t="str">
        <f>IF($C$4&gt;8,"AP-3 EU-3","")</f>
        <v/>
      </c>
      <c r="G147" s="222" t="str">
        <f>IF($C$4&gt;8,"Silo Filling","")</f>
        <v/>
      </c>
      <c r="H147" s="72"/>
      <c r="I147" s="144"/>
      <c r="J147" s="226"/>
      <c r="K147" s="226"/>
    </row>
    <row r="148" spans="2:11" ht="14.25" customHeight="1" x14ac:dyDescent="0.2">
      <c r="B148" s="83"/>
      <c r="D148" s="56"/>
      <c r="E148" s="124" t="str">
        <f>IF($C$4&gt;8,"AP-3 EP-3","")</f>
        <v/>
      </c>
      <c r="F148" s="124" t="str">
        <f>IF($C$4&gt;8,"AP-3 EU-4","")</f>
        <v/>
      </c>
      <c r="G148" s="222" t="str">
        <f>IF($C$4&gt;8,"Truck Loadout","")</f>
        <v/>
      </c>
      <c r="H148" s="72"/>
      <c r="I148" s="144"/>
      <c r="J148" s="226"/>
      <c r="K148" s="226"/>
    </row>
    <row r="149" spans="2:11" ht="14.25" customHeight="1" x14ac:dyDescent="0.2">
      <c r="B149" s="83"/>
      <c r="D149" s="56"/>
      <c r="E149" s="124" t="str">
        <f>IF($C$4&gt;8,"AP-3 EP-3","")</f>
        <v/>
      </c>
      <c r="F149" s="124" t="str">
        <f>IF($C$4&gt;8,"AP-3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7"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IF(C160="","","AP-3 EP-1")</f>
        <v/>
      </c>
      <c r="F158" s="124" t="str">
        <f>IF(C160="","","AP-3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IF(C160="","","AP-3 EP-2")</f>
        <v/>
      </c>
      <c r="F160" s="124" t="str">
        <f>IF(C160="","","AP-3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IF($C$4&gt;9,"AP-3 EP-3","")</f>
        <v/>
      </c>
      <c r="F162" s="124" t="str">
        <f>IF($C$4&gt;9,"AP-3 EU-3","")</f>
        <v/>
      </c>
      <c r="G162" s="222" t="str">
        <f>IF($C$4&gt;9,"Silo Filling","")</f>
        <v/>
      </c>
      <c r="H162" s="72"/>
      <c r="I162" s="144"/>
      <c r="J162" s="226"/>
      <c r="K162" s="226"/>
    </row>
    <row r="163" spans="2:11" ht="14.25" customHeight="1" x14ac:dyDescent="0.2">
      <c r="B163" s="83"/>
      <c r="D163" s="56"/>
      <c r="E163" s="124" t="str">
        <f>IF($C$4&gt;9,"AP-3 EP-3","")</f>
        <v/>
      </c>
      <c r="F163" s="124" t="str">
        <f>IF($C$4&gt;9,"AP-3 EU-4","")</f>
        <v/>
      </c>
      <c r="G163" s="222" t="str">
        <f>IF($C$4&gt;9,"Truck Loadout","")</f>
        <v/>
      </c>
      <c r="H163" s="72"/>
      <c r="I163" s="144"/>
      <c r="J163" s="226"/>
      <c r="K163" s="226"/>
    </row>
    <row r="164" spans="2:11" ht="14.25" customHeight="1" x14ac:dyDescent="0.2">
      <c r="B164" s="83"/>
      <c r="D164" s="56"/>
      <c r="E164" s="124" t="str">
        <f>IF($C$4&gt;9,"AP-3 EP-3","")</f>
        <v/>
      </c>
      <c r="F164" s="124" t="str">
        <f>IF($C$4&gt;9,"AP-3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x2V09c+Y381bnt367eDzzBVYjajV3ZRHYHk29F66tkhU91AQzu+yVqNO2O9PLqf6r+dIn5jKfQLTygRn67Wgng==" saltValue="O3PzgCqdTA0x0C4ucz205Q==" spinCount="100000" sheet="1" objects="1" scenarios="1"/>
  <conditionalFormatting sqref="E23:F23 E25:F25 E27:F30">
    <cfRule type="notContainsBlanks" dxfId="40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408" priority="4">
      <formula>LEN(TRIM(B26))&gt;0</formula>
    </cfRule>
  </conditionalFormatting>
  <conditionalFormatting sqref="E33">
    <cfRule type="notContainsBlanks" dxfId="407" priority="37">
      <formula>LEN(TRIM(E33))&gt;0</formula>
    </cfRule>
  </conditionalFormatting>
  <conditionalFormatting sqref="B33">
    <cfRule type="notContainsBlanks" dxfId="406" priority="36">
      <formula>LEN(TRIM(B33))&gt;0</formula>
    </cfRule>
  </conditionalFormatting>
  <conditionalFormatting sqref="B36:E36 B35:I35 B37:I37 H36:I36 D39:I39 B38:E38 H38:I38 J34:K35 H40:I40 B42:I47 D41:I41 D40:E40 B39:C40 J38:K46">
    <cfRule type="cellIs" dxfId="405" priority="40" operator="notEqual">
      <formula>$B$35=""</formula>
    </cfRule>
  </conditionalFormatting>
  <conditionalFormatting sqref="E36:G43 B36:B40">
    <cfRule type="notContainsBlanks" dxfId="40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403" priority="28">
      <formula>LEN(TRIM(C36))&gt;0</formula>
    </cfRule>
  </conditionalFormatting>
  <conditionalFormatting sqref="B51:E51 B49:I50 B52:I52 H51:I51 D54:I54 B53:E53 H53:I53 J48:K50 H55:I55 B57:I62 D56:I56 D55:E55 B54:C55 J53:K61">
    <cfRule type="cellIs" dxfId="402" priority="38" operator="notEqual">
      <formula>$B$49=""</formula>
    </cfRule>
  </conditionalFormatting>
  <conditionalFormatting sqref="E51:G58 B51:B55">
    <cfRule type="notContainsBlanks" dxfId="401" priority="32">
      <formula>LEN(TRIM(B51))&gt;0</formula>
    </cfRule>
  </conditionalFormatting>
  <conditionalFormatting sqref="C51:C55">
    <cfRule type="notContainsBlanks" dxfId="400" priority="31">
      <formula>LEN(TRIM(C51))&gt;0</formula>
    </cfRule>
  </conditionalFormatting>
  <conditionalFormatting sqref="B35:C35">
    <cfRule type="notContainsBlanks" dxfId="399" priority="30">
      <formula>LEN(TRIM(B35))&gt;0</formula>
    </cfRule>
  </conditionalFormatting>
  <conditionalFormatting sqref="B49:C49">
    <cfRule type="notContainsBlanks" dxfId="398" priority="29">
      <formula>LEN(TRIM(B49))&gt;0</formula>
    </cfRule>
  </conditionalFormatting>
  <conditionalFormatting sqref="B66:E66 B64:I65 B67:I67 H66:I66 D69:I69 B68:E68 H68:I68 J63:K65 H70:I70 B72:I77 D71:I71 D70:E70 B69:C70 J68:K76">
    <cfRule type="cellIs" dxfId="397" priority="35" operator="notEqual">
      <formula>$B$64=""</formula>
    </cfRule>
  </conditionalFormatting>
  <conditionalFormatting sqref="E66:G73 B66:B70">
    <cfRule type="notContainsBlanks" dxfId="396" priority="27">
      <formula>LEN(TRIM(B66))&gt;0</formula>
    </cfRule>
  </conditionalFormatting>
  <conditionalFormatting sqref="C66:C70">
    <cfRule type="notContainsBlanks" dxfId="395" priority="26">
      <formula>LEN(TRIM(C66))&gt;0</formula>
    </cfRule>
  </conditionalFormatting>
  <conditionalFormatting sqref="B64:C64">
    <cfRule type="notContainsBlanks" dxfId="394" priority="25">
      <formula>LEN(TRIM(B64))&gt;0</formula>
    </cfRule>
  </conditionalFormatting>
  <conditionalFormatting sqref="B81:E81 B79:I80 B82:I82 H81:I81 B83:E83 J78:K80 B87:I92 D86:I86 D85:E85 B84:C85 H83:K83 J86:K91 H85:J85 D84:J84">
    <cfRule type="cellIs" dxfId="393" priority="33" operator="notEqual">
      <formula>$B$79=""</formula>
    </cfRule>
  </conditionalFormatting>
  <conditionalFormatting sqref="E81:G88 B81:B85">
    <cfRule type="notContainsBlanks" dxfId="392" priority="23">
      <formula>LEN(TRIM(B81))&gt;0</formula>
    </cfRule>
  </conditionalFormatting>
  <conditionalFormatting sqref="C81:C85">
    <cfRule type="notContainsBlanks" dxfId="391" priority="22">
      <formula>LEN(TRIM(C81))&gt;0</formula>
    </cfRule>
  </conditionalFormatting>
  <conditionalFormatting sqref="B79:C79">
    <cfRule type="notContainsBlanks" dxfId="390" priority="21">
      <formula>LEN(TRIM(B79))&gt;0</formula>
    </cfRule>
  </conditionalFormatting>
  <conditionalFormatting sqref="B97:E97 B95:I96 B98:I98 H97:I97 D100:I100 B99:E99 H99:I99 J93:K96 H101:I101 B103:I108 D102:I102 D101:E101 B100:C101 J99:K107">
    <cfRule type="cellIs" dxfId="389" priority="24" operator="notEqual">
      <formula>$B$95=""</formula>
    </cfRule>
  </conditionalFormatting>
  <conditionalFormatting sqref="E97:G104 B97:B101">
    <cfRule type="notContainsBlanks" dxfId="388" priority="19">
      <formula>LEN(TRIM(B97))&gt;0</formula>
    </cfRule>
  </conditionalFormatting>
  <conditionalFormatting sqref="C97:C101">
    <cfRule type="notContainsBlanks" dxfId="387" priority="18">
      <formula>LEN(TRIM(C97))&gt;0</formula>
    </cfRule>
  </conditionalFormatting>
  <conditionalFormatting sqref="B95:C95">
    <cfRule type="notContainsBlanks" dxfId="386" priority="17">
      <formula>LEN(TRIM(B95))&gt;0</formula>
    </cfRule>
  </conditionalFormatting>
  <conditionalFormatting sqref="B112:E112 B110:I111 B113:I113 H112:I112 D115:I115 B114:E114 H114:I114 J109:K111 H116:I116 B118:I123 D117:I117 D116:E116 B115:C116 J114:K122">
    <cfRule type="cellIs" dxfId="385" priority="20" operator="notEqual">
      <formula>$B$110=""</formula>
    </cfRule>
  </conditionalFormatting>
  <conditionalFormatting sqref="E112:G119 B112:B116">
    <cfRule type="notContainsBlanks" dxfId="384" priority="15">
      <formula>LEN(TRIM(B112))&gt;0</formula>
    </cfRule>
  </conditionalFormatting>
  <conditionalFormatting sqref="C112:C116">
    <cfRule type="notContainsBlanks" dxfId="383" priority="14">
      <formula>LEN(TRIM(C112))&gt;0</formula>
    </cfRule>
  </conditionalFormatting>
  <conditionalFormatting sqref="B110:C110">
    <cfRule type="notContainsBlanks" dxfId="382" priority="13">
      <formula>LEN(TRIM(B110))&gt;0</formula>
    </cfRule>
  </conditionalFormatting>
  <conditionalFormatting sqref="B127:E127 B125:I126 B128:I128 H127:I127 D130:I130 B129:E129 H129:I129 J124:K126 H131:I131 B133:I138 D132:I132 D131:E131 B130:C131 J129:K137">
    <cfRule type="cellIs" dxfId="381" priority="16" operator="notEqual">
      <formula>$B$125=""</formula>
    </cfRule>
  </conditionalFormatting>
  <conditionalFormatting sqref="E127:G134 B127:B131">
    <cfRule type="notContainsBlanks" dxfId="380" priority="11">
      <formula>LEN(TRIM(B127))&gt;0</formula>
    </cfRule>
  </conditionalFormatting>
  <conditionalFormatting sqref="C127:C131">
    <cfRule type="notContainsBlanks" dxfId="379" priority="10">
      <formula>LEN(TRIM(C127))&gt;0</formula>
    </cfRule>
  </conditionalFormatting>
  <conditionalFormatting sqref="B125:C125">
    <cfRule type="notContainsBlanks" dxfId="378" priority="9">
      <formula>LEN(TRIM(B125))&gt;0</formula>
    </cfRule>
  </conditionalFormatting>
  <conditionalFormatting sqref="B142:E142 B140:I141 B143:I143 H142:I142 D145:I145 B144:E144 H144:I144 J139:K141 H146:I146 B148:I153 D147:I147 D146:E146 B145:C146 J144:K152">
    <cfRule type="cellIs" dxfId="377" priority="12" operator="notEqual">
      <formula>$B$140=""</formula>
    </cfRule>
  </conditionalFormatting>
  <conditionalFormatting sqref="E142:G149 B142:B146">
    <cfRule type="notContainsBlanks" dxfId="376" priority="7">
      <formula>LEN(TRIM(B142))&gt;0</formula>
    </cfRule>
  </conditionalFormatting>
  <conditionalFormatting sqref="C142:C146">
    <cfRule type="notContainsBlanks" dxfId="375" priority="6">
      <formula>LEN(TRIM(C142))&gt;0</formula>
    </cfRule>
  </conditionalFormatting>
  <conditionalFormatting sqref="B140:C140">
    <cfRule type="notContainsBlanks" dxfId="374" priority="5">
      <formula>LEN(TRIM(B140))&gt;0</formula>
    </cfRule>
  </conditionalFormatting>
  <conditionalFormatting sqref="B157:E157 B155:I156 B158:I158 H157:I157 D160:I160 B159:E159 H159:I159 J154:K156 H161:I161 B163:I168 D162:I162 D161:E161 B160:C161 J159:K167">
    <cfRule type="cellIs" dxfId="373" priority="8" operator="notEqual">
      <formula>$B$155=""</formula>
    </cfRule>
  </conditionalFormatting>
  <conditionalFormatting sqref="E157:G164 B157:B161">
    <cfRule type="notContainsBlanks" dxfId="372" priority="3">
      <formula>LEN(TRIM(B157))&gt;0</formula>
    </cfRule>
  </conditionalFormatting>
  <conditionalFormatting sqref="C157:C161">
    <cfRule type="notContainsBlanks" dxfId="371" priority="2">
      <formula>LEN(TRIM(C157))&gt;0</formula>
    </cfRule>
  </conditionalFormatting>
  <conditionalFormatting sqref="B155:C155">
    <cfRule type="notContainsBlanks" dxfId="370" priority="1">
      <formula>LEN(TRIM(B155))&gt;0</formula>
    </cfRule>
  </conditionalFormatting>
  <dataValidations count="4">
    <dataValidation type="list" allowBlank="1" showInputMessage="1" showErrorMessage="1" sqref="C26 C40 C55 C70 C85 C101 C116 C131 C146 C161" xr:uid="{00000000-0002-0000-0300-000000000000}">
      <formula1>CHECK</formula1>
    </dataValidation>
    <dataValidation type="list" allowBlank="1" showInputMessage="1" showErrorMessage="1" sqref="C25 A13 A15 C39 C54 C69 C84 C100 C115 C130 C145 C160" xr:uid="{00000000-0002-0000-0300-000001000000}">
      <formula1>Fuel</formula1>
    </dataValidation>
    <dataValidation type="list" allowBlank="1" showInputMessage="1" showErrorMessage="1" sqref="C5" xr:uid="{00000000-0002-0000-0300-000002000000}">
      <formula1>PlantType</formula1>
    </dataValidation>
    <dataValidation type="whole" allowBlank="1" showInputMessage="1" showErrorMessage="1" sqref="C19 C4 D6" xr:uid="{00000000-0002-0000-03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277</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30"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6"/>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7"/>
      <c r="D14" s="36"/>
      <c r="E14" s="69" t="s">
        <v>26</v>
      </c>
      <c r="F14" s="148"/>
      <c r="G14" s="148"/>
      <c r="M14" s="78"/>
      <c r="N14" s="214" t="s">
        <v>273</v>
      </c>
      <c r="O14" s="251" t="s">
        <v>152</v>
      </c>
      <c r="P14" s="251"/>
    </row>
    <row r="15" spans="1:20" ht="14.25" customHeight="1" x14ac:dyDescent="0.25">
      <c r="A15" s="78" t="s">
        <v>201</v>
      </c>
      <c r="B15" s="319" t="s">
        <v>318</v>
      </c>
      <c r="C15" s="317"/>
      <c r="D15" s="36"/>
      <c r="E15" s="69" t="s">
        <v>5</v>
      </c>
      <c r="F15" s="148"/>
      <c r="G15" s="148"/>
      <c r="M15" s="95" t="s">
        <v>39</v>
      </c>
      <c r="N15" s="212">
        <f>SUM(G33,G47,G62,G77,G92,G108,G123,G138,G153,G168,)</f>
        <v>0</v>
      </c>
      <c r="O15" s="258">
        <f>SUM(H33*I33,H47*I47,H62*I62,H77*I77,H92*I92,H108*I108,H123*I123,H138*I138,H153*I153,H168*I168)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8.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IF($C$4&gt;0,"AP-4 EP-1","")</f>
        <v/>
      </c>
      <c r="F23" s="124" t="str">
        <f>IF($C$4&gt;0,"AP-4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IF($C$4&gt;0,"AP-4 EP-2","")</f>
        <v/>
      </c>
      <c r="F25" s="124" t="str">
        <f>IF($C$4&gt;0,"AP-4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IF($C$4&gt;0,"AP-4 EP-3","")</f>
        <v/>
      </c>
      <c r="F27" s="124" t="str">
        <f>IF($C$4&gt;0,"AP-4 EU-3","")</f>
        <v/>
      </c>
      <c r="G27" s="222" t="str">
        <f>IF(C5="","","Silo Filling")</f>
        <v/>
      </c>
      <c r="H27" s="72"/>
      <c r="I27" s="144"/>
      <c r="J27" s="226"/>
      <c r="K27" s="226"/>
      <c r="M27" s="94" t="s">
        <v>16</v>
      </c>
      <c r="Q27" s="172"/>
    </row>
    <row r="28" spans="1:20" ht="14.25" customHeight="1" x14ac:dyDescent="0.2">
      <c r="A28" s="155"/>
      <c r="B28" s="83"/>
      <c r="D28" s="56"/>
      <c r="E28" s="124" t="str">
        <f>IF($C$4&gt;0,"AP-4 EP-3","")</f>
        <v/>
      </c>
      <c r="F28" s="124" t="str">
        <f>IF($C$4&gt;0,"AP-4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IF($C$4&gt;0,"AP-4 EP-3","")</f>
        <v/>
      </c>
      <c r="F29" s="124" t="str">
        <f>IF($C$4&gt;0,"AP-4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8.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IF(C39="","","AP-4 EP-1")</f>
        <v/>
      </c>
      <c r="F37" s="124" t="str">
        <f>IF(C39="","","AP-4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IF(C39="","","AP-4 EP-2")</f>
        <v/>
      </c>
      <c r="F39" s="124" t="str">
        <f>IF(C39="","","AP-4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IF($C$4&gt;1,"AP-4 EP-3","")</f>
        <v/>
      </c>
      <c r="F41" s="124" t="str">
        <f>IF($C$4&gt;1,"AP-4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IF($C$4&gt;1,"AP-4 EP-3","")</f>
        <v/>
      </c>
      <c r="F42" s="124" t="str">
        <f>IF($C$4&gt;1,"AP-4 EU-4","")</f>
        <v/>
      </c>
      <c r="G42" s="222" t="str">
        <f>IF($C$4&gt;1,"Truck Loadout","")</f>
        <v/>
      </c>
      <c r="H42" s="72"/>
      <c r="I42" s="144"/>
      <c r="J42" s="226"/>
      <c r="K42" s="226"/>
      <c r="M42" s="94" t="s">
        <v>26</v>
      </c>
      <c r="T42" s="171"/>
    </row>
    <row r="43" spans="1:20" ht="14.25" customHeight="1" x14ac:dyDescent="0.2">
      <c r="B43" s="83"/>
      <c r="D43" s="56"/>
      <c r="E43" s="124" t="str">
        <f>IF($C$4&gt;1,"AP-4 EP-3","")</f>
        <v/>
      </c>
      <c r="F43" s="124" t="str">
        <f>IF($C$4&gt;1,"AP-4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8.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IF(C54="","","AP-4 EP-1")</f>
        <v/>
      </c>
      <c r="F52" s="124" t="str">
        <f>IF(C54="","","AP-4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IF(C54="","","AP-4 EP-2")</f>
        <v/>
      </c>
      <c r="F54" s="124" t="str">
        <f>IF(C54="","","AP-4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IF($C$4&gt;2,"AP-4 EP-3","")</f>
        <v/>
      </c>
      <c r="F56" s="124" t="str">
        <f>IF($C$4&gt;2,"AP-4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IF($C$4&gt;2,"AP-4 EP-3","")</f>
        <v/>
      </c>
      <c r="F57" s="124" t="str">
        <f>IF($C$4&gt;2,"AP-4 EU-4","")</f>
        <v/>
      </c>
      <c r="G57" s="222" t="str">
        <f>IF($C$4&gt;2,"Truck Loadout","")</f>
        <v/>
      </c>
      <c r="H57" s="72"/>
      <c r="I57" s="144"/>
      <c r="J57" s="226"/>
      <c r="K57" s="226"/>
      <c r="M57" s="94" t="s">
        <v>212</v>
      </c>
      <c r="T57" s="171"/>
    </row>
    <row r="58" spans="2:20" ht="14.25" customHeight="1" x14ac:dyDescent="0.2">
      <c r="B58" s="83"/>
      <c r="D58" s="56"/>
      <c r="E58" s="124" t="str">
        <f>IF($C$4&gt;2,"AP-4 EP-3","")</f>
        <v/>
      </c>
      <c r="F58" s="124" t="str">
        <f>IF($C$4&gt;2,"AP-4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30"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IF(C69="","","AP-4 EP-1")</f>
        <v/>
      </c>
      <c r="F67" s="124" t="str">
        <f>IF(C69="","","AP-4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IF(C69="","","AP-4 EP-2")</f>
        <v/>
      </c>
      <c r="F69" s="124" t="str">
        <f>IF(C69="","","AP-4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IF($C$4&gt;3,"AP-4 EP-3","")</f>
        <v/>
      </c>
      <c r="F71" s="124" t="str">
        <f>IF($C$4&gt;3,"AP-4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IF($C$4&gt;3,"AP-4 EP-3","")</f>
        <v/>
      </c>
      <c r="F72" s="124" t="str">
        <f>IF($C$4&gt;3,"AP-4 EU-4","")</f>
        <v/>
      </c>
      <c r="G72" s="222" t="str">
        <f>IF($C$4&gt;3,"Truck Loadout","")</f>
        <v/>
      </c>
      <c r="H72" s="72"/>
      <c r="I72" s="144"/>
      <c r="J72" s="226"/>
      <c r="K72" s="226"/>
      <c r="M72" s="94" t="s">
        <v>217</v>
      </c>
      <c r="T72" s="171"/>
    </row>
    <row r="73" spans="2:20" ht="14.25" customHeight="1" x14ac:dyDescent="0.2">
      <c r="B73" s="83"/>
      <c r="D73" s="56"/>
      <c r="E73" s="124" t="str">
        <f>IF($C$4&gt;3,"AP-4 EP-3","")</f>
        <v/>
      </c>
      <c r="F73" s="124" t="str">
        <f>IF($C$4&gt;3,"AP-4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8.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IF(C84="","","AP-4 EP-1")</f>
        <v/>
      </c>
      <c r="F82" s="124" t="str">
        <f>IF(C84="","","AP-4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IF(C84="","","AP-4 EP-2")</f>
        <v/>
      </c>
      <c r="F84" s="124" t="str">
        <f>IF(C84="","","AP-4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IF($C$4&gt;4,"AP-4 EP-3","")</f>
        <v/>
      </c>
      <c r="F86" s="124" t="str">
        <f>IF($C$4&gt;4,"AP-4 EU-3","")</f>
        <v/>
      </c>
      <c r="G86" s="222" t="str">
        <f>IF($C$4&gt;4,"Silo Filling","")</f>
        <v/>
      </c>
      <c r="H86" s="72"/>
      <c r="I86" s="144"/>
      <c r="J86" s="226"/>
      <c r="K86" s="226"/>
      <c r="M86" s="94" t="s">
        <v>224</v>
      </c>
      <c r="T86" s="171"/>
    </row>
    <row r="87" spans="2:20" ht="14.25" customHeight="1" x14ac:dyDescent="0.2">
      <c r="B87" s="83"/>
      <c r="D87" s="56"/>
      <c r="E87" s="124" t="str">
        <f>IF($C$4&gt;4,"AP-4 EP-3","")</f>
        <v/>
      </c>
      <c r="F87" s="124" t="str">
        <f>IF($C$4&gt;4,"AP-4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IF($C$4&gt;4,"AP-4 EP-3","")</f>
        <v/>
      </c>
      <c r="F88" s="124" t="str">
        <f>IF($C$4&gt;4,"AP-4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5.5" customHeight="1" x14ac:dyDescent="0.2">
      <c r="J94" s="161"/>
      <c r="K94" s="161"/>
      <c r="M94" s="322"/>
      <c r="N94" s="323"/>
      <c r="O94" s="324"/>
      <c r="P94" s="125"/>
      <c r="Q94" s="210"/>
      <c r="R94" s="210"/>
      <c r="S94" s="210"/>
      <c r="T94" s="210"/>
    </row>
    <row r="95" spans="2:20" ht="28.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IF(C100="","","AP-4 EP-1")</f>
        <v/>
      </c>
      <c r="F98" s="124" t="str">
        <f>IF(C100="","","AP-4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IF(C100="","","AP-4 EP-2")</f>
        <v/>
      </c>
      <c r="F100" s="124" t="str">
        <f>IF(C100="","","AP-4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IF($C$4&gt;5,"AP-4 EP-3","")</f>
        <v/>
      </c>
      <c r="F102" s="124" t="str">
        <f>IF($C$4&gt;5,"AP-4 EU-3","")</f>
        <v/>
      </c>
      <c r="G102" s="222" t="str">
        <f>IF($C$4&gt;5,"Silo Filling","")</f>
        <v/>
      </c>
      <c r="H102" s="72"/>
      <c r="I102" s="144"/>
      <c r="J102" s="226"/>
      <c r="K102" s="226"/>
    </row>
    <row r="103" spans="2:11" ht="14.25" customHeight="1" x14ac:dyDescent="0.2">
      <c r="B103" s="83"/>
      <c r="D103" s="56"/>
      <c r="E103" s="124" t="str">
        <f>IF($C$4&gt;5,"AP-4 EP-3","")</f>
        <v/>
      </c>
      <c r="F103" s="124" t="str">
        <f>IF($C$4&gt;5,"AP-4 EU-4","")</f>
        <v/>
      </c>
      <c r="G103" s="222" t="str">
        <f>IF($C$4&gt;5,"Truck Loadout","")</f>
        <v/>
      </c>
      <c r="H103" s="72"/>
      <c r="I103" s="144"/>
      <c r="J103" s="226"/>
      <c r="K103" s="226"/>
    </row>
    <row r="104" spans="2:11" ht="14.25" customHeight="1" x14ac:dyDescent="0.2">
      <c r="B104" s="83"/>
      <c r="D104" s="56"/>
      <c r="E104" s="124" t="str">
        <f>IF($C$4&gt;5,"AP-4 EP-3","")</f>
        <v/>
      </c>
      <c r="F104" s="124" t="str">
        <f>IF($C$4&gt;5,"AP-4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14.25" customHeight="1" x14ac:dyDescent="0.2">
      <c r="J109" s="161"/>
      <c r="K109" s="161"/>
    </row>
    <row r="110" spans="2:11" ht="28.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IF(C115="","","AP-4 EP-1")</f>
        <v/>
      </c>
      <c r="F113" s="124" t="str">
        <f>IF(C115="","","AP-4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IF(C115="","","AP-4 EP-2")</f>
        <v/>
      </c>
      <c r="F115" s="124" t="str">
        <f>IF(C115="","","AP-4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IF($C$4&gt;6,"AP-4 EP-3","")</f>
        <v/>
      </c>
      <c r="F117" s="124" t="str">
        <f>IF($C$4&gt;6,"AP-4 EU-3","")</f>
        <v/>
      </c>
      <c r="G117" s="222" t="str">
        <f>IF($C$4&gt;6,"Silo Filling","")</f>
        <v/>
      </c>
      <c r="H117" s="72"/>
      <c r="I117" s="144"/>
      <c r="J117" s="226"/>
      <c r="K117" s="226"/>
    </row>
    <row r="118" spans="2:11" ht="14.25" customHeight="1" x14ac:dyDescent="0.2">
      <c r="B118" s="83"/>
      <c r="D118" s="56"/>
      <c r="E118" s="124" t="str">
        <f>IF($C$4&gt;6,"AP-4 EP-3","")</f>
        <v/>
      </c>
      <c r="F118" s="124" t="str">
        <f>IF($C$4&gt;6,"AP-4 EU-4","")</f>
        <v/>
      </c>
      <c r="G118" s="222" t="str">
        <f>IF($C$4&gt;6,"Truck Loadout","")</f>
        <v/>
      </c>
      <c r="H118" s="72"/>
      <c r="I118" s="144"/>
      <c r="J118" s="226"/>
      <c r="K118" s="226"/>
    </row>
    <row r="119" spans="2:11" ht="14.25" customHeight="1" x14ac:dyDescent="0.2">
      <c r="B119" s="83"/>
      <c r="D119" s="56"/>
      <c r="E119" s="124" t="str">
        <f>IF($C$4&gt;6,"AP-4 EP-3","")</f>
        <v/>
      </c>
      <c r="F119" s="124" t="str">
        <f>IF($C$4&gt;6,"AP-4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5.5" customHeight="1" x14ac:dyDescent="0.2">
      <c r="J124" s="161"/>
      <c r="K124" s="161"/>
    </row>
    <row r="125" spans="2:11" ht="27.7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IF(C130="","","AP-4 EP-1")</f>
        <v/>
      </c>
      <c r="F128" s="124" t="str">
        <f>IF(C130="","","AP-4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IF(C130="","","AP-4 EP-2")</f>
        <v/>
      </c>
      <c r="F130" s="124" t="str">
        <f>IF(C130="","","AP-4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IF($C$4&gt;7,"AP-4 EP-3","")</f>
        <v/>
      </c>
      <c r="F132" s="124" t="str">
        <f>IF($C$4&gt;7,"AP-4 EU-3","")</f>
        <v/>
      </c>
      <c r="G132" s="222" t="str">
        <f>IF($C$4&gt;7,"Silo Filling","")</f>
        <v/>
      </c>
      <c r="H132" s="72"/>
      <c r="I132" s="144"/>
      <c r="J132" s="226"/>
      <c r="K132" s="226"/>
    </row>
    <row r="133" spans="2:11" ht="14.25" customHeight="1" x14ac:dyDescent="0.2">
      <c r="B133" s="83"/>
      <c r="D133" s="56"/>
      <c r="E133" s="124" t="str">
        <f>IF($C$4&gt;7,"AP-4 EP-3","")</f>
        <v/>
      </c>
      <c r="F133" s="124" t="str">
        <f>IF($C$4&gt;7,"AP-4 EU-4","")</f>
        <v/>
      </c>
      <c r="G133" s="222" t="str">
        <f>IF($C$4&gt;7,"Truck Loadout","")</f>
        <v/>
      </c>
      <c r="H133" s="72"/>
      <c r="I133" s="144"/>
      <c r="J133" s="226"/>
      <c r="K133" s="226"/>
    </row>
    <row r="134" spans="2:11" ht="14.25" customHeight="1" x14ac:dyDescent="0.2">
      <c r="B134" s="83"/>
      <c r="D134" s="56"/>
      <c r="E134" s="124" t="str">
        <f>IF($C$4&gt;7,"AP-4 EP-3","")</f>
        <v/>
      </c>
      <c r="F134" s="124" t="str">
        <f>IF($C$4&gt;7,"AP-4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31.5" customHeight="1" x14ac:dyDescent="0.2">
      <c r="J139" s="161"/>
      <c r="K139" s="161"/>
    </row>
    <row r="140" spans="2:11" ht="30.7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IF(C145="","","AP-4 EP-1")</f>
        <v/>
      </c>
      <c r="F143" s="124" t="str">
        <f>IF(C145="","","AP-4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IF(C145="","","AP-4 EP-2")</f>
        <v/>
      </c>
      <c r="F145" s="124" t="str">
        <f>IF(C145="","","AP-4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IF($C$4&gt;8,"AP-4 EP-3","")</f>
        <v/>
      </c>
      <c r="F147" s="124" t="str">
        <f>IF($C$4&gt;8,"AP-4 EU-3","")</f>
        <v/>
      </c>
      <c r="G147" s="222" t="str">
        <f>IF($C$4&gt;8,"Silo Filling","")</f>
        <v/>
      </c>
      <c r="H147" s="72"/>
      <c r="I147" s="144"/>
      <c r="J147" s="226"/>
      <c r="K147" s="226"/>
    </row>
    <row r="148" spans="2:11" ht="14.25" customHeight="1" x14ac:dyDescent="0.2">
      <c r="B148" s="83"/>
      <c r="D148" s="56"/>
      <c r="E148" s="124" t="str">
        <f>IF($C$4&gt;8,"AP-4 EP-3","")</f>
        <v/>
      </c>
      <c r="F148" s="124" t="str">
        <f>IF($C$4&gt;8,"AP-4 EU-4","")</f>
        <v/>
      </c>
      <c r="G148" s="222" t="str">
        <f>IF($C$4&gt;8,"Truck Loadout","")</f>
        <v/>
      </c>
      <c r="H148" s="72"/>
      <c r="I148" s="144"/>
      <c r="J148" s="226"/>
      <c r="K148" s="226"/>
    </row>
    <row r="149" spans="2:11" ht="14.25" customHeight="1" x14ac:dyDescent="0.2">
      <c r="B149" s="83"/>
      <c r="D149" s="56"/>
      <c r="E149" s="124" t="str">
        <f>IF($C$4&gt;8,"AP-4 EP-3","")</f>
        <v/>
      </c>
      <c r="F149" s="124" t="str">
        <f>IF($C$4&gt;8,"AP-4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9.2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IF(C160="","","AP-4 EP-1")</f>
        <v/>
      </c>
      <c r="F158" s="124" t="str">
        <f>IF(C160="","","AP-4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IF(C160="","","AP-4 EP-2")</f>
        <v/>
      </c>
      <c r="F160" s="124" t="str">
        <f>IF(C160="","","AP-4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IF($C$4&gt;9,"AP-4 EP-3","")</f>
        <v/>
      </c>
      <c r="F162" s="124" t="str">
        <f>IF($C$4&gt;9,"AP-4 EU-3","")</f>
        <v/>
      </c>
      <c r="G162" s="222" t="str">
        <f>IF($C$4&gt;9,"Silo Filling","")</f>
        <v/>
      </c>
      <c r="H162" s="72"/>
      <c r="I162" s="144"/>
      <c r="J162" s="226"/>
      <c r="K162" s="226"/>
    </row>
    <row r="163" spans="2:11" ht="14.25" customHeight="1" x14ac:dyDescent="0.2">
      <c r="B163" s="83"/>
      <c r="D163" s="56"/>
      <c r="E163" s="124" t="str">
        <f>IF($C$4&gt;9,"AP-4 EP-3","")</f>
        <v/>
      </c>
      <c r="F163" s="124" t="str">
        <f>IF($C$4&gt;9,"AP-4 EU-4","")</f>
        <v/>
      </c>
      <c r="G163" s="222" t="str">
        <f>IF($C$4&gt;9,"Truck Loadout","")</f>
        <v/>
      </c>
      <c r="H163" s="72"/>
      <c r="I163" s="144"/>
      <c r="J163" s="226"/>
      <c r="K163" s="226"/>
    </row>
    <row r="164" spans="2:11" ht="14.25" customHeight="1" x14ac:dyDescent="0.2">
      <c r="B164" s="83"/>
      <c r="D164" s="56"/>
      <c r="E164" s="124" t="str">
        <f>IF($C$4&gt;9,"AP-4 EP-3","")</f>
        <v/>
      </c>
      <c r="F164" s="124" t="str">
        <f>IF($C$4&gt;9,"AP-4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qvLY8vlAqXWVJuWHemf+uMVLCgljJZomYTMQp0KmcKQA8q8Z/tRWzVZEcDGitCOC8uBaAHDYfyQnrHACCgZF3g==" saltValue="qdwpsUApu9eO6YElmMsOBw==" spinCount="100000" sheet="1" objects="1" scenarios="1"/>
  <conditionalFormatting sqref="E23:F23 E25:F25 E27:F30">
    <cfRule type="notContainsBlanks" dxfId="36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368" priority="4">
      <formula>LEN(TRIM(B26))&gt;0</formula>
    </cfRule>
  </conditionalFormatting>
  <conditionalFormatting sqref="E33">
    <cfRule type="notContainsBlanks" dxfId="367" priority="37">
      <formula>LEN(TRIM(E33))&gt;0</formula>
    </cfRule>
  </conditionalFormatting>
  <conditionalFormatting sqref="B33">
    <cfRule type="notContainsBlanks" dxfId="366" priority="36">
      <formula>LEN(TRIM(B33))&gt;0</formula>
    </cfRule>
  </conditionalFormatting>
  <conditionalFormatting sqref="B36:E36 B35:I35 B37:I37 H36:I36 D39:I39 B38:E38 H38:I38 J34:K35 H40:I40 B42:I47 D41:I41 D40:E40 B39:C40 J38:K46">
    <cfRule type="cellIs" dxfId="365" priority="40" operator="notEqual">
      <formula>$B$35=""</formula>
    </cfRule>
  </conditionalFormatting>
  <conditionalFormatting sqref="E36:G43 B36:B40">
    <cfRule type="notContainsBlanks" dxfId="36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363" priority="28">
      <formula>LEN(TRIM(C36))&gt;0</formula>
    </cfRule>
  </conditionalFormatting>
  <conditionalFormatting sqref="B51:E51 B49:I50 B52:I52 H51:I51 D54:I54 B53:E53 H53:I53 J48:K50 H55:I55 B57:I62 D56:I56 D55:E55 B54:C55 J53:K61">
    <cfRule type="cellIs" dxfId="362" priority="38" operator="notEqual">
      <formula>$B$49=""</formula>
    </cfRule>
  </conditionalFormatting>
  <conditionalFormatting sqref="E51:G58 B51:B55">
    <cfRule type="notContainsBlanks" dxfId="361" priority="32">
      <formula>LEN(TRIM(B51))&gt;0</formula>
    </cfRule>
  </conditionalFormatting>
  <conditionalFormatting sqref="C51:C55">
    <cfRule type="notContainsBlanks" dxfId="360" priority="31">
      <formula>LEN(TRIM(C51))&gt;0</formula>
    </cfRule>
  </conditionalFormatting>
  <conditionalFormatting sqref="B35:C35">
    <cfRule type="notContainsBlanks" dxfId="359" priority="30">
      <formula>LEN(TRIM(B35))&gt;0</formula>
    </cfRule>
  </conditionalFormatting>
  <conditionalFormatting sqref="B49:C49">
    <cfRule type="notContainsBlanks" dxfId="358" priority="29">
      <formula>LEN(TRIM(B49))&gt;0</formula>
    </cfRule>
  </conditionalFormatting>
  <conditionalFormatting sqref="B66:E66 B64:I65 B67:I67 H66:I66 D69:I69 B68:E68 H68:I68 J63:K65 H70:I70 B72:I77 D71:I71 D70:E70 B69:C70 J68:K76">
    <cfRule type="cellIs" dxfId="357" priority="35" operator="notEqual">
      <formula>$B$64=""</formula>
    </cfRule>
  </conditionalFormatting>
  <conditionalFormatting sqref="E66:G73 B66:B70">
    <cfRule type="notContainsBlanks" dxfId="356" priority="27">
      <formula>LEN(TRIM(B66))&gt;0</formula>
    </cfRule>
  </conditionalFormatting>
  <conditionalFormatting sqref="C66:C70">
    <cfRule type="notContainsBlanks" dxfId="355" priority="26">
      <formula>LEN(TRIM(C66))&gt;0</formula>
    </cfRule>
  </conditionalFormatting>
  <conditionalFormatting sqref="B64:C64">
    <cfRule type="notContainsBlanks" dxfId="354" priority="25">
      <formula>LEN(TRIM(B64))&gt;0</formula>
    </cfRule>
  </conditionalFormatting>
  <conditionalFormatting sqref="B81:E81 B79:I80 B82:I82 H81:I81 B83:E83 J78:K80 B87:I92 D86:I86 D85:E85 B84:C85 H83:K83 J86:K91 H85:J85 D84:J84">
    <cfRule type="cellIs" dxfId="353" priority="33" operator="notEqual">
      <formula>$B$79=""</formula>
    </cfRule>
  </conditionalFormatting>
  <conditionalFormatting sqref="E81:G88 B81:B85">
    <cfRule type="notContainsBlanks" dxfId="352" priority="23">
      <formula>LEN(TRIM(B81))&gt;0</formula>
    </cfRule>
  </conditionalFormatting>
  <conditionalFormatting sqref="C81:C85">
    <cfRule type="notContainsBlanks" dxfId="351" priority="22">
      <formula>LEN(TRIM(C81))&gt;0</formula>
    </cfRule>
  </conditionalFormatting>
  <conditionalFormatting sqref="B79:C79">
    <cfRule type="notContainsBlanks" dxfId="350" priority="21">
      <formula>LEN(TRIM(B79))&gt;0</formula>
    </cfRule>
  </conditionalFormatting>
  <conditionalFormatting sqref="B97:E97 B95:I96 B98:I98 H97:I97 D100:I100 B99:E99 H99:I99 J93:K96 H101:I101 B103:I108 D102:I102 D101:E101 B100:C101 J99:K107">
    <cfRule type="cellIs" dxfId="349" priority="24" operator="notEqual">
      <formula>$B$95=""</formula>
    </cfRule>
  </conditionalFormatting>
  <conditionalFormatting sqref="E97:G104 B97:B101">
    <cfRule type="notContainsBlanks" dxfId="348" priority="19">
      <formula>LEN(TRIM(B97))&gt;0</formula>
    </cfRule>
  </conditionalFormatting>
  <conditionalFormatting sqref="C97:C101">
    <cfRule type="notContainsBlanks" dxfId="347" priority="18">
      <formula>LEN(TRIM(C97))&gt;0</formula>
    </cfRule>
  </conditionalFormatting>
  <conditionalFormatting sqref="B95:C95">
    <cfRule type="notContainsBlanks" dxfId="346" priority="17">
      <formula>LEN(TRIM(B95))&gt;0</formula>
    </cfRule>
  </conditionalFormatting>
  <conditionalFormatting sqref="B112:E112 B110:I111 B113:I113 H112:I112 D115:I115 B114:E114 H114:I114 J109:K111 H116:I116 B118:I123 D117:I117 D116:E116 B115:C116 J114:K122">
    <cfRule type="cellIs" dxfId="345" priority="20" operator="notEqual">
      <formula>$B$110=""</formula>
    </cfRule>
  </conditionalFormatting>
  <conditionalFormatting sqref="E112:G119 B112:B116">
    <cfRule type="notContainsBlanks" dxfId="344" priority="15">
      <formula>LEN(TRIM(B112))&gt;0</formula>
    </cfRule>
  </conditionalFormatting>
  <conditionalFormatting sqref="C112:C116">
    <cfRule type="notContainsBlanks" dxfId="343" priority="14">
      <formula>LEN(TRIM(C112))&gt;0</formula>
    </cfRule>
  </conditionalFormatting>
  <conditionalFormatting sqref="B110:C110">
    <cfRule type="notContainsBlanks" dxfId="342" priority="13">
      <formula>LEN(TRIM(B110))&gt;0</formula>
    </cfRule>
  </conditionalFormatting>
  <conditionalFormatting sqref="B127:E127 B125:I126 B128:I128 H127:I127 D130:I130 B129:E129 H129:I129 J124:K126 H131:I131 B133:I138 D132:I132 D131:E131 B130:C131 J129:K137">
    <cfRule type="cellIs" dxfId="341" priority="16" operator="notEqual">
      <formula>$B$125=""</formula>
    </cfRule>
  </conditionalFormatting>
  <conditionalFormatting sqref="E127:G134 B127:B131">
    <cfRule type="notContainsBlanks" dxfId="340" priority="11">
      <formula>LEN(TRIM(B127))&gt;0</formula>
    </cfRule>
  </conditionalFormatting>
  <conditionalFormatting sqref="C127:C131">
    <cfRule type="notContainsBlanks" dxfId="339" priority="10">
      <formula>LEN(TRIM(C127))&gt;0</formula>
    </cfRule>
  </conditionalFormatting>
  <conditionalFormatting sqref="B125:C125">
    <cfRule type="notContainsBlanks" dxfId="338" priority="9">
      <formula>LEN(TRIM(B125))&gt;0</formula>
    </cfRule>
  </conditionalFormatting>
  <conditionalFormatting sqref="B142:E142 B140:I141 B143:I143 H142:I142 D145:I145 B144:E144 H144:I144 J139:K141 H146:I146 B148:I153 D147:I147 D146:E146 B145:C146 J144:K152">
    <cfRule type="cellIs" dxfId="337" priority="12" operator="notEqual">
      <formula>$B$140=""</formula>
    </cfRule>
  </conditionalFormatting>
  <conditionalFormatting sqref="E142:G149 B142:B146">
    <cfRule type="notContainsBlanks" dxfId="336" priority="7">
      <formula>LEN(TRIM(B142))&gt;0</formula>
    </cfRule>
  </conditionalFormatting>
  <conditionalFormatting sqref="C142:C146">
    <cfRule type="notContainsBlanks" dxfId="335" priority="6">
      <formula>LEN(TRIM(C142))&gt;0</formula>
    </cfRule>
  </conditionalFormatting>
  <conditionalFormatting sqref="B140:C140">
    <cfRule type="notContainsBlanks" dxfId="334" priority="5">
      <formula>LEN(TRIM(B140))&gt;0</formula>
    </cfRule>
  </conditionalFormatting>
  <conditionalFormatting sqref="B157:E157 B155:I156 B158:I158 H157:I157 D160:I160 B159:E159 H159:I159 J154:K156 H161:I161 B163:I168 D162:I162 D161:E161 B160:C161 J159:K167">
    <cfRule type="cellIs" dxfId="333" priority="8" operator="notEqual">
      <formula>$B$155=""</formula>
    </cfRule>
  </conditionalFormatting>
  <conditionalFormatting sqref="E157:G164 B157:B161">
    <cfRule type="notContainsBlanks" dxfId="332" priority="3">
      <formula>LEN(TRIM(B157))&gt;0</formula>
    </cfRule>
  </conditionalFormatting>
  <conditionalFormatting sqref="C157:C161">
    <cfRule type="notContainsBlanks" dxfId="331" priority="2">
      <formula>LEN(TRIM(C157))&gt;0</formula>
    </cfRule>
  </conditionalFormatting>
  <conditionalFormatting sqref="B155:C155">
    <cfRule type="notContainsBlanks" dxfId="330" priority="1">
      <formula>LEN(TRIM(B155))&gt;0</formula>
    </cfRule>
  </conditionalFormatting>
  <dataValidations count="4">
    <dataValidation type="list" allowBlank="1" showInputMessage="1" showErrorMessage="1" sqref="C26 C40 C55 C70 C85 C101 C116 C131 C146 C161" xr:uid="{00000000-0002-0000-0400-000000000000}">
      <formula1>CHECK</formula1>
    </dataValidation>
    <dataValidation type="list" allowBlank="1" showInputMessage="1" showErrorMessage="1" sqref="C25 A13 A15 C39 C54 C69 C84 C100 C115 C130 C145 C160" xr:uid="{00000000-0002-0000-0400-000001000000}">
      <formula1>Fuel</formula1>
    </dataValidation>
    <dataValidation type="list" allowBlank="1" showInputMessage="1" showErrorMessage="1" sqref="C5" xr:uid="{00000000-0002-0000-0400-000002000000}">
      <formula1>PlantType</formula1>
    </dataValidation>
    <dataValidation type="whole" allowBlank="1" showInputMessage="1" showErrorMessage="1" sqref="C19 C4 D6" xr:uid="{00000000-0002-0000-04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278</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7"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8"/>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9"/>
      <c r="D14" s="36"/>
      <c r="E14" s="69" t="s">
        <v>26</v>
      </c>
      <c r="F14" s="148"/>
      <c r="G14" s="148"/>
      <c r="M14" s="78"/>
      <c r="N14" s="214" t="s">
        <v>273</v>
      </c>
      <c r="O14" s="251" t="s">
        <v>152</v>
      </c>
      <c r="P14" s="251"/>
    </row>
    <row r="15" spans="1:20" ht="14.25" customHeight="1" x14ac:dyDescent="0.25">
      <c r="A15" s="78" t="s">
        <v>201</v>
      </c>
      <c r="B15" s="319" t="s">
        <v>318</v>
      </c>
      <c r="C15" s="319"/>
      <c r="D15" s="36"/>
      <c r="E15" s="69" t="s">
        <v>5</v>
      </c>
      <c r="F15" s="148"/>
      <c r="G15" s="148"/>
      <c r="M15" s="95" t="s">
        <v>39</v>
      </c>
      <c r="N15" s="212">
        <f>SUM(G33,G47,G62,G77,G92,G108,G123,G138,G153,G168,)</f>
        <v>0</v>
      </c>
      <c r="O15" s="258">
        <f>SUM(H33*I33,H47*I47,H62*I62,H77*I77,H92*I92,H108*I108,H123*I123,H138*I138,H153*I153,H168*I168)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8.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IF($C$4&gt;0,"AP-5 EP-1","")</f>
        <v/>
      </c>
      <c r="F23" s="124" t="str">
        <f>IF($C$4&gt;0,"AP-5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IF($C$4&gt;0,"AP-5 EP-2","")</f>
        <v/>
      </c>
      <c r="F25" s="124" t="str">
        <f>IF($C$4&gt;0,"AP-5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IF($C$4&gt;0,"AP-5 EP-3","")</f>
        <v/>
      </c>
      <c r="F27" s="124" t="str">
        <f>IF($C$4&gt;0,"AP-5 EU-3","")</f>
        <v/>
      </c>
      <c r="G27" s="222" t="str">
        <f>IF(C5="","","Silo Filling")</f>
        <v/>
      </c>
      <c r="H27" s="72"/>
      <c r="I27" s="144"/>
      <c r="J27" s="226"/>
      <c r="K27" s="226"/>
      <c r="M27" s="94" t="s">
        <v>16</v>
      </c>
      <c r="Q27" s="172"/>
    </row>
    <row r="28" spans="1:20" ht="14.25" customHeight="1" x14ac:dyDescent="0.2">
      <c r="A28" s="155"/>
      <c r="B28" s="83"/>
      <c r="D28" s="56"/>
      <c r="E28" s="124" t="str">
        <f>IF($C$4&gt;0,"AP-5 EP-3","")</f>
        <v/>
      </c>
      <c r="F28" s="124" t="str">
        <f>IF($C$4&gt;0,"AP-5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IF($C$4&gt;0,"AP-5 EP-3","")</f>
        <v/>
      </c>
      <c r="F29" s="124" t="str">
        <f>IF($C$4&gt;0,"AP-5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7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IF(C39="","","AP-5 EP-1")</f>
        <v/>
      </c>
      <c r="F37" s="124" t="str">
        <f>IF(C39="","","AP-5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IF(C39="","","AP-5 EP-2")</f>
        <v/>
      </c>
      <c r="F39" s="124" t="str">
        <f>IF(C39="","","AP-5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IF($C$4&gt;1,"AP-5 EP-3","")</f>
        <v/>
      </c>
      <c r="F41" s="124" t="str">
        <f>IF($C$4&gt;1,"AP-5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IF($C$4&gt;1,"AP-5 EP-3","")</f>
        <v/>
      </c>
      <c r="F42" s="124" t="str">
        <f>IF($C$4&gt;1,"AP-5 EU-4","")</f>
        <v/>
      </c>
      <c r="G42" s="222" t="str">
        <f>IF($C$4&gt;1,"Truck Loadout","")</f>
        <v/>
      </c>
      <c r="H42" s="72"/>
      <c r="I42" s="144"/>
      <c r="J42" s="226"/>
      <c r="K42" s="226"/>
      <c r="M42" s="94" t="s">
        <v>26</v>
      </c>
      <c r="T42" s="171"/>
    </row>
    <row r="43" spans="1:20" ht="14.25" customHeight="1" x14ac:dyDescent="0.2">
      <c r="B43" s="83"/>
      <c r="D43" s="56"/>
      <c r="E43" s="124" t="str">
        <f>IF($C$4&gt;1,"AP-5 EP-3","")</f>
        <v/>
      </c>
      <c r="F43" s="124" t="str">
        <f>IF($C$4&gt;1,"AP-5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9.2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IF(C54="","","AP-5 EP-1")</f>
        <v/>
      </c>
      <c r="F52" s="124" t="str">
        <f>IF(C54="","","AP-5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IF(C54="","","AP-5 EP-2")</f>
        <v/>
      </c>
      <c r="F54" s="124" t="str">
        <f>IF(C54="","","AP-5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IF($C$4&gt;2,"AP-5 EP-3","")</f>
        <v/>
      </c>
      <c r="F56" s="124" t="str">
        <f>IF($C$4&gt;2,"AP-5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IF($C$4&gt;2,"AP-5 EP-3","")</f>
        <v/>
      </c>
      <c r="F57" s="124" t="str">
        <f>IF($C$4&gt;2,"AP-5 EU-4","")</f>
        <v/>
      </c>
      <c r="G57" s="222" t="str">
        <f>IF($C$4&gt;2,"Truck Loadout","")</f>
        <v/>
      </c>
      <c r="H57" s="72"/>
      <c r="I57" s="144"/>
      <c r="J57" s="226"/>
      <c r="K57" s="226"/>
      <c r="M57" s="94" t="s">
        <v>212</v>
      </c>
      <c r="T57" s="171"/>
    </row>
    <row r="58" spans="2:20" ht="14.25" customHeight="1" x14ac:dyDescent="0.2">
      <c r="B58" s="83"/>
      <c r="D58" s="56"/>
      <c r="E58" s="124" t="str">
        <f>IF($C$4&gt;2,"AP-5 EP-3","")</f>
        <v/>
      </c>
      <c r="F58" s="124" t="str">
        <f>IF($C$4&gt;2,"AP-5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22.5" customHeight="1" x14ac:dyDescent="0.2">
      <c r="J63" s="161"/>
      <c r="K63" s="161"/>
      <c r="M63" s="94" t="s">
        <v>7</v>
      </c>
      <c r="T63" s="171"/>
    </row>
    <row r="64" spans="2:20" ht="27.7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IF(C69="","","AP-5 EP-1")</f>
        <v/>
      </c>
      <c r="F67" s="124" t="str">
        <f>IF(C69="","","AP-5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IF(C69="","","AP-5 EP-2")</f>
        <v/>
      </c>
      <c r="F69" s="124" t="str">
        <f>IF(C69="","","AP-5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IF($C$4&gt;3,"AP-5 EP-3","")</f>
        <v/>
      </c>
      <c r="F71" s="124" t="str">
        <f>IF($C$4&gt;3,"AP-5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IF($C$4&gt;3,"AP-5 EP-3","")</f>
        <v/>
      </c>
      <c r="F72" s="124" t="str">
        <f>IF($C$4&gt;3,"AP-5 EU-4","")</f>
        <v/>
      </c>
      <c r="G72" s="222" t="str">
        <f>IF($C$4&gt;3,"Truck Loadout","")</f>
        <v/>
      </c>
      <c r="H72" s="72"/>
      <c r="I72" s="144"/>
      <c r="J72" s="226"/>
      <c r="K72" s="226"/>
      <c r="M72" s="94" t="s">
        <v>217</v>
      </c>
      <c r="T72" s="171"/>
    </row>
    <row r="73" spans="2:20" ht="14.25" customHeight="1" x14ac:dyDescent="0.2">
      <c r="B73" s="83"/>
      <c r="D73" s="56"/>
      <c r="E73" s="124" t="str">
        <f>IF($C$4&gt;3,"AP-5 EP-3","")</f>
        <v/>
      </c>
      <c r="F73" s="124" t="str">
        <f>IF($C$4&gt;3,"AP-5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27"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7.7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IF(C84="","","AP-5 EP-1")</f>
        <v/>
      </c>
      <c r="F82" s="124" t="str">
        <f>IF(C84="","","AP-5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IF(C84="","","AP-5 EP-2")</f>
        <v/>
      </c>
      <c r="F84" s="124" t="str">
        <f>IF(C84="","","AP-5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IF($C$4&gt;4,"AP-5 EP-3","")</f>
        <v/>
      </c>
      <c r="F86" s="124" t="str">
        <f>IF($C$4&gt;4,"AP-5 EU-3","")</f>
        <v/>
      </c>
      <c r="G86" s="222" t="str">
        <f>IF($C$4&gt;4,"Silo Filling","")</f>
        <v/>
      </c>
      <c r="H86" s="72"/>
      <c r="I86" s="144"/>
      <c r="J86" s="226"/>
      <c r="K86" s="226"/>
      <c r="M86" s="94" t="s">
        <v>224</v>
      </c>
      <c r="T86" s="171"/>
    </row>
    <row r="87" spans="2:20" ht="14.25" customHeight="1" x14ac:dyDescent="0.2">
      <c r="B87" s="83"/>
      <c r="D87" s="56"/>
      <c r="E87" s="124" t="str">
        <f>IF($C$4&gt;4,"AP-5 EP-3","")</f>
        <v/>
      </c>
      <c r="F87" s="124" t="str">
        <f>IF($C$4&gt;4,"AP-5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IF($C$4&gt;4,"AP-5 EP-3","")</f>
        <v/>
      </c>
      <c r="F88" s="124" t="str">
        <f>IF($C$4&gt;4,"AP-5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4" customHeight="1" x14ac:dyDescent="0.2">
      <c r="J94" s="161"/>
      <c r="K94" s="161"/>
      <c r="M94" s="322"/>
      <c r="N94" s="323"/>
      <c r="O94" s="324"/>
      <c r="P94" s="125"/>
      <c r="Q94" s="210"/>
      <c r="R94" s="210"/>
      <c r="S94" s="210"/>
      <c r="T94" s="210"/>
    </row>
    <row r="95" spans="2:20" ht="27.7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IF(C100="","","AP-5 EP-1")</f>
        <v/>
      </c>
      <c r="F98" s="124" t="str">
        <f>IF(C100="","","AP-5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IF(C100="","","AP-5 EP-2")</f>
        <v/>
      </c>
      <c r="F100" s="124" t="str">
        <f>IF(C100="","","AP-5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IF($C$4&gt;5,"AP-5 EP-3","")</f>
        <v/>
      </c>
      <c r="F102" s="124" t="str">
        <f>IF($C$4&gt;5,"AP-5 EU-3","")</f>
        <v/>
      </c>
      <c r="G102" s="222" t="str">
        <f>IF($C$4&gt;5,"Silo Filling","")</f>
        <v/>
      </c>
      <c r="H102" s="72"/>
      <c r="I102" s="144"/>
      <c r="J102" s="226"/>
      <c r="K102" s="226"/>
    </row>
    <row r="103" spans="2:11" ht="14.25" customHeight="1" x14ac:dyDescent="0.2">
      <c r="B103" s="83"/>
      <c r="D103" s="56"/>
      <c r="E103" s="124" t="str">
        <f>IF($C$4&gt;5,"AP-5 EP-3","")</f>
        <v/>
      </c>
      <c r="F103" s="124" t="str">
        <f>IF($C$4&gt;5,"AP-5 EU-4","")</f>
        <v/>
      </c>
      <c r="G103" s="222" t="str">
        <f>IF($C$4&gt;5,"Truck Loadout","")</f>
        <v/>
      </c>
      <c r="H103" s="72"/>
      <c r="I103" s="144"/>
      <c r="J103" s="226"/>
      <c r="K103" s="226"/>
    </row>
    <row r="104" spans="2:11" ht="14.25" customHeight="1" x14ac:dyDescent="0.2">
      <c r="B104" s="83"/>
      <c r="D104" s="56"/>
      <c r="E104" s="124" t="str">
        <f>IF($C$4&gt;5,"AP-5 EP-3","")</f>
        <v/>
      </c>
      <c r="F104" s="124" t="str">
        <f>IF($C$4&gt;5,"AP-5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7" customHeight="1" x14ac:dyDescent="0.2">
      <c r="J109" s="161"/>
      <c r="K109" s="161"/>
    </row>
    <row r="110" spans="2:11" ht="28.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IF(C115="","","AP-5 EP-1")</f>
        <v/>
      </c>
      <c r="F113" s="124" t="str">
        <f>IF(C115="","","AP-5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IF(C115="","","AP-5 EP-2")</f>
        <v/>
      </c>
      <c r="F115" s="124" t="str">
        <f>IF(C115="","","AP-5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IF($C$4&gt;6,"AP-5 EP-3","")</f>
        <v/>
      </c>
      <c r="F117" s="124" t="str">
        <f>IF($C$4&gt;6,"AP-5 EU-3","")</f>
        <v/>
      </c>
      <c r="G117" s="222" t="str">
        <f>IF($C$4&gt;6,"Silo Filling","")</f>
        <v/>
      </c>
      <c r="H117" s="72"/>
      <c r="I117" s="144"/>
      <c r="J117" s="226"/>
      <c r="K117" s="226"/>
    </row>
    <row r="118" spans="2:11" ht="14.25" customHeight="1" x14ac:dyDescent="0.2">
      <c r="B118" s="83"/>
      <c r="D118" s="56"/>
      <c r="E118" s="124" t="str">
        <f>IF($C$4&gt;6,"AP-5 EP-3","")</f>
        <v/>
      </c>
      <c r="F118" s="124" t="str">
        <f>IF($C$4&gt;6,"AP-5 EU-4","")</f>
        <v/>
      </c>
      <c r="G118" s="222" t="str">
        <f>IF($C$4&gt;6,"Truck Loadout","")</f>
        <v/>
      </c>
      <c r="H118" s="72"/>
      <c r="I118" s="144"/>
      <c r="J118" s="226"/>
      <c r="K118" s="226"/>
    </row>
    <row r="119" spans="2:11" ht="14.25" customHeight="1" x14ac:dyDescent="0.2">
      <c r="B119" s="83"/>
      <c r="D119" s="56"/>
      <c r="E119" s="124" t="str">
        <f>IF($C$4&gt;6,"AP-5 EP-3","")</f>
        <v/>
      </c>
      <c r="F119" s="124" t="str">
        <f>IF($C$4&gt;6,"AP-5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30" customHeight="1" x14ac:dyDescent="0.2">
      <c r="J124" s="161"/>
      <c r="K124" s="161"/>
    </row>
    <row r="125" spans="2:11" ht="28.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IF(C130="","","AP-5 EP-1")</f>
        <v/>
      </c>
      <c r="F128" s="124" t="str">
        <f>IF(C130="","","AP-5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IF(C130="","","AP-5 EP-2")</f>
        <v/>
      </c>
      <c r="F130" s="124" t="str">
        <f>IF(C130="","","AP-5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IF($C$4&gt;7,"AP-5 EP-3","")</f>
        <v/>
      </c>
      <c r="F132" s="124" t="str">
        <f>IF($C$4&gt;7,"AP-5 EU-3","")</f>
        <v/>
      </c>
      <c r="G132" s="222" t="str">
        <f>IF($C$4&gt;7,"Silo Filling","")</f>
        <v/>
      </c>
      <c r="H132" s="72"/>
      <c r="I132" s="144"/>
      <c r="J132" s="226"/>
      <c r="K132" s="226"/>
    </row>
    <row r="133" spans="2:11" ht="14.25" customHeight="1" x14ac:dyDescent="0.2">
      <c r="B133" s="83"/>
      <c r="D133" s="56"/>
      <c r="E133" s="124" t="str">
        <f>IF($C$4&gt;7,"AP-5 EP-3","")</f>
        <v/>
      </c>
      <c r="F133" s="124" t="str">
        <f>IF($C$4&gt;7,"AP-5 EU-4","")</f>
        <v/>
      </c>
      <c r="G133" s="222" t="str">
        <f>IF($C$4&gt;7,"Truck Loadout","")</f>
        <v/>
      </c>
      <c r="H133" s="72"/>
      <c r="I133" s="144"/>
      <c r="J133" s="226"/>
      <c r="K133" s="226"/>
    </row>
    <row r="134" spans="2:11" ht="14.25" customHeight="1" x14ac:dyDescent="0.2">
      <c r="B134" s="83"/>
      <c r="D134" s="56"/>
      <c r="E134" s="124" t="str">
        <f>IF($C$4&gt;7,"AP-5 EP-3","")</f>
        <v/>
      </c>
      <c r="F134" s="124" t="str">
        <f>IF($C$4&gt;7,"AP-5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9.25" customHeight="1" x14ac:dyDescent="0.2">
      <c r="J139" s="161"/>
      <c r="K139" s="161"/>
    </row>
    <row r="140" spans="2:11" ht="31.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IF(C145="","","AP-5 EP-1")</f>
        <v/>
      </c>
      <c r="F143" s="124" t="str">
        <f>IF(C145="","","AP-5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IF(C145="","","AP-5 EP-2")</f>
        <v/>
      </c>
      <c r="F145" s="124" t="str">
        <f>IF(C145="","","AP-5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IF($C$4&gt;8,"AP-5 EP-3","")</f>
        <v/>
      </c>
      <c r="F147" s="124" t="str">
        <f>IF($C$4&gt;8,"AP-5 EU-3","")</f>
        <v/>
      </c>
      <c r="G147" s="222" t="str">
        <f>IF($C$4&gt;8,"Silo Filling","")</f>
        <v/>
      </c>
      <c r="H147" s="72"/>
      <c r="I147" s="144"/>
      <c r="J147" s="226"/>
      <c r="K147" s="226"/>
    </row>
    <row r="148" spans="2:11" ht="14.25" customHeight="1" x14ac:dyDescent="0.2">
      <c r="B148" s="83"/>
      <c r="D148" s="56"/>
      <c r="E148" s="124" t="str">
        <f>IF($C$4&gt;8,"AP-5 EP-3","")</f>
        <v/>
      </c>
      <c r="F148" s="124" t="str">
        <f>IF($C$4&gt;8,"AP-5 EU-4","")</f>
        <v/>
      </c>
      <c r="G148" s="222" t="str">
        <f>IF($C$4&gt;8,"Truck Loadout","")</f>
        <v/>
      </c>
      <c r="H148" s="72"/>
      <c r="I148" s="144"/>
      <c r="J148" s="226"/>
      <c r="K148" s="226"/>
    </row>
    <row r="149" spans="2:11" ht="14.25" customHeight="1" x14ac:dyDescent="0.2">
      <c r="B149" s="83"/>
      <c r="D149" s="56"/>
      <c r="E149" s="124" t="str">
        <f>IF($C$4&gt;8,"AP-5 EP-3","")</f>
        <v/>
      </c>
      <c r="F149" s="124" t="str">
        <f>IF($C$4&gt;8,"AP-5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7.7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IF(C160="","","AP-5 EP-1")</f>
        <v/>
      </c>
      <c r="F158" s="124" t="str">
        <f>IF(C160="","","AP-5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IF(C160="","","AP-5 EP-2")</f>
        <v/>
      </c>
      <c r="F160" s="124" t="str">
        <f>IF(C160="","","AP-5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IF($C$4&gt;9,"AP-5 EP-3","")</f>
        <v/>
      </c>
      <c r="F162" s="124" t="str">
        <f>IF($C$4&gt;9,"AP-5 EU-3","")</f>
        <v/>
      </c>
      <c r="G162" s="222" t="str">
        <f>IF($C$4&gt;9,"Silo Filling","")</f>
        <v/>
      </c>
      <c r="H162" s="72"/>
      <c r="I162" s="144"/>
      <c r="J162" s="226"/>
      <c r="K162" s="226"/>
    </row>
    <row r="163" spans="2:11" ht="14.25" customHeight="1" x14ac:dyDescent="0.2">
      <c r="B163" s="83"/>
      <c r="D163" s="56"/>
      <c r="E163" s="124" t="str">
        <f>IF($C$4&gt;9,"AP-5 EP-3","")</f>
        <v/>
      </c>
      <c r="F163" s="124" t="str">
        <f>IF($C$4&gt;9,"AP-5 EU-4","")</f>
        <v/>
      </c>
      <c r="G163" s="222" t="str">
        <f>IF($C$4&gt;9,"Truck Loadout","")</f>
        <v/>
      </c>
      <c r="H163" s="72"/>
      <c r="I163" s="144"/>
      <c r="J163" s="226"/>
      <c r="K163" s="226"/>
    </row>
    <row r="164" spans="2:11" ht="14.25" customHeight="1" x14ac:dyDescent="0.2">
      <c r="B164" s="83"/>
      <c r="D164" s="56"/>
      <c r="E164" s="124" t="str">
        <f>IF($C$4&gt;9,"AP-5 EP-3","")</f>
        <v/>
      </c>
      <c r="F164" s="124" t="str">
        <f>IF($C$4&gt;9,"AP-5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wViWZSZgsioxzkWDrwBXHwkFVNh4yW0Dw22yNODZeu/xrNM4oIAjuqIxw2K8vg4ct0Q9HCicqTfomizrauVQPw==" saltValue="iDWa9uupTUAhgqjJ9tQipA==" spinCount="100000" sheet="1" objects="1" scenarios="1"/>
  <conditionalFormatting sqref="E23:F23 E25:F25 E27:F30">
    <cfRule type="notContainsBlanks" dxfId="32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328" priority="4">
      <formula>LEN(TRIM(B26))&gt;0</formula>
    </cfRule>
  </conditionalFormatting>
  <conditionalFormatting sqref="E33">
    <cfRule type="notContainsBlanks" dxfId="327" priority="37">
      <formula>LEN(TRIM(E33))&gt;0</formula>
    </cfRule>
  </conditionalFormatting>
  <conditionalFormatting sqref="B33">
    <cfRule type="notContainsBlanks" dxfId="326" priority="36">
      <formula>LEN(TRIM(B33))&gt;0</formula>
    </cfRule>
  </conditionalFormatting>
  <conditionalFormatting sqref="B36:E36 B35:I35 B37:I37 H36:I36 D39:I39 B38:E38 H38:I38 J34:K35 H40:I40 B42:I47 D41:I41 D40:E40 B39:C40 J38:K46">
    <cfRule type="cellIs" dxfId="325" priority="40" operator="notEqual">
      <formula>$B$35=""</formula>
    </cfRule>
  </conditionalFormatting>
  <conditionalFormatting sqref="E36:G43 B36:B40">
    <cfRule type="notContainsBlanks" dxfId="32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323" priority="28">
      <formula>LEN(TRIM(C36))&gt;0</formula>
    </cfRule>
  </conditionalFormatting>
  <conditionalFormatting sqref="B51:E51 B49:I50 B52:I52 H51:I51 D54:I54 B53:E53 H53:I53 J48:K50 H55:I55 B57:I62 D56:I56 D55:E55 B54:C55 J53:K61">
    <cfRule type="cellIs" dxfId="322" priority="38" operator="notEqual">
      <formula>$B$49=""</formula>
    </cfRule>
  </conditionalFormatting>
  <conditionalFormatting sqref="E51:G58 B51:B55">
    <cfRule type="notContainsBlanks" dxfId="321" priority="32">
      <formula>LEN(TRIM(B51))&gt;0</formula>
    </cfRule>
  </conditionalFormatting>
  <conditionalFormatting sqref="C51:C55">
    <cfRule type="notContainsBlanks" dxfId="320" priority="31">
      <formula>LEN(TRIM(C51))&gt;0</formula>
    </cfRule>
  </conditionalFormatting>
  <conditionalFormatting sqref="B35:C35">
    <cfRule type="notContainsBlanks" dxfId="319" priority="30">
      <formula>LEN(TRIM(B35))&gt;0</formula>
    </cfRule>
  </conditionalFormatting>
  <conditionalFormatting sqref="B49:C49">
    <cfRule type="notContainsBlanks" dxfId="318" priority="29">
      <formula>LEN(TRIM(B49))&gt;0</formula>
    </cfRule>
  </conditionalFormatting>
  <conditionalFormatting sqref="B66:E66 B64:I65 B67:I67 H66:I66 D69:I69 B68:E68 H68:I68 J63:K65 H70:I70 B72:I77 D71:I71 D70:E70 B69:C70 J68:K76">
    <cfRule type="cellIs" dxfId="317" priority="35" operator="notEqual">
      <formula>$B$64=""</formula>
    </cfRule>
  </conditionalFormatting>
  <conditionalFormatting sqref="E66:G73 B66:B70">
    <cfRule type="notContainsBlanks" dxfId="316" priority="27">
      <formula>LEN(TRIM(B66))&gt;0</formula>
    </cfRule>
  </conditionalFormatting>
  <conditionalFormatting sqref="C66:C70">
    <cfRule type="notContainsBlanks" dxfId="315" priority="26">
      <formula>LEN(TRIM(C66))&gt;0</formula>
    </cfRule>
  </conditionalFormatting>
  <conditionalFormatting sqref="B64:C64">
    <cfRule type="notContainsBlanks" dxfId="314" priority="25">
      <formula>LEN(TRIM(B64))&gt;0</formula>
    </cfRule>
  </conditionalFormatting>
  <conditionalFormatting sqref="B81:E81 B79:I80 B82:I82 H81:I81 B83:E83 J78:K80 B87:I92 D86:I86 D85:E85 B84:C85 H83:K83 J86:K91 H85:J85 D84:J84">
    <cfRule type="cellIs" dxfId="313" priority="33" operator="notEqual">
      <formula>$B$79=""</formula>
    </cfRule>
  </conditionalFormatting>
  <conditionalFormatting sqref="E81:G88 B81:B85">
    <cfRule type="notContainsBlanks" dxfId="312" priority="23">
      <formula>LEN(TRIM(B81))&gt;0</formula>
    </cfRule>
  </conditionalFormatting>
  <conditionalFormatting sqref="C81:C85">
    <cfRule type="notContainsBlanks" dxfId="311" priority="22">
      <formula>LEN(TRIM(C81))&gt;0</formula>
    </cfRule>
  </conditionalFormatting>
  <conditionalFormatting sqref="B79:C79">
    <cfRule type="notContainsBlanks" dxfId="310" priority="21">
      <formula>LEN(TRIM(B79))&gt;0</formula>
    </cfRule>
  </conditionalFormatting>
  <conditionalFormatting sqref="B97:E97 B95:I96 B98:I98 H97:I97 D100:I100 B99:E99 H99:I99 J93:K96 H101:I101 B103:I108 D102:I102 D101:E101 B100:C101 J99:K107">
    <cfRule type="cellIs" dxfId="309" priority="24" operator="notEqual">
      <formula>$B$95=""</formula>
    </cfRule>
  </conditionalFormatting>
  <conditionalFormatting sqref="E97:G104 B97:B101">
    <cfRule type="notContainsBlanks" dxfId="308" priority="19">
      <formula>LEN(TRIM(B97))&gt;0</formula>
    </cfRule>
  </conditionalFormatting>
  <conditionalFormatting sqref="C97:C101">
    <cfRule type="notContainsBlanks" dxfId="307" priority="18">
      <formula>LEN(TRIM(C97))&gt;0</formula>
    </cfRule>
  </conditionalFormatting>
  <conditionalFormatting sqref="B95:C95">
    <cfRule type="notContainsBlanks" dxfId="306" priority="17">
      <formula>LEN(TRIM(B95))&gt;0</formula>
    </cfRule>
  </conditionalFormatting>
  <conditionalFormatting sqref="B112:E112 B110:I111 B113:I113 H112:I112 D115:I115 B114:E114 H114:I114 J109:K111 H116:I116 B118:I123 D117:I117 D116:E116 B115:C116 J114:K122">
    <cfRule type="cellIs" dxfId="305" priority="20" operator="notEqual">
      <formula>$B$110=""</formula>
    </cfRule>
  </conditionalFormatting>
  <conditionalFormatting sqref="E112:G119 B112:B116">
    <cfRule type="notContainsBlanks" dxfId="304" priority="15">
      <formula>LEN(TRIM(B112))&gt;0</formula>
    </cfRule>
  </conditionalFormatting>
  <conditionalFormatting sqref="C112:C116">
    <cfRule type="notContainsBlanks" dxfId="303" priority="14">
      <formula>LEN(TRIM(C112))&gt;0</formula>
    </cfRule>
  </conditionalFormatting>
  <conditionalFormatting sqref="B110:C110">
    <cfRule type="notContainsBlanks" dxfId="302" priority="13">
      <formula>LEN(TRIM(B110))&gt;0</formula>
    </cfRule>
  </conditionalFormatting>
  <conditionalFormatting sqref="B127:E127 B125:I126 B128:I128 H127:I127 D130:I130 B129:E129 H129:I129 J124:K126 H131:I131 B133:I138 D132:I132 D131:E131 B130:C131 J129:K137">
    <cfRule type="cellIs" dxfId="301" priority="16" operator="notEqual">
      <formula>$B$125=""</formula>
    </cfRule>
  </conditionalFormatting>
  <conditionalFormatting sqref="E127:G134 B127:B131">
    <cfRule type="notContainsBlanks" dxfId="300" priority="11">
      <formula>LEN(TRIM(B127))&gt;0</formula>
    </cfRule>
  </conditionalFormatting>
  <conditionalFormatting sqref="C127:C131">
    <cfRule type="notContainsBlanks" dxfId="299" priority="10">
      <formula>LEN(TRIM(C127))&gt;0</formula>
    </cfRule>
  </conditionalFormatting>
  <conditionalFormatting sqref="B125:C125">
    <cfRule type="notContainsBlanks" dxfId="298" priority="9">
      <formula>LEN(TRIM(B125))&gt;0</formula>
    </cfRule>
  </conditionalFormatting>
  <conditionalFormatting sqref="B142:E142 B140:I141 B143:I143 H142:I142 D145:I145 B144:E144 H144:I144 J139:K141 H146:I146 B148:I153 D147:I147 D146:E146 B145:C146 J144:K152">
    <cfRule type="cellIs" dxfId="297" priority="12" operator="notEqual">
      <formula>$B$140=""</formula>
    </cfRule>
  </conditionalFormatting>
  <conditionalFormatting sqref="E142:G149 B142:B146">
    <cfRule type="notContainsBlanks" dxfId="296" priority="7">
      <formula>LEN(TRIM(B142))&gt;0</formula>
    </cfRule>
  </conditionalFormatting>
  <conditionalFormatting sqref="C142:C146">
    <cfRule type="notContainsBlanks" dxfId="295" priority="6">
      <formula>LEN(TRIM(C142))&gt;0</formula>
    </cfRule>
  </conditionalFormatting>
  <conditionalFormatting sqref="B140:C140">
    <cfRule type="notContainsBlanks" dxfId="294" priority="5">
      <formula>LEN(TRIM(B140))&gt;0</formula>
    </cfRule>
  </conditionalFormatting>
  <conditionalFormatting sqref="B157:E157 B155:I156 B158:I158 H157:I157 D160:I160 B159:E159 H159:I159 J154:K156 H161:I161 B163:I168 D162:I162 D161:E161 B160:C161 J159:K167">
    <cfRule type="cellIs" dxfId="293" priority="8" operator="notEqual">
      <formula>$B$155=""</formula>
    </cfRule>
  </conditionalFormatting>
  <conditionalFormatting sqref="E157:G164 B157:B161">
    <cfRule type="notContainsBlanks" dxfId="292" priority="3">
      <formula>LEN(TRIM(B157))&gt;0</formula>
    </cfRule>
  </conditionalFormatting>
  <conditionalFormatting sqref="C157:C161">
    <cfRule type="notContainsBlanks" dxfId="291" priority="2">
      <formula>LEN(TRIM(C157))&gt;0</formula>
    </cfRule>
  </conditionalFormatting>
  <conditionalFormatting sqref="B155:C155">
    <cfRule type="notContainsBlanks" dxfId="290" priority="1">
      <formula>LEN(TRIM(B155))&gt;0</formula>
    </cfRule>
  </conditionalFormatting>
  <dataValidations count="4">
    <dataValidation type="list" allowBlank="1" showInputMessage="1" showErrorMessage="1" sqref="C26 C40 C55 C70 C85 C101 C116 C131 C146 C161" xr:uid="{00000000-0002-0000-0500-000000000000}">
      <formula1>CHECK</formula1>
    </dataValidation>
    <dataValidation type="list" allowBlank="1" showInputMessage="1" showErrorMessage="1" sqref="C25 A13 A15 C39 C54 C69 C84 C100 C115 C130 C145 C160" xr:uid="{00000000-0002-0000-0500-000001000000}">
      <formula1>Fuel</formula1>
    </dataValidation>
    <dataValidation type="list" allowBlank="1" showInputMessage="1" showErrorMessage="1" sqref="C5" xr:uid="{00000000-0002-0000-0500-000002000000}">
      <formula1>PlantType</formula1>
    </dataValidation>
    <dataValidation type="whole" allowBlank="1" showInputMessage="1" showErrorMessage="1" sqref="C19 C4 D6" xr:uid="{00000000-0002-0000-0500-000003000000}">
      <formula1>0</formula1>
      <formula2>100</formula2>
    </dataValidation>
  </dataValidations>
  <pageMargins left="0.7" right="0.7" top="0.75" bottom="0.6" header="0.3" footer="0.3"/>
  <pageSetup scale="70" fitToHeight="0" orientation="landscape"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62" t="s">
        <v>279</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9.2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8"/>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9"/>
      <c r="D14" s="36"/>
      <c r="E14" s="69" t="s">
        <v>26</v>
      </c>
      <c r="F14" s="148"/>
      <c r="G14" s="148"/>
      <c r="M14" s="78"/>
      <c r="N14" s="214" t="s">
        <v>273</v>
      </c>
      <c r="O14" s="251" t="s">
        <v>152</v>
      </c>
      <c r="P14" s="251"/>
    </row>
    <row r="15" spans="1:20" ht="14.25" customHeight="1" x14ac:dyDescent="0.25">
      <c r="A15" s="78" t="s">
        <v>201</v>
      </c>
      <c r="B15" s="319" t="s">
        <v>318</v>
      </c>
      <c r="C15" s="319"/>
      <c r="D15" s="36"/>
      <c r="E15" s="69" t="s">
        <v>5</v>
      </c>
      <c r="F15" s="148"/>
      <c r="G15" s="148"/>
      <c r="M15" s="95" t="s">
        <v>39</v>
      </c>
      <c r="N15" s="212">
        <f>SUM(G33,G47,G62,G77,G92,G108,G123,G138,G153,G168,)</f>
        <v>0</v>
      </c>
      <c r="O15" s="124">
        <f>SUM(H33*I33,H47*I47,H62*I62,H77*I77,H92*I92,H108*I108,H123*I123,H138*I138,H153*I153,H168*I168)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9.2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IF($C$4&gt;0,"AP-6 EP-1","")</f>
        <v/>
      </c>
      <c r="F23" s="124" t="str">
        <f>IF($C$4&gt;0,"AP-6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IF($C$4&gt;0,"AP-6 EP-2","")</f>
        <v/>
      </c>
      <c r="F25" s="124" t="str">
        <f>IF($C$4&gt;0,"AP-6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IF($C$4&gt;0,"AP-6 EP-3","")</f>
        <v/>
      </c>
      <c r="F27" s="124" t="str">
        <f>IF($C$4&gt;0,"AP-6 EU-3","")</f>
        <v/>
      </c>
      <c r="G27" s="222" t="str">
        <f>IF(C5="","","Silo Filling")</f>
        <v/>
      </c>
      <c r="H27" s="72"/>
      <c r="I27" s="144"/>
      <c r="J27" s="226"/>
      <c r="K27" s="226"/>
      <c r="M27" s="94" t="s">
        <v>16</v>
      </c>
      <c r="Q27" s="172"/>
    </row>
    <row r="28" spans="1:20" ht="14.25" customHeight="1" x14ac:dyDescent="0.2">
      <c r="A28" s="155"/>
      <c r="B28" s="83"/>
      <c r="D28" s="56"/>
      <c r="E28" s="124" t="str">
        <f>IF($C$4&gt;0,"AP-6 EP-3","")</f>
        <v/>
      </c>
      <c r="F28" s="124" t="str">
        <f>IF($C$4&gt;0,"AP-6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IF($C$4&gt;0,"AP-6 EP-3","")</f>
        <v/>
      </c>
      <c r="F29" s="124" t="str">
        <f>IF($C$4&gt;0,"AP-6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9.2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IF(C39="","","AP-6 EP-1")</f>
        <v/>
      </c>
      <c r="F37" s="124" t="str">
        <f>IF(C39="","","AP-6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IF(C39="","","AP-6 EP-2")</f>
        <v/>
      </c>
      <c r="F39" s="124" t="str">
        <f>IF(C39="","","AP-6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IF($C$4&gt;1,"AP-6 EP-3","")</f>
        <v/>
      </c>
      <c r="F41" s="124" t="str">
        <f>IF($C$4&gt;1,"AP-6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IF($C$4&gt;1,"AP-6 EP-3","")</f>
        <v/>
      </c>
      <c r="F42" s="124" t="str">
        <f>IF($C$4&gt;1,"AP-6 EU-4","")</f>
        <v/>
      </c>
      <c r="G42" s="222" t="str">
        <f>IF($C$4&gt;1,"Truck Loadout","")</f>
        <v/>
      </c>
      <c r="H42" s="72"/>
      <c r="I42" s="144"/>
      <c r="J42" s="226"/>
      <c r="K42" s="226"/>
      <c r="M42" s="94" t="s">
        <v>26</v>
      </c>
      <c r="T42" s="171"/>
    </row>
    <row r="43" spans="1:20" ht="14.25" customHeight="1" x14ac:dyDescent="0.2">
      <c r="B43" s="83"/>
      <c r="D43" s="56"/>
      <c r="E43" s="124" t="str">
        <f>IF($C$4&gt;1,"AP-6 EP-3","")</f>
        <v/>
      </c>
      <c r="F43" s="124" t="str">
        <f>IF($C$4&gt;1,"AP-6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9.2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IF(C54="","","AP-6 EP-1")</f>
        <v/>
      </c>
      <c r="F52" s="124" t="str">
        <f>IF(C54="","","AP-6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IF(C54="","","AP-6 EP-2")</f>
        <v/>
      </c>
      <c r="F54" s="124" t="str">
        <f>IF(C54="","","AP-6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IF($C$4&gt;2,"AP-6 EP-3","")</f>
        <v/>
      </c>
      <c r="F56" s="124" t="str">
        <f>IF($C$4&gt;2,"AP-6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IF($C$4&gt;2,"AP-6 EP-3","")</f>
        <v/>
      </c>
      <c r="F57" s="124" t="str">
        <f>IF($C$4&gt;2,"AP-6 EU-4","")</f>
        <v/>
      </c>
      <c r="G57" s="222" t="str">
        <f>IF($C$4&gt;2,"Truck Loadout","")</f>
        <v/>
      </c>
      <c r="H57" s="72"/>
      <c r="I57" s="144"/>
      <c r="J57" s="226"/>
      <c r="K57" s="226"/>
      <c r="M57" s="94" t="s">
        <v>212</v>
      </c>
      <c r="T57" s="171"/>
    </row>
    <row r="58" spans="2:20" ht="14.25" customHeight="1" x14ac:dyDescent="0.2">
      <c r="B58" s="83"/>
      <c r="D58" s="56"/>
      <c r="E58" s="124" t="str">
        <f>IF($C$4&gt;2,"AP-6 EP-3","")</f>
        <v/>
      </c>
      <c r="F58" s="124" t="str">
        <f>IF($C$4&gt;2,"AP-6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9.2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IF(C69="","","AP-6 EP-1")</f>
        <v/>
      </c>
      <c r="F67" s="124" t="str">
        <f>IF(C69="","","AP-6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IF(C69="","","AP-6 EP-2")</f>
        <v/>
      </c>
      <c r="F69" s="124" t="str">
        <f>IF(C69="","","AP-6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IF($C$4&gt;3,"AP-6 EP-3","")</f>
        <v/>
      </c>
      <c r="F71" s="124" t="str">
        <f>IF($C$4&gt;3,"AP-6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IF($C$4&gt;3,"AP-6 EP-3","")</f>
        <v/>
      </c>
      <c r="F72" s="124" t="str">
        <f>IF($C$4&gt;3,"AP-6 EU-4","")</f>
        <v/>
      </c>
      <c r="G72" s="222" t="str">
        <f>IF($C$4&gt;3,"Truck Loadout","")</f>
        <v/>
      </c>
      <c r="H72" s="72"/>
      <c r="I72" s="144"/>
      <c r="J72" s="226"/>
      <c r="K72" s="226"/>
      <c r="M72" s="94" t="s">
        <v>217</v>
      </c>
      <c r="T72" s="171"/>
    </row>
    <row r="73" spans="2:20" ht="14.25" customHeight="1" x14ac:dyDescent="0.2">
      <c r="B73" s="83"/>
      <c r="D73" s="56"/>
      <c r="E73" s="124" t="str">
        <f>IF($C$4&gt;3,"AP-6 EP-3","")</f>
        <v/>
      </c>
      <c r="F73" s="124" t="str">
        <f>IF($C$4&gt;3,"AP-6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8.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IF(C84="","","AP-6 EP-1")</f>
        <v/>
      </c>
      <c r="F82" s="124" t="str">
        <f>IF(C84="","","AP-6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IF(C84="","","AP-6 EP-2")</f>
        <v/>
      </c>
      <c r="F84" s="124" t="str">
        <f>IF(C84="","","AP-6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IF($C$4&gt;4,"AP-6 EP-3","")</f>
        <v/>
      </c>
      <c r="F86" s="124" t="str">
        <f>IF($C$4&gt;4,"AP-6 EU-3","")</f>
        <v/>
      </c>
      <c r="G86" s="222" t="str">
        <f>IF($C$4&gt;4,"Silo Filling","")</f>
        <v/>
      </c>
      <c r="H86" s="72"/>
      <c r="I86" s="144"/>
      <c r="J86" s="226"/>
      <c r="K86" s="226"/>
      <c r="M86" s="94" t="s">
        <v>224</v>
      </c>
      <c r="T86" s="171"/>
    </row>
    <row r="87" spans="2:20" ht="14.25" customHeight="1" x14ac:dyDescent="0.2">
      <c r="B87" s="83"/>
      <c r="D87" s="56"/>
      <c r="E87" s="124" t="str">
        <f>IF($C$4&gt;4,"AP-6 EP-3","")</f>
        <v/>
      </c>
      <c r="F87" s="124" t="str">
        <f>IF($C$4&gt;4,"AP-6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IF($C$4&gt;4,"AP-6 EP-3","")</f>
        <v/>
      </c>
      <c r="F88" s="124" t="str">
        <f>IF($C$4&gt;4,"AP-6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7" customHeight="1" x14ac:dyDescent="0.2">
      <c r="J94" s="161"/>
      <c r="K94" s="161"/>
      <c r="M94" s="322"/>
      <c r="N94" s="323"/>
      <c r="O94" s="324"/>
      <c r="P94" s="125"/>
      <c r="Q94" s="210"/>
      <c r="R94" s="210"/>
      <c r="S94" s="210"/>
      <c r="T94" s="210"/>
    </row>
    <row r="95" spans="2:20" ht="27.7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IF(C100="","","AP-6 EP-1")</f>
        <v/>
      </c>
      <c r="F98" s="124" t="str">
        <f>IF(C100="","","AP-6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IF(C100="","","AP-6 EP-2")</f>
        <v/>
      </c>
      <c r="F100" s="124" t="str">
        <f>IF(C100="","","AP-6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IF($C$4&gt;5,"AP-6 EP-3","")</f>
        <v/>
      </c>
      <c r="F102" s="124" t="str">
        <f>IF($C$4&gt;5,"AP-6 EU-3","")</f>
        <v/>
      </c>
      <c r="G102" s="222" t="str">
        <f>IF($C$4&gt;5,"Silo Filling","")</f>
        <v/>
      </c>
      <c r="H102" s="72"/>
      <c r="I102" s="144"/>
      <c r="J102" s="226"/>
      <c r="K102" s="226"/>
    </row>
    <row r="103" spans="2:11" ht="14.25" customHeight="1" x14ac:dyDescent="0.2">
      <c r="B103" s="83"/>
      <c r="D103" s="56"/>
      <c r="E103" s="124" t="str">
        <f>IF($C$4&gt;5,"AP-6 EP-3","")</f>
        <v/>
      </c>
      <c r="F103" s="124" t="str">
        <f>IF($C$4&gt;5,"AP-6 EU-4","")</f>
        <v/>
      </c>
      <c r="G103" s="222" t="str">
        <f>IF($C$4&gt;5,"Truck Loadout","")</f>
        <v/>
      </c>
      <c r="H103" s="72"/>
      <c r="I103" s="144"/>
      <c r="J103" s="226"/>
      <c r="K103" s="226"/>
    </row>
    <row r="104" spans="2:11" ht="14.25" customHeight="1" x14ac:dyDescent="0.2">
      <c r="B104" s="83"/>
      <c r="D104" s="56"/>
      <c r="E104" s="124" t="str">
        <f>IF($C$4&gt;5,"AP-6 EP-3","")</f>
        <v/>
      </c>
      <c r="F104" s="124" t="str">
        <f>IF($C$4&gt;5,"AP-6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7" customHeight="1" x14ac:dyDescent="0.2">
      <c r="J109" s="161"/>
      <c r="K109" s="161"/>
    </row>
    <row r="110" spans="2:11" ht="29.2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IF(C115="","","AP-6 EP-1")</f>
        <v/>
      </c>
      <c r="F113" s="124" t="str">
        <f>IF(C115="","","AP-6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IF(C115="","","AP-6 EP-2")</f>
        <v/>
      </c>
      <c r="F115" s="124" t="str">
        <f>IF(C115="","","AP-6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IF($C$4&gt;6,"AP-6 EP-3","")</f>
        <v/>
      </c>
      <c r="F117" s="124" t="str">
        <f>IF($C$4&gt;6,"AP-6 EU-3","")</f>
        <v/>
      </c>
      <c r="G117" s="222" t="str">
        <f>IF($C$4&gt;6,"Silo Filling","")</f>
        <v/>
      </c>
      <c r="H117" s="72"/>
      <c r="I117" s="144"/>
      <c r="J117" s="226"/>
      <c r="K117" s="226"/>
    </row>
    <row r="118" spans="2:11" ht="14.25" customHeight="1" x14ac:dyDescent="0.2">
      <c r="B118" s="83"/>
      <c r="D118" s="56"/>
      <c r="E118" s="124" t="str">
        <f>IF($C$4&gt;6,"AP-6 EP-3","")</f>
        <v/>
      </c>
      <c r="F118" s="124" t="str">
        <f>IF($C$4&gt;6,"AP-6 EU-4","")</f>
        <v/>
      </c>
      <c r="G118" s="222" t="str">
        <f>IF($C$4&gt;6,"Truck Loadout","")</f>
        <v/>
      </c>
      <c r="H118" s="72"/>
      <c r="I118" s="144"/>
      <c r="J118" s="226"/>
      <c r="K118" s="226"/>
    </row>
    <row r="119" spans="2:11" ht="14.25" customHeight="1" x14ac:dyDescent="0.2">
      <c r="B119" s="83"/>
      <c r="D119" s="56"/>
      <c r="E119" s="124" t="str">
        <f>IF($C$4&gt;6,"AP-6 EP-3","")</f>
        <v/>
      </c>
      <c r="F119" s="124" t="str">
        <f>IF($C$4&gt;6,"AP-6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8.5" customHeight="1" x14ac:dyDescent="0.2">
      <c r="J124" s="161"/>
      <c r="K124" s="161"/>
    </row>
    <row r="125" spans="2:11" ht="27"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IF(C130="","","AP-6 EP-1")</f>
        <v/>
      </c>
      <c r="F128" s="124" t="str">
        <f>IF(C130="","","AP-6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IF(C130="","","AP-6 EP-2")</f>
        <v/>
      </c>
      <c r="F130" s="124" t="str">
        <f>IF(C130="","","AP-6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IF($C$4&gt;7,"AP-6 EP-3","")</f>
        <v/>
      </c>
      <c r="F132" s="124" t="str">
        <f>IF($C$4&gt;7,"AP-6 EU-3","")</f>
        <v/>
      </c>
      <c r="G132" s="222" t="str">
        <f>IF($C$4&gt;7,"Silo Filling","")</f>
        <v/>
      </c>
      <c r="H132" s="72"/>
      <c r="I132" s="144"/>
      <c r="J132" s="226"/>
      <c r="K132" s="226"/>
    </row>
    <row r="133" spans="2:11" ht="14.25" customHeight="1" x14ac:dyDescent="0.2">
      <c r="B133" s="83"/>
      <c r="D133" s="56"/>
      <c r="E133" s="124" t="str">
        <f>IF($C$4&gt;7,"AP-6 EP-3","")</f>
        <v/>
      </c>
      <c r="F133" s="124" t="str">
        <f>IF($C$4&gt;7,"AP-6 EU-4","")</f>
        <v/>
      </c>
      <c r="G133" s="222" t="str">
        <f>IF($C$4&gt;7,"Truck Loadout","")</f>
        <v/>
      </c>
      <c r="H133" s="72"/>
      <c r="I133" s="144"/>
      <c r="J133" s="226"/>
      <c r="K133" s="226"/>
    </row>
    <row r="134" spans="2:11" ht="14.25" customHeight="1" x14ac:dyDescent="0.2">
      <c r="B134" s="83"/>
      <c r="D134" s="56"/>
      <c r="E134" s="124" t="str">
        <f>IF($C$4&gt;7,"AP-6 EP-3","")</f>
        <v/>
      </c>
      <c r="F134" s="124" t="str">
        <f>IF($C$4&gt;7,"AP-6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2.5" customHeight="1" x14ac:dyDescent="0.2">
      <c r="J139" s="161"/>
      <c r="K139" s="161"/>
    </row>
    <row r="140" spans="2:11" ht="27.7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IF(C145="","","AP-6 EP-1")</f>
        <v/>
      </c>
      <c r="F143" s="124" t="str">
        <f>IF(C145="","","AP-6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IF(C145="","","AP-6 EP-2")</f>
        <v/>
      </c>
      <c r="F145" s="124" t="str">
        <f>IF(C145="","","AP-6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IF($C$4&gt;8,"AP-6 EP-3","")</f>
        <v/>
      </c>
      <c r="F147" s="124" t="str">
        <f>IF($C$4&gt;8,"AP-6 EU-3","")</f>
        <v/>
      </c>
      <c r="G147" s="222" t="str">
        <f>IF($C$4&gt;8,"Silo Filling","")</f>
        <v/>
      </c>
      <c r="H147" s="72"/>
      <c r="I147" s="144"/>
      <c r="J147" s="226"/>
      <c r="K147" s="226"/>
    </row>
    <row r="148" spans="2:11" ht="14.25" customHeight="1" x14ac:dyDescent="0.2">
      <c r="B148" s="83"/>
      <c r="D148" s="56"/>
      <c r="E148" s="124" t="str">
        <f>IF($C$4&gt;8,"AP-6 EP-3","")</f>
        <v/>
      </c>
      <c r="F148" s="124" t="str">
        <f>IF($C$4&gt;8,"AP-6 EU-4","")</f>
        <v/>
      </c>
      <c r="G148" s="222" t="str">
        <f>IF($C$4&gt;8,"Truck Loadout","")</f>
        <v/>
      </c>
      <c r="H148" s="72"/>
      <c r="I148" s="144"/>
      <c r="J148" s="226"/>
      <c r="K148" s="226"/>
    </row>
    <row r="149" spans="2:11" ht="14.25" customHeight="1" x14ac:dyDescent="0.2">
      <c r="B149" s="83"/>
      <c r="D149" s="56"/>
      <c r="E149" s="124" t="str">
        <f>IF($C$4&gt;8,"AP-6 EP-3","")</f>
        <v/>
      </c>
      <c r="F149" s="124" t="str">
        <f>IF($C$4&gt;8,"AP-6 EU-5","")</f>
        <v/>
      </c>
      <c r="G149" s="222" t="str">
        <f>IF($C$4&gt;8,"Cold Aggregate Bins","")</f>
        <v/>
      </c>
      <c r="H149" s="72"/>
      <c r="I149" s="144"/>
      <c r="J149" s="226"/>
      <c r="K149" s="226"/>
    </row>
    <row r="150" spans="2:11" ht="14.25" customHeight="1" x14ac:dyDescent="0.2">
      <c r="B150" s="83"/>
      <c r="E150" s="125"/>
      <c r="F150" s="125"/>
      <c r="G150" s="227"/>
      <c r="H150" s="150"/>
      <c r="I150" s="151"/>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8.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IF(C160="","","AP-6 EP-1")</f>
        <v/>
      </c>
      <c r="F158" s="124" t="str">
        <f>IF(C160="","","AP-6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IF(C160="","","AP-6 EP-2")</f>
        <v/>
      </c>
      <c r="F160" s="124" t="str">
        <f>IF(C160="","","AP-6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IF($C$4&gt;9,"AP-6 EP-3","")</f>
        <v/>
      </c>
      <c r="F162" s="124" t="str">
        <f>IF($C$4&gt;9,"AP-6 EU-3","")</f>
        <v/>
      </c>
      <c r="G162" s="222" t="str">
        <f>IF($C$4&gt;9,"Silo Filling","")</f>
        <v/>
      </c>
      <c r="H162" s="72"/>
      <c r="I162" s="144"/>
      <c r="J162" s="226"/>
      <c r="K162" s="226"/>
    </row>
    <row r="163" spans="2:11" ht="14.25" customHeight="1" x14ac:dyDescent="0.2">
      <c r="B163" s="83"/>
      <c r="D163" s="56"/>
      <c r="E163" s="124" t="str">
        <f>IF($C$4&gt;9,"AP-6 EP-3","")</f>
        <v/>
      </c>
      <c r="F163" s="124" t="str">
        <f>IF($C$4&gt;9,"AP-6 EU-4","")</f>
        <v/>
      </c>
      <c r="G163" s="222" t="str">
        <f>IF($C$4&gt;9,"Truck Loadout","")</f>
        <v/>
      </c>
      <c r="H163" s="72"/>
      <c r="I163" s="144"/>
      <c r="J163" s="226"/>
      <c r="K163" s="226"/>
    </row>
    <row r="164" spans="2:11" ht="14.25" customHeight="1" x14ac:dyDescent="0.2">
      <c r="B164" s="83"/>
      <c r="D164" s="56"/>
      <c r="E164" s="124" t="str">
        <f>IF($C$4&gt;9,"AP-6 EP-3","")</f>
        <v/>
      </c>
      <c r="F164" s="124" t="str">
        <f>IF($C$4&gt;9,"AP-6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5t0EqA13C9sSNJwVck4sazSsTsMAxqYoH6ngUAkufCPU3uLi05MxyZiw/qtKtOc0UVI8FebXD9YFxh0VlEK6Bg==" saltValue="hNMHvHc/lM9McbVAhRkUrg==" spinCount="100000" sheet="1" objects="1" scenarios="1"/>
  <conditionalFormatting sqref="E23:F23 E25:F25 E27:F30">
    <cfRule type="notContainsBlanks" dxfId="28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288" priority="4">
      <formula>LEN(TRIM(B26))&gt;0</formula>
    </cfRule>
  </conditionalFormatting>
  <conditionalFormatting sqref="E33">
    <cfRule type="notContainsBlanks" dxfId="287" priority="37">
      <formula>LEN(TRIM(E33))&gt;0</formula>
    </cfRule>
  </conditionalFormatting>
  <conditionalFormatting sqref="B33">
    <cfRule type="notContainsBlanks" dxfId="286" priority="36">
      <formula>LEN(TRIM(B33))&gt;0</formula>
    </cfRule>
  </conditionalFormatting>
  <conditionalFormatting sqref="B36:E36 B35:I35 B37:I37 H36:I36 D39:I39 B38:E38 H38:I38 J34:K35 H40:I40 B42:I47 D41:I41 D40:E40 B39:C40 J38:K46">
    <cfRule type="cellIs" dxfId="285" priority="40" operator="notEqual">
      <formula>$B$35=""</formula>
    </cfRule>
  </conditionalFormatting>
  <conditionalFormatting sqref="E36:G43 B36:B40">
    <cfRule type="notContainsBlanks" dxfId="28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283" priority="28">
      <formula>LEN(TRIM(C36))&gt;0</formula>
    </cfRule>
  </conditionalFormatting>
  <conditionalFormatting sqref="B51:E51 B49:I50 B52:I52 H51:I51 D54:I54 B53:E53 H53:I53 J48:K50 H55:I55 B57:I62 D56:I56 D55:E55 B54:C55 J53:K61">
    <cfRule type="cellIs" dxfId="282" priority="38" operator="notEqual">
      <formula>$B$49=""</formula>
    </cfRule>
  </conditionalFormatting>
  <conditionalFormatting sqref="E51:G58 B51:B55">
    <cfRule type="notContainsBlanks" dxfId="281" priority="32">
      <formula>LEN(TRIM(B51))&gt;0</formula>
    </cfRule>
  </conditionalFormatting>
  <conditionalFormatting sqref="C51:C55">
    <cfRule type="notContainsBlanks" dxfId="280" priority="31">
      <formula>LEN(TRIM(C51))&gt;0</formula>
    </cfRule>
  </conditionalFormatting>
  <conditionalFormatting sqref="B35:C35">
    <cfRule type="notContainsBlanks" dxfId="279" priority="30">
      <formula>LEN(TRIM(B35))&gt;0</formula>
    </cfRule>
  </conditionalFormatting>
  <conditionalFormatting sqref="B49:C49">
    <cfRule type="notContainsBlanks" dxfId="278" priority="29">
      <formula>LEN(TRIM(B49))&gt;0</formula>
    </cfRule>
  </conditionalFormatting>
  <conditionalFormatting sqref="B66:E66 B64:I65 B67:I67 H66:I66 D69:I69 B68:E68 H68:I68 J63:K65 H70:I70 B72:I77 D71:I71 D70:E70 B69:C70 J68:K76">
    <cfRule type="cellIs" dxfId="277" priority="35" operator="notEqual">
      <formula>$B$64=""</formula>
    </cfRule>
  </conditionalFormatting>
  <conditionalFormatting sqref="E66:G73 B66:B70">
    <cfRule type="notContainsBlanks" dxfId="276" priority="27">
      <formula>LEN(TRIM(B66))&gt;0</formula>
    </cfRule>
  </conditionalFormatting>
  <conditionalFormatting sqref="C66:C70">
    <cfRule type="notContainsBlanks" dxfId="275" priority="26">
      <formula>LEN(TRIM(C66))&gt;0</formula>
    </cfRule>
  </conditionalFormatting>
  <conditionalFormatting sqref="B64:C64">
    <cfRule type="notContainsBlanks" dxfId="274" priority="25">
      <formula>LEN(TRIM(B64))&gt;0</formula>
    </cfRule>
  </conditionalFormatting>
  <conditionalFormatting sqref="B81:E81 B79:I80 B82:I82 H81:I81 B83:E83 J78:K80 B87:I92 D86:I86 D85:E85 B84:C85 H83:K83 J86:K91 H85:J85 D84:J84">
    <cfRule type="cellIs" dxfId="273" priority="33" operator="notEqual">
      <formula>$B$79=""</formula>
    </cfRule>
  </conditionalFormatting>
  <conditionalFormatting sqref="E81:G88 B81:B85">
    <cfRule type="notContainsBlanks" dxfId="272" priority="23">
      <formula>LEN(TRIM(B81))&gt;0</formula>
    </cfRule>
  </conditionalFormatting>
  <conditionalFormatting sqref="C81:C85">
    <cfRule type="notContainsBlanks" dxfId="271" priority="22">
      <formula>LEN(TRIM(C81))&gt;0</formula>
    </cfRule>
  </conditionalFormatting>
  <conditionalFormatting sqref="B79:C79">
    <cfRule type="notContainsBlanks" dxfId="270" priority="21">
      <formula>LEN(TRIM(B79))&gt;0</formula>
    </cfRule>
  </conditionalFormatting>
  <conditionalFormatting sqref="B97:E97 B95:I96 B98:I98 H97:I97 D100:I100 B99:E99 H99:I99 J93:K96 H101:I101 B103:I108 D102:I102 D101:E101 B100:C101 J99:K107">
    <cfRule type="cellIs" dxfId="269" priority="24" operator="notEqual">
      <formula>$B$95=""</formula>
    </cfRule>
  </conditionalFormatting>
  <conditionalFormatting sqref="E97:G104 B97:B101">
    <cfRule type="notContainsBlanks" dxfId="268" priority="19">
      <formula>LEN(TRIM(B97))&gt;0</formula>
    </cfRule>
  </conditionalFormatting>
  <conditionalFormatting sqref="C97:C101">
    <cfRule type="notContainsBlanks" dxfId="267" priority="18">
      <formula>LEN(TRIM(C97))&gt;0</formula>
    </cfRule>
  </conditionalFormatting>
  <conditionalFormatting sqref="B95:C95">
    <cfRule type="notContainsBlanks" dxfId="266" priority="17">
      <formula>LEN(TRIM(B95))&gt;0</formula>
    </cfRule>
  </conditionalFormatting>
  <conditionalFormatting sqref="B112:E112 B110:I111 B113:I113 H112:I112 D115:I115 B114:E114 H114:I114 J109:K111 H116:I116 B118:I123 D117:I117 D116:E116 B115:C116 J114:K122">
    <cfRule type="cellIs" dxfId="265" priority="20" operator="notEqual">
      <formula>$B$110=""</formula>
    </cfRule>
  </conditionalFormatting>
  <conditionalFormatting sqref="E112:G119 B112:B116">
    <cfRule type="notContainsBlanks" dxfId="264" priority="15">
      <formula>LEN(TRIM(B112))&gt;0</formula>
    </cfRule>
  </conditionalFormatting>
  <conditionalFormatting sqref="C112:C116">
    <cfRule type="notContainsBlanks" dxfId="263" priority="14">
      <formula>LEN(TRIM(C112))&gt;0</formula>
    </cfRule>
  </conditionalFormatting>
  <conditionalFormatting sqref="B110:C110">
    <cfRule type="notContainsBlanks" dxfId="262" priority="13">
      <formula>LEN(TRIM(B110))&gt;0</formula>
    </cfRule>
  </conditionalFormatting>
  <conditionalFormatting sqref="B127:E127 B125:I126 B128:I128 H127:I127 D130:I130 B129:E129 H129:I129 J124:K126 H131:I131 B133:I138 D132:I132 D131:E131 B130:C131 J129:K137">
    <cfRule type="cellIs" dxfId="261" priority="16" operator="notEqual">
      <formula>$B$125=""</formula>
    </cfRule>
  </conditionalFormatting>
  <conditionalFormatting sqref="E127:G134 B127:B131">
    <cfRule type="notContainsBlanks" dxfId="260" priority="11">
      <formula>LEN(TRIM(B127))&gt;0</formula>
    </cfRule>
  </conditionalFormatting>
  <conditionalFormatting sqref="C127:C131">
    <cfRule type="notContainsBlanks" dxfId="259" priority="10">
      <formula>LEN(TRIM(C127))&gt;0</formula>
    </cfRule>
  </conditionalFormatting>
  <conditionalFormatting sqref="B125:C125">
    <cfRule type="notContainsBlanks" dxfId="258" priority="9">
      <formula>LEN(TRIM(B125))&gt;0</formula>
    </cfRule>
  </conditionalFormatting>
  <conditionalFormatting sqref="B142:E142 B140:I141 B143:I143 H142:I142 D145:I145 B144:E144 H144:I144 J139:K141 H146:I146 B148:I153 D147:I147 D146:E146 B145:C146 J144:K152">
    <cfRule type="cellIs" dxfId="257" priority="12" operator="notEqual">
      <formula>$B$140=""</formula>
    </cfRule>
  </conditionalFormatting>
  <conditionalFormatting sqref="E142:G149 B142:B146">
    <cfRule type="notContainsBlanks" dxfId="256" priority="7">
      <formula>LEN(TRIM(B142))&gt;0</formula>
    </cfRule>
  </conditionalFormatting>
  <conditionalFormatting sqref="C142:C146">
    <cfRule type="notContainsBlanks" dxfId="255" priority="6">
      <formula>LEN(TRIM(C142))&gt;0</formula>
    </cfRule>
  </conditionalFormatting>
  <conditionalFormatting sqref="B140:C140">
    <cfRule type="notContainsBlanks" dxfId="254" priority="5">
      <formula>LEN(TRIM(B140))&gt;0</formula>
    </cfRule>
  </conditionalFormatting>
  <conditionalFormatting sqref="B157:E157 B155:I156 B158:I158 H157:I157 D160:I160 B159:E159 H159:I159 J154:K156 H161:I161 B163:I168 D162:I162 D161:E161 B160:C161 J159:K167">
    <cfRule type="cellIs" dxfId="253" priority="8" operator="notEqual">
      <formula>$B$155=""</formula>
    </cfRule>
  </conditionalFormatting>
  <conditionalFormatting sqref="E157:G164 B157:B161">
    <cfRule type="notContainsBlanks" dxfId="252" priority="3">
      <formula>LEN(TRIM(B157))&gt;0</formula>
    </cfRule>
  </conditionalFormatting>
  <conditionalFormatting sqref="C157:C161">
    <cfRule type="notContainsBlanks" dxfId="251" priority="2">
      <formula>LEN(TRIM(C157))&gt;0</formula>
    </cfRule>
  </conditionalFormatting>
  <conditionalFormatting sqref="B155:C155">
    <cfRule type="notContainsBlanks" dxfId="250" priority="1">
      <formula>LEN(TRIM(B155))&gt;0</formula>
    </cfRule>
  </conditionalFormatting>
  <dataValidations count="4">
    <dataValidation type="list" allowBlank="1" showInputMessage="1" showErrorMessage="1" sqref="C26 C40 C55 C70 C85 C101 C116 C131 C146 C161" xr:uid="{00000000-0002-0000-0600-000000000000}">
      <formula1>CHECK</formula1>
    </dataValidation>
    <dataValidation type="list" allowBlank="1" showInputMessage="1" showErrorMessage="1" sqref="C25 A13 A15 C39 C54 C69 C84 C100 C115 C130 C145 C160" xr:uid="{00000000-0002-0000-0600-000001000000}">
      <formula1>Fuel</formula1>
    </dataValidation>
    <dataValidation type="list" allowBlank="1" showInputMessage="1" showErrorMessage="1" sqref="C5" xr:uid="{00000000-0002-0000-0600-000002000000}">
      <formula1>PlantType</formula1>
    </dataValidation>
    <dataValidation type="whole" allowBlank="1" showInputMessage="1" showErrorMessage="1" sqref="C19 C4 D6" xr:uid="{00000000-0002-0000-06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280</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8.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8"/>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9"/>
      <c r="D14" s="36"/>
      <c r="E14" s="69" t="s">
        <v>26</v>
      </c>
      <c r="F14" s="148"/>
      <c r="G14" s="148"/>
      <c r="M14" s="78"/>
      <c r="N14" s="214" t="s">
        <v>273</v>
      </c>
      <c r="O14" s="252" t="s">
        <v>152</v>
      </c>
      <c r="P14" s="265"/>
    </row>
    <row r="15" spans="1:20" ht="14.25" customHeight="1" x14ac:dyDescent="0.25">
      <c r="A15" s="78" t="s">
        <v>201</v>
      </c>
      <c r="B15" s="319" t="s">
        <v>318</v>
      </c>
      <c r="C15" s="319"/>
      <c r="D15" s="36"/>
      <c r="E15" s="69" t="s">
        <v>5</v>
      </c>
      <c r="F15" s="148"/>
      <c r="G15" s="148"/>
      <c r="M15" s="95" t="s">
        <v>39</v>
      </c>
      <c r="N15" s="212">
        <f>SUM(G33,G47,G62,G77,G92,G108,G123,G138,G153,G168,)</f>
        <v>0</v>
      </c>
      <c r="O15" s="258">
        <f>SUM(H33*I33,H47*I47,H62*I62,H77*I77,H92*I92,H108*I108,H123*I123,H138*I138,H153*I153,H168*I168)</f>
        <v>0</v>
      </c>
      <c r="P15" s="330"/>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7"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IF($C$4&gt;0,"AP-7 EP-1","")</f>
        <v/>
      </c>
      <c r="F23" s="124" t="str">
        <f>IF($C$4&gt;0,"AP-7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IF($C$4&gt;0,"AP-7 EP-2","")</f>
        <v/>
      </c>
      <c r="F25" s="124" t="str">
        <f>IF($C$4&gt;0,"AP-7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IF($C$4&gt;0,"AP-7 EP-3","")</f>
        <v/>
      </c>
      <c r="F27" s="124" t="str">
        <f>IF($C$4&gt;0,"AP-7 EU-3","")</f>
        <v/>
      </c>
      <c r="G27" s="222" t="str">
        <f>IF(C5="","","Silo Filling")</f>
        <v/>
      </c>
      <c r="H27" s="72"/>
      <c r="I27" s="144"/>
      <c r="J27" s="226"/>
      <c r="K27" s="226"/>
      <c r="M27" s="94" t="s">
        <v>16</v>
      </c>
      <c r="Q27" s="172"/>
    </row>
    <row r="28" spans="1:20" ht="14.25" customHeight="1" x14ac:dyDescent="0.2">
      <c r="A28" s="155"/>
      <c r="B28" s="83"/>
      <c r="D28" s="56"/>
      <c r="E28" s="124" t="str">
        <f>IF($C$4&gt;0,"AP-7 EP-3","")</f>
        <v/>
      </c>
      <c r="F28" s="124" t="str">
        <f>IF($C$4&gt;0,"AP-7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IF($C$4&gt;0,"AP-7 EP-3","")</f>
        <v/>
      </c>
      <c r="F29" s="124" t="str">
        <f>IF($C$4&gt;0,"AP-7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215"/>
      <c r="G33" s="220"/>
      <c r="H33" s="229"/>
      <c r="I33" s="220"/>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7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IF(C39="","","AP-7 EP-1")</f>
        <v/>
      </c>
      <c r="F37" s="124" t="str">
        <f>IF(C39="","","AP-7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IF(C39="","","AP-7 EP-2")</f>
        <v/>
      </c>
      <c r="F39" s="124" t="str">
        <f>IF(C39="","","AP-7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IF($C$4&gt;1,"AP-7 EP-3","")</f>
        <v/>
      </c>
      <c r="F41" s="124" t="str">
        <f>IF($C$4&gt;1,"AP-7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IF($C$4&gt;1,"AP-7 EP-3","")</f>
        <v/>
      </c>
      <c r="F42" s="124" t="str">
        <f>IF($C$4&gt;1,"AP-7 EU-4","")</f>
        <v/>
      </c>
      <c r="G42" s="222" t="str">
        <f>IF($C$4&gt;1,"Truck Loadout","")</f>
        <v/>
      </c>
      <c r="H42" s="72"/>
      <c r="I42" s="144"/>
      <c r="J42" s="226"/>
      <c r="K42" s="226"/>
      <c r="M42" s="94" t="s">
        <v>26</v>
      </c>
      <c r="T42" s="171"/>
    </row>
    <row r="43" spans="1:20" ht="14.25" customHeight="1" x14ac:dyDescent="0.2">
      <c r="B43" s="83"/>
      <c r="D43" s="56"/>
      <c r="E43" s="124" t="str">
        <f>IF($C$4&gt;1,"AP-7 EP-3","")</f>
        <v/>
      </c>
      <c r="F43" s="124" t="str">
        <f>IF($C$4&gt;1,"AP-7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7.7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IF(C54="","","AP-7 EP-1")</f>
        <v/>
      </c>
      <c r="F52" s="124" t="str">
        <f>IF(C54="","","AP-7 EU-1")</f>
        <v/>
      </c>
      <c r="G52" s="222" t="str">
        <f>IF(C54="","",C5 &amp; " - "&amp;C54)</f>
        <v/>
      </c>
      <c r="H52" s="223"/>
      <c r="I52" s="22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IF(C54="","","AP-7 EP-2")</f>
        <v/>
      </c>
      <c r="F54" s="124" t="str">
        <f>IF(C54="","","AP-7 EU-2")</f>
        <v/>
      </c>
      <c r="G54" s="222" t="str">
        <f>IF(C54="","",C54&amp; " Fired Heater")</f>
        <v/>
      </c>
      <c r="H54" s="223"/>
      <c r="I54" s="22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IF($C$4&gt;2,"AP-7 EP-3","")</f>
        <v/>
      </c>
      <c r="F56" s="124" t="str">
        <f>IF($C$4&gt;2,"AP-7 EU-3","")</f>
        <v/>
      </c>
      <c r="G56" s="222" t="str">
        <f>IF($C$4&gt;2,"Silo Filling","")</f>
        <v/>
      </c>
      <c r="H56" s="223"/>
      <c r="I56" s="22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IF($C$4&gt;2,"AP-7 EP-3","")</f>
        <v/>
      </c>
      <c r="F57" s="124" t="str">
        <f>IF($C$4&gt;2,"AP-7 EU-4","")</f>
        <v/>
      </c>
      <c r="G57" s="222" t="str">
        <f>IF($C$4&gt;2,"Truck Loadout","")</f>
        <v/>
      </c>
      <c r="H57" s="223"/>
      <c r="I57" s="224"/>
      <c r="J57" s="226"/>
      <c r="K57" s="226"/>
      <c r="M57" s="94" t="s">
        <v>212</v>
      </c>
      <c r="T57" s="171"/>
    </row>
    <row r="58" spans="2:20" ht="14.25" customHeight="1" x14ac:dyDescent="0.2">
      <c r="B58" s="83"/>
      <c r="D58" s="56"/>
      <c r="E58" s="124" t="str">
        <f>IF($C$4&gt;2,"AP-7 EP-3","")</f>
        <v/>
      </c>
      <c r="F58" s="124" t="str">
        <f>IF($C$4&gt;2,"AP-7 EU-5","")</f>
        <v/>
      </c>
      <c r="G58" s="222" t="str">
        <f>IF($C$4&gt;2,"Cold Aggregate Bins","")</f>
        <v/>
      </c>
      <c r="H58" s="223"/>
      <c r="I58" s="22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8.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IF(C69="","","AP-7 EP-1")</f>
        <v/>
      </c>
      <c r="F67" s="124" t="str">
        <f>IF(C69="","","AP-7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IF(C69="","","AP-7 EP-2")</f>
        <v/>
      </c>
      <c r="F69" s="124" t="str">
        <f>IF(C69="","","AP-7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IF($C$4&gt;3,"AP-7 EP-3","")</f>
        <v/>
      </c>
      <c r="F71" s="124" t="str">
        <f>IF($C$4&gt;3,"AP-7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IF($C$4&gt;3,"AP-7 EP-3","")</f>
        <v/>
      </c>
      <c r="F72" s="124" t="str">
        <f>IF($C$4&gt;3,"AP-7 EU-4","")</f>
        <v/>
      </c>
      <c r="G72" s="222" t="str">
        <f>IF($C$4&gt;3,"Truck Loadout","")</f>
        <v/>
      </c>
      <c r="H72" s="72"/>
      <c r="I72" s="144"/>
      <c r="J72" s="226"/>
      <c r="K72" s="226"/>
      <c r="M72" s="94" t="s">
        <v>217</v>
      </c>
      <c r="T72" s="171"/>
    </row>
    <row r="73" spans="2:20" ht="14.25" customHeight="1" x14ac:dyDescent="0.2">
      <c r="B73" s="83"/>
      <c r="D73" s="56"/>
      <c r="E73" s="124" t="str">
        <f>IF($C$4&gt;3,"AP-7 EP-3","")</f>
        <v/>
      </c>
      <c r="F73" s="124" t="str">
        <f>IF($C$4&gt;3,"AP-7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8.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IF(C84="","","AP-7 EP-1")</f>
        <v/>
      </c>
      <c r="F82" s="124" t="str">
        <f>IF(C84="","","AP-7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IF(C84="","","AP-7 EP-2")</f>
        <v/>
      </c>
      <c r="F84" s="124" t="str">
        <f>IF(C84="","","AP-7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C86" s="232"/>
      <c r="D86" s="56"/>
      <c r="E86" s="124" t="str">
        <f>IF($C$4&gt;4,"AP-7 EP-3","")</f>
        <v/>
      </c>
      <c r="F86" s="124" t="str">
        <f>IF($C$4&gt;4,"AP-7 EU-3","")</f>
        <v/>
      </c>
      <c r="G86" s="222" t="str">
        <f>IF($C$4&gt;4,"Silo Filling","")</f>
        <v/>
      </c>
      <c r="H86" s="72"/>
      <c r="I86" s="144"/>
      <c r="J86" s="226"/>
      <c r="K86" s="226"/>
      <c r="M86" s="94" t="s">
        <v>224</v>
      </c>
      <c r="T86" s="171"/>
    </row>
    <row r="87" spans="2:20" ht="14.25" customHeight="1" x14ac:dyDescent="0.2">
      <c r="B87" s="83"/>
      <c r="D87" s="56"/>
      <c r="E87" s="124" t="str">
        <f>IF($C$4&gt;4,"AP-7 EP-3","")</f>
        <v/>
      </c>
      <c r="F87" s="124" t="str">
        <f>IF($C$4&gt;4,"AP-7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IF($C$4&gt;4,"AP-7 EP-3","")</f>
        <v/>
      </c>
      <c r="F88" s="124" t="str">
        <f>IF($C$4&gt;4,"AP-7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8.5" customHeight="1" x14ac:dyDescent="0.2">
      <c r="J94" s="161"/>
      <c r="K94" s="161"/>
      <c r="M94" s="322"/>
      <c r="N94" s="323"/>
      <c r="O94" s="324"/>
      <c r="P94" s="125"/>
      <c r="Q94" s="210"/>
      <c r="R94" s="210"/>
      <c r="S94" s="210"/>
      <c r="T94" s="210"/>
    </row>
    <row r="95" spans="2:20" ht="27"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IF(C100="","","AP-7 EP-1")</f>
        <v/>
      </c>
      <c r="F98" s="124" t="str">
        <f>IF(C100="","","AP-7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IF(C100="","","AP-7 EP-2")</f>
        <v/>
      </c>
      <c r="F100" s="124" t="str">
        <f>IF(C100="","","AP-7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IF($C$4&gt;5,"AP-7 EP-3","")</f>
        <v/>
      </c>
      <c r="F102" s="124" t="str">
        <f>IF($C$4&gt;5,"AP-7 EU-3","")</f>
        <v/>
      </c>
      <c r="G102" s="222" t="str">
        <f>IF($C$4&gt;5,"Silo Filling","")</f>
        <v/>
      </c>
      <c r="H102" s="72"/>
      <c r="I102" s="144"/>
      <c r="J102" s="226"/>
      <c r="K102" s="226"/>
    </row>
    <row r="103" spans="2:11" ht="14.25" customHeight="1" x14ac:dyDescent="0.2">
      <c r="B103" s="83"/>
      <c r="D103" s="56"/>
      <c r="E103" s="124" t="str">
        <f>IF($C$4&gt;5,"AP-7 EP-3","")</f>
        <v/>
      </c>
      <c r="F103" s="124" t="str">
        <f>IF($C$4&gt;5,"AP-7 EU-4","")</f>
        <v/>
      </c>
      <c r="G103" s="222" t="str">
        <f>IF($C$4&gt;5,"Truck Loadout","")</f>
        <v/>
      </c>
      <c r="H103" s="72"/>
      <c r="I103" s="144"/>
      <c r="J103" s="226"/>
      <c r="K103" s="226"/>
    </row>
    <row r="104" spans="2:11" ht="14.25" customHeight="1" x14ac:dyDescent="0.2">
      <c r="B104" s="83"/>
      <c r="D104" s="56"/>
      <c r="E104" s="124" t="str">
        <f>IF($C$4&gt;5,"AP-7 EP-3","")</f>
        <v/>
      </c>
      <c r="F104" s="124" t="str">
        <f>IF($C$4&gt;5,"AP-7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7" customHeight="1" x14ac:dyDescent="0.2">
      <c r="J109" s="161"/>
      <c r="K109" s="161"/>
    </row>
    <row r="110" spans="2:11" ht="27.7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IF(C115="","","AP-7 EP-1")</f>
        <v/>
      </c>
      <c r="F113" s="124" t="str">
        <f>IF(C115="","","AP-7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IF(C115="","","AP-7 EP-2")</f>
        <v/>
      </c>
      <c r="F115" s="124" t="str">
        <f>IF(C115="","","AP-7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IF($C$4&gt;6,"AP-7 EP-3","")</f>
        <v/>
      </c>
      <c r="F117" s="124" t="str">
        <f>IF($C$4&gt;6,"AP-7 EU-3","")</f>
        <v/>
      </c>
      <c r="G117" s="222" t="str">
        <f>IF($C$4&gt;6,"Silo Filling","")</f>
        <v/>
      </c>
      <c r="H117" s="72"/>
      <c r="I117" s="144"/>
      <c r="J117" s="226"/>
      <c r="K117" s="226"/>
    </row>
    <row r="118" spans="2:11" ht="14.25" customHeight="1" x14ac:dyDescent="0.2">
      <c r="B118" s="83"/>
      <c r="D118" s="56"/>
      <c r="E118" s="124" t="str">
        <f>IF($C$4&gt;6,"AP-7 EP-3","")</f>
        <v/>
      </c>
      <c r="F118" s="124" t="str">
        <f>IF($C$4&gt;6,"AP-7 EU-4","")</f>
        <v/>
      </c>
      <c r="G118" s="222" t="str">
        <f>IF($C$4&gt;6,"Truck Loadout","")</f>
        <v/>
      </c>
      <c r="H118" s="72"/>
      <c r="I118" s="144"/>
      <c r="J118" s="226"/>
      <c r="K118" s="226"/>
    </row>
    <row r="119" spans="2:11" ht="14.25" customHeight="1" x14ac:dyDescent="0.2">
      <c r="B119" s="83"/>
      <c r="D119" s="56"/>
      <c r="E119" s="124" t="str">
        <f>IF($C$4&gt;6,"AP-7 EP-3","")</f>
        <v/>
      </c>
      <c r="F119" s="124" t="str">
        <f>IF($C$4&gt;6,"AP-7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5.5" customHeight="1" x14ac:dyDescent="0.2">
      <c r="J124" s="161"/>
      <c r="K124" s="161"/>
    </row>
    <row r="125" spans="2:11" ht="27.7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IF(C130="","","AP-7 EP-1")</f>
        <v/>
      </c>
      <c r="F128" s="124" t="str">
        <f>IF(C130="","","AP-7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IF(C130="","","AP-7 EP-2")</f>
        <v/>
      </c>
      <c r="F130" s="124" t="str">
        <f>IF(C130="","","AP-7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IF($C$4&gt;7,"AP-7 EP-3","")</f>
        <v/>
      </c>
      <c r="F132" s="124" t="str">
        <f>IF($C$4&gt;7,"AP-7 EU-3","")</f>
        <v/>
      </c>
      <c r="G132" s="222" t="str">
        <f>IF($C$4&gt;7,"Silo Filling","")</f>
        <v/>
      </c>
      <c r="H132" s="72"/>
      <c r="I132" s="144"/>
      <c r="J132" s="226"/>
      <c r="K132" s="226"/>
    </row>
    <row r="133" spans="2:11" ht="14.25" customHeight="1" x14ac:dyDescent="0.2">
      <c r="B133" s="83"/>
      <c r="D133" s="56"/>
      <c r="E133" s="124" t="str">
        <f>IF($C$4&gt;7,"AP-7 EP-3","")</f>
        <v/>
      </c>
      <c r="F133" s="124" t="str">
        <f>IF($C$4&gt;7,"AP-7 EU-4","")</f>
        <v/>
      </c>
      <c r="G133" s="222" t="str">
        <f>IF($C$4&gt;7,"Truck Loadout","")</f>
        <v/>
      </c>
      <c r="H133" s="72"/>
      <c r="I133" s="144"/>
      <c r="J133" s="226"/>
      <c r="K133" s="226"/>
    </row>
    <row r="134" spans="2:11" ht="14.25" customHeight="1" x14ac:dyDescent="0.2">
      <c r="B134" s="83"/>
      <c r="D134" s="56"/>
      <c r="E134" s="124" t="str">
        <f>IF($C$4&gt;7,"AP-7 EP-3","")</f>
        <v/>
      </c>
      <c r="F134" s="124" t="str">
        <f>IF($C$4&gt;7,"AP-7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8.5" customHeight="1" x14ac:dyDescent="0.2">
      <c r="J139" s="161"/>
      <c r="K139" s="161"/>
    </row>
    <row r="140" spans="2:11" ht="28.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IF(C145="","","AP-7 EP-1")</f>
        <v/>
      </c>
      <c r="F143" s="124" t="str">
        <f>IF(C145="","","AP-7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IF(C145="","","AP-7 EP-2")</f>
        <v/>
      </c>
      <c r="F145" s="124" t="str">
        <f>IF(C145="","","AP-7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IF($C$4&gt;8,"AP-7 EP-3","")</f>
        <v/>
      </c>
      <c r="F147" s="124" t="str">
        <f>IF($C$4&gt;8,"AP-7 EU-3","")</f>
        <v/>
      </c>
      <c r="G147" s="222" t="str">
        <f>IF($C$4&gt;8,"Silo Filling","")</f>
        <v/>
      </c>
      <c r="H147" s="72"/>
      <c r="I147" s="144"/>
      <c r="J147" s="226"/>
      <c r="K147" s="226"/>
    </row>
    <row r="148" spans="2:11" ht="14.25" customHeight="1" x14ac:dyDescent="0.2">
      <c r="B148" s="83"/>
      <c r="D148" s="56"/>
      <c r="E148" s="124" t="str">
        <f>IF($C$4&gt;8,"AP-7 EP-3","")</f>
        <v/>
      </c>
      <c r="F148" s="124" t="str">
        <f>IF($C$4&gt;8,"AP-7 EU-4","")</f>
        <v/>
      </c>
      <c r="G148" s="222" t="str">
        <f>IF($C$4&gt;8,"Truck Loadout","")</f>
        <v/>
      </c>
      <c r="H148" s="72"/>
      <c r="I148" s="144"/>
      <c r="J148" s="226"/>
      <c r="K148" s="226"/>
    </row>
    <row r="149" spans="2:11" ht="14.25" customHeight="1" x14ac:dyDescent="0.2">
      <c r="B149" s="83"/>
      <c r="D149" s="56"/>
      <c r="E149" s="124" t="str">
        <f>IF($C$4&gt;8,"AP-7 EP-3","")</f>
        <v/>
      </c>
      <c r="F149" s="124" t="str">
        <f>IF($C$4&gt;8,"AP-7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8.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IF(C160="","","AP-7 EP-1")</f>
        <v/>
      </c>
      <c r="F158" s="124" t="str">
        <f>IF(C160="","","AP-7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IF(C160="","","AP-7 EP-2")</f>
        <v/>
      </c>
      <c r="F160" s="124" t="str">
        <f>IF(C160="","","AP-7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IF($C$4&gt;9,"AP-7 EP-3","")</f>
        <v/>
      </c>
      <c r="F162" s="124" t="str">
        <f>IF($C$4&gt;9,"AP-7 EU-3","")</f>
        <v/>
      </c>
      <c r="G162" s="222" t="str">
        <f>IF($C$4&gt;9,"Silo Filling","")</f>
        <v/>
      </c>
      <c r="H162" s="72"/>
      <c r="I162" s="144"/>
      <c r="J162" s="226"/>
      <c r="K162" s="226"/>
    </row>
    <row r="163" spans="2:11" ht="14.25" customHeight="1" x14ac:dyDescent="0.2">
      <c r="B163" s="83"/>
      <c r="D163" s="56"/>
      <c r="E163" s="124" t="str">
        <f>IF($C$4&gt;9,"AP-7 EP-3","")</f>
        <v/>
      </c>
      <c r="F163" s="124" t="str">
        <f>IF($C$4&gt;9,"AP-7 EU-4","")</f>
        <v/>
      </c>
      <c r="G163" s="222" t="str">
        <f>IF($C$4&gt;9,"Truck Loadout","")</f>
        <v/>
      </c>
      <c r="H163" s="72"/>
      <c r="I163" s="144"/>
      <c r="J163" s="226"/>
      <c r="K163" s="226"/>
    </row>
    <row r="164" spans="2:11" ht="14.25" customHeight="1" x14ac:dyDescent="0.2">
      <c r="B164" s="83"/>
      <c r="D164" s="56"/>
      <c r="E164" s="124" t="str">
        <f>IF($C$4&gt;9,"AP-7 EP-3","")</f>
        <v/>
      </c>
      <c r="F164" s="124" t="str">
        <f>IF($C$4&gt;9,"AP-7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3IajgPixoosUIgCxI11bRCfmQCzCW/o5TqDBgatDMc7ziW0WuIruy4Rul1L1NL20GRoHxHwWaPit/Fq3osbK4g==" saltValue="w5o1I9DBTsQqhia+wnLDWQ==" spinCount="100000" sheet="1" objects="1" scenarios="1"/>
  <conditionalFormatting sqref="E23:F23 E25:F25 E27:F30">
    <cfRule type="notContainsBlanks" dxfId="24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248" priority="4">
      <formula>LEN(TRIM(B26))&gt;0</formula>
    </cfRule>
  </conditionalFormatting>
  <conditionalFormatting sqref="E33">
    <cfRule type="notContainsBlanks" dxfId="247" priority="37">
      <formula>LEN(TRIM(E33))&gt;0</formula>
    </cfRule>
  </conditionalFormatting>
  <conditionalFormatting sqref="B33">
    <cfRule type="notContainsBlanks" dxfId="246" priority="36">
      <formula>LEN(TRIM(B33))&gt;0</formula>
    </cfRule>
  </conditionalFormatting>
  <conditionalFormatting sqref="B36:E36 B35:I35 B37:I37 H36:I36 D39:I39 B38:E38 H38:I38 J34:K35 H40:I40 B42:I47 D41:I41 D40:E40 B39:C40 J38:K46">
    <cfRule type="cellIs" dxfId="245" priority="40" operator="notEqual">
      <formula>$B$35=""</formula>
    </cfRule>
  </conditionalFormatting>
  <conditionalFormatting sqref="E37:G37 B36:B40 E41:G43 E40 E39:G39 E38 E36">
    <cfRule type="notContainsBlanks" dxfId="24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243" priority="28">
      <formula>LEN(TRIM(C36))&gt;0</formula>
    </cfRule>
  </conditionalFormatting>
  <conditionalFormatting sqref="B51:E51 B49:I50 B52:I52 H51:I51 D54:I54 B53:E53 H53:I53 J48:K50 H55:I55 B57:I62 D56:I56 D55:E55 B54:C55 J53:K61">
    <cfRule type="cellIs" dxfId="242" priority="38" operator="notEqual">
      <formula>$B$49=""</formula>
    </cfRule>
  </conditionalFormatting>
  <conditionalFormatting sqref="E52:G52 B51:B55 E56:G58 E55 E54:G54 E53 E51">
    <cfRule type="notContainsBlanks" dxfId="241" priority="32">
      <formula>LEN(TRIM(B51))&gt;0</formula>
    </cfRule>
  </conditionalFormatting>
  <conditionalFormatting sqref="C51:C55">
    <cfRule type="notContainsBlanks" dxfId="240" priority="31">
      <formula>LEN(TRIM(C51))&gt;0</formula>
    </cfRule>
  </conditionalFormatting>
  <conditionalFormatting sqref="B35:C35">
    <cfRule type="notContainsBlanks" dxfId="239" priority="30">
      <formula>LEN(TRIM(B35))&gt;0</formula>
    </cfRule>
  </conditionalFormatting>
  <conditionalFormatting sqref="B49:C49">
    <cfRule type="notContainsBlanks" dxfId="238" priority="29">
      <formula>LEN(TRIM(B49))&gt;0</formula>
    </cfRule>
  </conditionalFormatting>
  <conditionalFormatting sqref="B66:E66 B64:I65 B67:I67 H66:I66 D69:I69 B68:E68 H68:I68 J63:K65 H70:I70 B72:I77 D71:I71 D70:E70 B69:C70 J68:K76">
    <cfRule type="cellIs" dxfId="237" priority="35" operator="notEqual">
      <formula>$B$64=""</formula>
    </cfRule>
  </conditionalFormatting>
  <conditionalFormatting sqref="E67:G67 B66:B70 E71:G73 E70 E69:G69 E68 E66">
    <cfRule type="notContainsBlanks" dxfId="236" priority="27">
      <formula>LEN(TRIM(B66))&gt;0</formula>
    </cfRule>
  </conditionalFormatting>
  <conditionalFormatting sqref="C66:C70">
    <cfRule type="notContainsBlanks" dxfId="235" priority="26">
      <formula>LEN(TRIM(C66))&gt;0</formula>
    </cfRule>
  </conditionalFormatting>
  <conditionalFormatting sqref="B64:C64">
    <cfRule type="notContainsBlanks" dxfId="234" priority="25">
      <formula>LEN(TRIM(B64))&gt;0</formula>
    </cfRule>
  </conditionalFormatting>
  <conditionalFormatting sqref="B81:E81 B79:I80 B82:I82 H81:I81 B83:E83 J78:K80 B87:I92 D86:I86 D85:E85 B84:C85 H83:K83 J86:K91 H85:J85 D84:J84">
    <cfRule type="cellIs" dxfId="233" priority="33" operator="notEqual">
      <formula>$B$79=""</formula>
    </cfRule>
  </conditionalFormatting>
  <conditionalFormatting sqref="E82:G82 B81:B85 E86:G88 E85 E84:G84 E83 E81">
    <cfRule type="notContainsBlanks" dxfId="232" priority="23">
      <formula>LEN(TRIM(B81))&gt;0</formula>
    </cfRule>
  </conditionalFormatting>
  <conditionalFormatting sqref="C81:C85">
    <cfRule type="notContainsBlanks" dxfId="231" priority="22">
      <formula>LEN(TRIM(C81))&gt;0</formula>
    </cfRule>
  </conditionalFormatting>
  <conditionalFormatting sqref="B79:C79">
    <cfRule type="notContainsBlanks" dxfId="230" priority="21">
      <formula>LEN(TRIM(B79))&gt;0</formula>
    </cfRule>
  </conditionalFormatting>
  <conditionalFormatting sqref="B97:E97 B95:I96 B98:I98 H97:I97 D100:I100 B99:E99 H99:I99 J93:K96 H101:I101 B103:I108 D102:I102 D101:E101 B100:C101 J99:K107">
    <cfRule type="cellIs" dxfId="229" priority="24" operator="notEqual">
      <formula>$B$95=""</formula>
    </cfRule>
  </conditionalFormatting>
  <conditionalFormatting sqref="E98:G98 B97:B101 E102:G104 E101 E100:G100 E99 E97">
    <cfRule type="notContainsBlanks" dxfId="228" priority="19">
      <formula>LEN(TRIM(B97))&gt;0</formula>
    </cfRule>
  </conditionalFormatting>
  <conditionalFormatting sqref="C97:C101">
    <cfRule type="notContainsBlanks" dxfId="227" priority="18">
      <formula>LEN(TRIM(C97))&gt;0</formula>
    </cfRule>
  </conditionalFormatting>
  <conditionalFormatting sqref="B95:C95">
    <cfRule type="notContainsBlanks" dxfId="226" priority="17">
      <formula>LEN(TRIM(B95))&gt;0</formula>
    </cfRule>
  </conditionalFormatting>
  <conditionalFormatting sqref="B112:E112 B110:I111 B113:I113 H112:I112 D115:I115 B114:E114 H114:I114 J109:K111 H116:I116 B118:I123 D117:I117 D116:E116 B115:C116 J114:K122">
    <cfRule type="cellIs" dxfId="225" priority="20" operator="notEqual">
      <formula>$B$110=""</formula>
    </cfRule>
  </conditionalFormatting>
  <conditionalFormatting sqref="E113:G113 B112:B116 E117:G119 E116 E115:G115 E114 E112">
    <cfRule type="notContainsBlanks" dxfId="224" priority="15">
      <formula>LEN(TRIM(B112))&gt;0</formula>
    </cfRule>
  </conditionalFormatting>
  <conditionalFormatting sqref="C112:C116">
    <cfRule type="notContainsBlanks" dxfId="223" priority="14">
      <formula>LEN(TRIM(C112))&gt;0</formula>
    </cfRule>
  </conditionalFormatting>
  <conditionalFormatting sqref="B110:C110">
    <cfRule type="notContainsBlanks" dxfId="222" priority="13">
      <formula>LEN(TRIM(B110))&gt;0</formula>
    </cfRule>
  </conditionalFormatting>
  <conditionalFormatting sqref="B127:E127 B125:I126 B128:I128 H127:I127 D130:I130 B129:E129 H129:I129 J124:K126 H131:I131 B133:I138 D132:I132 D131:E131 B130:C131 J129:K137">
    <cfRule type="cellIs" dxfId="221" priority="16" operator="notEqual">
      <formula>$B$125=""</formula>
    </cfRule>
  </conditionalFormatting>
  <conditionalFormatting sqref="E128:G128 B127:B131 E132:G134 E131 E130:G130 E129 E127">
    <cfRule type="notContainsBlanks" dxfId="220" priority="11">
      <formula>LEN(TRIM(B127))&gt;0</formula>
    </cfRule>
  </conditionalFormatting>
  <conditionalFormatting sqref="C127:C131">
    <cfRule type="notContainsBlanks" dxfId="219" priority="10">
      <formula>LEN(TRIM(C127))&gt;0</formula>
    </cfRule>
  </conditionalFormatting>
  <conditionalFormatting sqref="B125:C125">
    <cfRule type="notContainsBlanks" dxfId="218" priority="9">
      <formula>LEN(TRIM(B125))&gt;0</formula>
    </cfRule>
  </conditionalFormatting>
  <conditionalFormatting sqref="B142:E142 B140:I141 B143:I143 H142:I142 D145:I145 B144:E144 H144:I144 J139:K141 H146:I146 B148:I153 D147:I147 D146:E146 B145:C146 J144:K152">
    <cfRule type="cellIs" dxfId="217" priority="12" operator="notEqual">
      <formula>$B$140=""</formula>
    </cfRule>
  </conditionalFormatting>
  <conditionalFormatting sqref="E143:G143 B142:B146 E147:G149 E146 E145:G145 E144 E142">
    <cfRule type="notContainsBlanks" dxfId="216" priority="7">
      <formula>LEN(TRIM(B142))&gt;0</formula>
    </cfRule>
  </conditionalFormatting>
  <conditionalFormatting sqref="C142:C146">
    <cfRule type="notContainsBlanks" dxfId="215" priority="6">
      <formula>LEN(TRIM(C142))&gt;0</formula>
    </cfRule>
  </conditionalFormatting>
  <conditionalFormatting sqref="B140:C140">
    <cfRule type="notContainsBlanks" dxfId="214" priority="5">
      <formula>LEN(TRIM(B140))&gt;0</formula>
    </cfRule>
  </conditionalFormatting>
  <conditionalFormatting sqref="B157:E157 B155:I156 B158:I158 H157:I157 D160:I160 B159:E159 H159:I159 J154:K156 H161:I161 B163:I168 D162:I162 D161:E161 B160:C161 J159:K167">
    <cfRule type="cellIs" dxfId="213" priority="8" operator="notEqual">
      <formula>$B$155=""</formula>
    </cfRule>
  </conditionalFormatting>
  <conditionalFormatting sqref="E158:G158 B157:B161 E162:G164 E161 E160:G160 E159 E157">
    <cfRule type="notContainsBlanks" dxfId="212" priority="3">
      <formula>LEN(TRIM(B157))&gt;0</formula>
    </cfRule>
  </conditionalFormatting>
  <conditionalFormatting sqref="C157:C161">
    <cfRule type="notContainsBlanks" dxfId="211" priority="2">
      <formula>LEN(TRIM(C157))&gt;0</formula>
    </cfRule>
  </conditionalFormatting>
  <conditionalFormatting sqref="B155:C155">
    <cfRule type="notContainsBlanks" dxfId="210" priority="1">
      <formula>LEN(TRIM(B155))&gt;0</formula>
    </cfRule>
  </conditionalFormatting>
  <dataValidations count="4">
    <dataValidation type="list" allowBlank="1" showInputMessage="1" showErrorMessage="1" sqref="C26 C40 C55 C70 C85 C101 C116 C131 C146 C161" xr:uid="{00000000-0002-0000-0700-000000000000}">
      <formula1>CHECK</formula1>
    </dataValidation>
    <dataValidation type="list" allowBlank="1" showInputMessage="1" showErrorMessage="1" sqref="C25 A13 A15 C39 C54 C69 C84 C100 C115 C130 C145 C160" xr:uid="{00000000-0002-0000-0700-000001000000}">
      <formula1>Fuel</formula1>
    </dataValidation>
    <dataValidation type="list" allowBlank="1" showInputMessage="1" showErrorMessage="1" sqref="C5" xr:uid="{00000000-0002-0000-0700-000002000000}">
      <formula1>PlantType</formula1>
    </dataValidation>
    <dataValidation type="whole" allowBlank="1" showInputMessage="1" showErrorMessage="1" sqref="C19 C4 D6" xr:uid="{00000000-0002-0000-07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281</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8.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8"/>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9"/>
      <c r="D14" s="36"/>
      <c r="E14" s="69" t="s">
        <v>26</v>
      </c>
      <c r="F14" s="148"/>
      <c r="G14" s="148"/>
      <c r="M14" s="78"/>
      <c r="N14" s="214" t="s">
        <v>273</v>
      </c>
      <c r="O14" s="251" t="s">
        <v>152</v>
      </c>
      <c r="P14" s="251"/>
    </row>
    <row r="15" spans="1:20" ht="14.25" customHeight="1" x14ac:dyDescent="0.25">
      <c r="A15" s="78" t="s">
        <v>201</v>
      </c>
      <c r="B15" s="319" t="s">
        <v>318</v>
      </c>
      <c r="C15" s="319"/>
      <c r="D15" s="36"/>
      <c r="E15" s="69" t="s">
        <v>5</v>
      </c>
      <c r="F15" s="148"/>
      <c r="G15" s="148"/>
      <c r="M15" s="95" t="s">
        <v>39</v>
      </c>
      <c r="N15" s="212">
        <f>SUM(G33,G47,G62,G77,G92,G108,G123,G138,G153,G168,)</f>
        <v>0</v>
      </c>
      <c r="O15" s="258">
        <f>SUM(H33*I33,H47*I47,H62*I62,H77*I77,H92*I92,H108*I108,H123*I123,H138*I138,H153*I153,H168*I168)</f>
        <v>0</v>
      </c>
      <c r="P15" s="13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8.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IF($C$4&gt;0,"AP-8 EP-1","")</f>
        <v/>
      </c>
      <c r="F23" s="124" t="str">
        <f>IF($C$4&gt;0,"AP-8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IF($C$4&gt;0,"AP-8 EP-2","")</f>
        <v/>
      </c>
      <c r="F25" s="124" t="str">
        <f>IF($C$4&gt;0,"AP-8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IF($C$4&gt;0,"AP-8 EP-3","")</f>
        <v/>
      </c>
      <c r="F27" s="124" t="str">
        <f>IF($C$4&gt;0,"AP-8 EU-3","")</f>
        <v/>
      </c>
      <c r="G27" s="222" t="str">
        <f>IF(C5="","","Silo Filling")</f>
        <v/>
      </c>
      <c r="H27" s="72"/>
      <c r="I27" s="144"/>
      <c r="J27" s="226"/>
      <c r="K27" s="226"/>
      <c r="M27" s="94" t="s">
        <v>16</v>
      </c>
      <c r="Q27" s="172"/>
    </row>
    <row r="28" spans="1:20" ht="14.25" customHeight="1" x14ac:dyDescent="0.2">
      <c r="A28" s="155"/>
      <c r="B28" s="83"/>
      <c r="D28" s="56"/>
      <c r="E28" s="124" t="str">
        <f>IF($C$4&gt;0,"AP-8 EP-3","")</f>
        <v/>
      </c>
      <c r="F28" s="124" t="str">
        <f>IF($C$4&gt;0,"AP-8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IF($C$4&gt;0,"AP-8 EP-3","")</f>
        <v/>
      </c>
      <c r="F29" s="124" t="str">
        <f>IF($C$4&gt;0,"AP-8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7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IF(C39="","","AP-8 EP-1")</f>
        <v/>
      </c>
      <c r="F37" s="124" t="str">
        <f>IF(C39="","","AP-8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IF(C39="","","AP-8 EP-2")</f>
        <v/>
      </c>
      <c r="F39" s="124" t="str">
        <f>IF(C39="","","AP-8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IF($C$4&gt;1,"AP-8 EP-3","")</f>
        <v/>
      </c>
      <c r="F41" s="124" t="str">
        <f>IF($C$4&gt;1,"AP-8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IF($C$4&gt;1,"AP-8 EP-3","")</f>
        <v/>
      </c>
      <c r="F42" s="124" t="str">
        <f>IF($C$4&gt;1,"AP-8 EU-4","")</f>
        <v/>
      </c>
      <c r="G42" s="222" t="str">
        <f>IF($C$4&gt;1,"Truck Loadout","")</f>
        <v/>
      </c>
      <c r="H42" s="72"/>
      <c r="I42" s="144"/>
      <c r="J42" s="226"/>
      <c r="K42" s="226"/>
      <c r="M42" s="94" t="s">
        <v>26</v>
      </c>
      <c r="T42" s="171"/>
    </row>
    <row r="43" spans="1:20" ht="14.25" customHeight="1" x14ac:dyDescent="0.2">
      <c r="B43" s="83"/>
      <c r="D43" s="56"/>
      <c r="E43" s="124" t="str">
        <f>IF($C$4&gt;1,"AP-8 EP-3","")</f>
        <v/>
      </c>
      <c r="F43" s="124" t="str">
        <f>IF($C$4&gt;1,"AP-8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9.2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IF(C54="","","AP-8 EP-1")</f>
        <v/>
      </c>
      <c r="F52" s="124" t="str">
        <f>IF(C54="","","AP-8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IF(C54="","","AP-8 EP-2")</f>
        <v/>
      </c>
      <c r="F54" s="124" t="str">
        <f>IF(C54="","","AP-8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IF($C$4&gt;2,"AP-8 EP-3","")</f>
        <v/>
      </c>
      <c r="F56" s="124" t="str">
        <f>IF($C$4&gt;2,"AP-8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IF($C$4&gt;2,"AP-8 EP-3","")</f>
        <v/>
      </c>
      <c r="F57" s="124" t="str">
        <f>IF($C$4&gt;2,"AP-8 EU-4","")</f>
        <v/>
      </c>
      <c r="G57" s="222" t="str">
        <f>IF($C$4&gt;2,"Truck Loadout","")</f>
        <v/>
      </c>
      <c r="H57" s="72"/>
      <c r="I57" s="144"/>
      <c r="J57" s="226"/>
      <c r="K57" s="226"/>
      <c r="M57" s="94" t="s">
        <v>212</v>
      </c>
      <c r="T57" s="171"/>
    </row>
    <row r="58" spans="2:20" ht="14.25" customHeight="1" x14ac:dyDescent="0.2">
      <c r="B58" s="83"/>
      <c r="D58" s="56"/>
      <c r="E58" s="124" t="str">
        <f>IF($C$4&gt;2,"AP-8 EP-3","")</f>
        <v/>
      </c>
      <c r="F58" s="124" t="str">
        <f>IF($C$4&gt;2,"AP-8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7.7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IF(C69="","","AP-8 EP-1")</f>
        <v/>
      </c>
      <c r="F67" s="124" t="str">
        <f>IF(C69="","","AP-8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IF(C69="","","AP-8 EP-2")</f>
        <v/>
      </c>
      <c r="F69" s="124" t="str">
        <f>IF(C69="","","AP-8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IF($C$4&gt;3,"AP-8 EP-3","")</f>
        <v/>
      </c>
      <c r="F71" s="124" t="str">
        <f>IF($C$4&gt;3,"AP-8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IF($C$4&gt;3,"AP-8 EP-3","")</f>
        <v/>
      </c>
      <c r="F72" s="124" t="str">
        <f>IF($C$4&gt;3,"AP-8 EU-4","")</f>
        <v/>
      </c>
      <c r="G72" s="222" t="str">
        <f>IF($C$4&gt;3,"Truck Loadout","")</f>
        <v/>
      </c>
      <c r="H72" s="72"/>
      <c r="I72" s="144"/>
      <c r="J72" s="226"/>
      <c r="K72" s="226"/>
      <c r="M72" s="94" t="s">
        <v>217</v>
      </c>
      <c r="T72" s="171"/>
    </row>
    <row r="73" spans="2:20" ht="14.25" customHeight="1" x14ac:dyDescent="0.2">
      <c r="B73" s="83"/>
      <c r="D73" s="56"/>
      <c r="E73" s="124" t="str">
        <f>IF($C$4&gt;3,"AP-8 EP-3","")</f>
        <v/>
      </c>
      <c r="F73" s="124" t="str">
        <f>IF($C$4&gt;3,"AP-8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7.7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IF(C84="","","AP-8 EP-1")</f>
        <v/>
      </c>
      <c r="F82" s="124" t="str">
        <f>IF(C84="","","AP-8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IF(C84="","","AP-8 EP-2")</f>
        <v/>
      </c>
      <c r="F84" s="124" t="str">
        <f>IF(C84="","","AP-8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IF($C$4&gt;4,"AP-8 EP-3","")</f>
        <v/>
      </c>
      <c r="F86" s="124" t="str">
        <f>IF($C$4&gt;4,"AP-8 EU-3","")</f>
        <v/>
      </c>
      <c r="G86" s="222" t="str">
        <f>IF($C$4&gt;4,"Silo Filling","")</f>
        <v/>
      </c>
      <c r="H86" s="72"/>
      <c r="I86" s="144"/>
      <c r="J86" s="226"/>
      <c r="K86" s="226"/>
      <c r="M86" s="94" t="s">
        <v>224</v>
      </c>
      <c r="T86" s="171"/>
    </row>
    <row r="87" spans="2:20" ht="14.25" customHeight="1" x14ac:dyDescent="0.2">
      <c r="B87" s="83"/>
      <c r="D87" s="56"/>
      <c r="E87" s="124" t="str">
        <f>IF($C$4&gt;4,"AP-8 EP-3","")</f>
        <v/>
      </c>
      <c r="F87" s="124" t="str">
        <f>IF($C$4&gt;4,"AP-8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IF($C$4&gt;4,"AP-8 EP-3","")</f>
        <v/>
      </c>
      <c r="F88" s="124" t="str">
        <f>IF($C$4&gt;4,"AP-8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30.75" customHeight="1" x14ac:dyDescent="0.2">
      <c r="J94" s="161"/>
      <c r="K94" s="161"/>
      <c r="M94" s="322"/>
      <c r="N94" s="323"/>
      <c r="O94" s="324"/>
      <c r="P94" s="125"/>
      <c r="Q94" s="210"/>
      <c r="R94" s="210"/>
      <c r="S94" s="210"/>
      <c r="T94" s="210"/>
    </row>
    <row r="95" spans="2:20" ht="27.7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IF(C100="","","AP-8 EP-1")</f>
        <v/>
      </c>
      <c r="F98" s="124" t="str">
        <f>IF(C100="","","AP-8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231" t="str">
        <f>IF($C$4&gt;5,IF(C100="natural gas","(MMCF/hr)","(gallons/hr)"),"")</f>
        <v/>
      </c>
      <c r="I99" s="231" t="str">
        <f>IF($C$4&gt;5,IF(C100="natural gas","(MMCF/yr)","(gallons/yr)"),"")</f>
        <v/>
      </c>
      <c r="J99" s="225"/>
      <c r="K99" s="225"/>
    </row>
    <row r="100" spans="2:11" ht="14.25" customHeight="1" x14ac:dyDescent="0.2">
      <c r="B100" s="82" t="str">
        <f>IF($C$4&gt;5,"Type of Fuel Used:","")</f>
        <v/>
      </c>
      <c r="C100" s="230"/>
      <c r="D100" s="56"/>
      <c r="E100" s="124" t="str">
        <f>IF(C100="","","AP-8 EP-2")</f>
        <v/>
      </c>
      <c r="F100" s="124" t="str">
        <f>IF(C100="","","AP-8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IF($C$4&gt;5,"AP-8 EP-3","")</f>
        <v/>
      </c>
      <c r="F102" s="124" t="str">
        <f>IF($C$4&gt;5,"AP-8 EU-3","")</f>
        <v/>
      </c>
      <c r="G102" s="222" t="str">
        <f>IF($C$4&gt;5,"Silo Filling","")</f>
        <v/>
      </c>
      <c r="H102" s="72"/>
      <c r="I102" s="144"/>
      <c r="J102" s="226"/>
      <c r="K102" s="226"/>
    </row>
    <row r="103" spans="2:11" ht="14.25" customHeight="1" x14ac:dyDescent="0.2">
      <c r="B103" s="83"/>
      <c r="D103" s="56"/>
      <c r="E103" s="124" t="str">
        <f>IF($C$4&gt;5,"AP-8 EP-3","")</f>
        <v/>
      </c>
      <c r="F103" s="124" t="str">
        <f>IF($C$4&gt;5,"AP-8 EU-4","")</f>
        <v/>
      </c>
      <c r="G103" s="222" t="str">
        <f>IF($C$4&gt;5,"Truck Loadout","")</f>
        <v/>
      </c>
      <c r="H103" s="72"/>
      <c r="I103" s="144"/>
      <c r="J103" s="226"/>
      <c r="K103" s="226"/>
    </row>
    <row r="104" spans="2:11" ht="14.25" customHeight="1" x14ac:dyDescent="0.2">
      <c r="B104" s="83"/>
      <c r="D104" s="56"/>
      <c r="E104" s="124" t="str">
        <f>IF($C$4&gt;5,"AP-8 EP-3","")</f>
        <v/>
      </c>
      <c r="F104" s="124" t="str">
        <f>IF($C$4&gt;5,"AP-8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4" customHeight="1" x14ac:dyDescent="0.2">
      <c r="J109" s="161"/>
      <c r="K109" s="161"/>
    </row>
    <row r="110" spans="2:11" ht="27.7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IF(C115="","","AP-8 EP-1")</f>
        <v/>
      </c>
      <c r="F113" s="124" t="str">
        <f>IF(C115="","","AP-8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IF(C115="","","AP-8 EP-2")</f>
        <v/>
      </c>
      <c r="F115" s="124" t="str">
        <f>IF(C115="","","AP-8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IF($C$4&gt;6,"AP-8 EP-3","")</f>
        <v/>
      </c>
      <c r="F117" s="124" t="str">
        <f>IF($C$4&gt;6,"AP-8 EU-3","")</f>
        <v/>
      </c>
      <c r="G117" s="222" t="str">
        <f>IF($C$4&gt;6,"Silo Filling","")</f>
        <v/>
      </c>
      <c r="H117" s="72"/>
      <c r="I117" s="144"/>
      <c r="J117" s="226"/>
      <c r="K117" s="226"/>
    </row>
    <row r="118" spans="2:11" ht="14.25" customHeight="1" x14ac:dyDescent="0.2">
      <c r="B118" s="83"/>
      <c r="D118" s="56"/>
      <c r="E118" s="124" t="str">
        <f>IF($C$4&gt;6,"AP-8 EP-3","")</f>
        <v/>
      </c>
      <c r="F118" s="124" t="str">
        <f>IF($C$4&gt;6,"AP-8 EU-4","")</f>
        <v/>
      </c>
      <c r="G118" s="222" t="str">
        <f>IF($C$4&gt;6,"Truck Loadout","")</f>
        <v/>
      </c>
      <c r="H118" s="72"/>
      <c r="I118" s="144"/>
      <c r="J118" s="226"/>
      <c r="K118" s="226"/>
    </row>
    <row r="119" spans="2:11" ht="14.25" customHeight="1" x14ac:dyDescent="0.2">
      <c r="B119" s="83"/>
      <c r="D119" s="56"/>
      <c r="E119" s="124" t="str">
        <f>IF($C$4&gt;6,"AP-8 EP-3","")</f>
        <v/>
      </c>
      <c r="F119" s="124" t="str">
        <f>IF($C$4&gt;6,"AP-8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9.25" customHeight="1" x14ac:dyDescent="0.2">
      <c r="J124" s="161"/>
      <c r="K124" s="161"/>
    </row>
    <row r="125" spans="2:11" ht="28.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IF(C130="","","AP-8 EP-1")</f>
        <v/>
      </c>
      <c r="F128" s="124" t="str">
        <f>IF(C130="","","AP-8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IF(C130="","","AP-8 EP-2")</f>
        <v/>
      </c>
      <c r="F130" s="124" t="str">
        <f>IF(C130="","","AP-8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IF($C$4&gt;7,"AP-8 EP-3","")</f>
        <v/>
      </c>
      <c r="F132" s="124" t="str">
        <f>IF($C$4&gt;7,"AP-8 EU-3","")</f>
        <v/>
      </c>
      <c r="G132" s="222" t="str">
        <f>IF($C$4&gt;7,"Silo Filling","")</f>
        <v/>
      </c>
      <c r="H132" s="72"/>
      <c r="I132" s="144"/>
      <c r="J132" s="226"/>
      <c r="K132" s="226"/>
    </row>
    <row r="133" spans="2:11" ht="14.25" customHeight="1" x14ac:dyDescent="0.2">
      <c r="B133" s="83"/>
      <c r="D133" s="56"/>
      <c r="E133" s="124" t="str">
        <f>IF($C$4&gt;7,"AP-8 EP-3","")</f>
        <v/>
      </c>
      <c r="F133" s="124" t="str">
        <f>IF($C$4&gt;7,"AP-8 EU-4","")</f>
        <v/>
      </c>
      <c r="G133" s="222" t="str">
        <f>IF($C$4&gt;7,"Truck Loadout","")</f>
        <v/>
      </c>
      <c r="H133" s="72"/>
      <c r="I133" s="144"/>
      <c r="J133" s="226"/>
      <c r="K133" s="226"/>
    </row>
    <row r="134" spans="2:11" ht="14.25" customHeight="1" x14ac:dyDescent="0.2">
      <c r="B134" s="83"/>
      <c r="D134" s="56"/>
      <c r="E134" s="124" t="str">
        <f>IF($C$4&gt;7,"AP-8 EP-3","")</f>
        <v/>
      </c>
      <c r="F134" s="124" t="str">
        <f>IF($C$4&gt;7,"AP-8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7" customHeight="1" x14ac:dyDescent="0.2">
      <c r="J139" s="161"/>
      <c r="K139" s="161"/>
    </row>
    <row r="140" spans="2:11" ht="29.2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IF(C145="","","AP-8 EP-1")</f>
        <v/>
      </c>
      <c r="F143" s="124" t="str">
        <f>IF(C145="","","AP-8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IF(C145="","","AP-8 EP-2")</f>
        <v/>
      </c>
      <c r="F145" s="124" t="str">
        <f>IF(C145="","","AP-8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IF($C$4&gt;8,"AP-8 EP-3","")</f>
        <v/>
      </c>
      <c r="F147" s="124" t="str">
        <f>IF($C$4&gt;8,"AP-8 EU-3","")</f>
        <v/>
      </c>
      <c r="G147" s="222" t="str">
        <f>IF($C$4&gt;8,"Silo Filling","")</f>
        <v/>
      </c>
      <c r="H147" s="72"/>
      <c r="I147" s="144"/>
      <c r="J147" s="226"/>
      <c r="K147" s="226"/>
    </row>
    <row r="148" spans="2:11" ht="14.25" customHeight="1" x14ac:dyDescent="0.2">
      <c r="B148" s="83"/>
      <c r="D148" s="56"/>
      <c r="E148" s="124" t="str">
        <f>IF($C$4&gt;8,"AP-8 EP-3","")</f>
        <v/>
      </c>
      <c r="F148" s="124" t="str">
        <f>IF($C$4&gt;8,"AP-8 EU-4","")</f>
        <v/>
      </c>
      <c r="G148" s="222" t="str">
        <f>IF($C$4&gt;8,"Truck Loadout","")</f>
        <v/>
      </c>
      <c r="H148" s="72"/>
      <c r="I148" s="144"/>
      <c r="J148" s="226"/>
      <c r="K148" s="226"/>
    </row>
    <row r="149" spans="2:11" ht="14.25" customHeight="1" x14ac:dyDescent="0.2">
      <c r="B149" s="83"/>
      <c r="D149" s="56"/>
      <c r="E149" s="124" t="str">
        <f>IF($C$4&gt;8,"AP-8 EP-3","")</f>
        <v/>
      </c>
      <c r="F149" s="124" t="str">
        <f>IF($C$4&gt;8,"AP-8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F154" s="232"/>
      <c r="G154" s="232"/>
      <c r="H154" s="232"/>
      <c r="I154" s="232"/>
      <c r="J154" s="161"/>
      <c r="K154" s="161"/>
    </row>
    <row r="155" spans="2:11" ht="29.2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IF(C160="","","AP-8 EP-1")</f>
        <v/>
      </c>
      <c r="F158" s="124" t="str">
        <f>IF(C160="","","AP-8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IF(C160="","","AP-8 EP-2")</f>
        <v/>
      </c>
      <c r="F160" s="124" t="str">
        <f>IF(C160="","","AP-8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IF($C$4&gt;9,"AP-8 EP-3","")</f>
        <v/>
      </c>
      <c r="F162" s="124" t="str">
        <f>IF($C$4&gt;9,"AP-8 EU-3","")</f>
        <v/>
      </c>
      <c r="G162" s="222" t="str">
        <f>IF($C$4&gt;9,"Silo Filling","")</f>
        <v/>
      </c>
      <c r="H162" s="72"/>
      <c r="I162" s="144"/>
      <c r="J162" s="226"/>
      <c r="K162" s="226"/>
    </row>
    <row r="163" spans="2:11" ht="14.25" customHeight="1" x14ac:dyDescent="0.2">
      <c r="B163" s="83"/>
      <c r="D163" s="56"/>
      <c r="E163" s="124" t="str">
        <f>IF($C$4&gt;9,"AP-8 EP-3","")</f>
        <v/>
      </c>
      <c r="F163" s="124" t="str">
        <f>IF($C$4&gt;9,"AP-8 EU-4","")</f>
        <v/>
      </c>
      <c r="G163" s="222" t="str">
        <f>IF($C$4&gt;9,"Truck Loadout","")</f>
        <v/>
      </c>
      <c r="H163" s="72"/>
      <c r="I163" s="144"/>
      <c r="J163" s="226"/>
      <c r="K163" s="226"/>
    </row>
    <row r="164" spans="2:11" ht="14.25" customHeight="1" x14ac:dyDescent="0.2">
      <c r="B164" s="83"/>
      <c r="D164" s="56"/>
      <c r="E164" s="124" t="str">
        <f>IF($C$4&gt;9,"AP-8 EP-3","")</f>
        <v/>
      </c>
      <c r="F164" s="124" t="str">
        <f>IF($C$4&gt;9,"AP-8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Aeazn7IfvrFB7cCYZyXb5Tz1xqEKa8SAXwVCZ7pmW7vbLU7VVVsi2Lc2F+KfjbzHv4Wsusu1+NjWMbiMjD3DBw==" saltValue="DIOV1KzmQMhSeKxmNBS6kQ==" spinCount="100000" sheet="1" objects="1" scenarios="1"/>
  <conditionalFormatting sqref="E23:F23 E25:F25 E27:F30">
    <cfRule type="notContainsBlanks" dxfId="20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208" priority="4">
      <formula>LEN(TRIM(B26))&gt;0</formula>
    </cfRule>
  </conditionalFormatting>
  <conditionalFormatting sqref="E33">
    <cfRule type="notContainsBlanks" dxfId="207" priority="37">
      <formula>LEN(TRIM(E33))&gt;0</formula>
    </cfRule>
  </conditionalFormatting>
  <conditionalFormatting sqref="B33">
    <cfRule type="notContainsBlanks" dxfId="206" priority="36">
      <formula>LEN(TRIM(B33))&gt;0</formula>
    </cfRule>
  </conditionalFormatting>
  <conditionalFormatting sqref="B36:E36 B35:I35 B37:I37 H36:I36 D39:I39 B38:E38 H38:I38 J34:K35 H40:I40 B42:I47 D41:I41 D40:E40 B39:C40 J38:K46">
    <cfRule type="cellIs" dxfId="205" priority="40" operator="notEqual">
      <formula>$B$35=""</formula>
    </cfRule>
  </conditionalFormatting>
  <conditionalFormatting sqref="E36:G43 B36:B40">
    <cfRule type="notContainsBlanks" dxfId="20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203" priority="28">
      <formula>LEN(TRIM(C36))&gt;0</formula>
    </cfRule>
  </conditionalFormatting>
  <conditionalFormatting sqref="B51:E51 B49:I50 B52:I52 H51:I51 D54:I54 B53:E53 H53:I53 J48:K50 H55:I55 B57:I62 D56:I56 D55:E55 B54:C55 J53:K61">
    <cfRule type="cellIs" dxfId="202" priority="38" operator="notEqual">
      <formula>$B$49=""</formula>
    </cfRule>
  </conditionalFormatting>
  <conditionalFormatting sqref="E51:G58 B51:B55">
    <cfRule type="notContainsBlanks" dxfId="201" priority="32">
      <formula>LEN(TRIM(B51))&gt;0</formula>
    </cfRule>
  </conditionalFormatting>
  <conditionalFormatting sqref="C51:C55">
    <cfRule type="notContainsBlanks" dxfId="200" priority="31">
      <formula>LEN(TRIM(C51))&gt;0</formula>
    </cfRule>
  </conditionalFormatting>
  <conditionalFormatting sqref="B35:C35">
    <cfRule type="notContainsBlanks" dxfId="199" priority="30">
      <formula>LEN(TRIM(B35))&gt;0</formula>
    </cfRule>
  </conditionalFormatting>
  <conditionalFormatting sqref="B49:C49">
    <cfRule type="notContainsBlanks" dxfId="198" priority="29">
      <formula>LEN(TRIM(B49))&gt;0</formula>
    </cfRule>
  </conditionalFormatting>
  <conditionalFormatting sqref="B66:E66 B64:I65 B67:I67 H66:I66 D69:I69 B68:E68 H68:I68 J63:K65 H70:I70 B72:I77 D71:I71 D70:E70 B69:C70 J68:K76">
    <cfRule type="cellIs" dxfId="197" priority="35" operator="notEqual">
      <formula>$B$64=""</formula>
    </cfRule>
  </conditionalFormatting>
  <conditionalFormatting sqref="E66:G73 B66:B70">
    <cfRule type="notContainsBlanks" dxfId="196" priority="27">
      <formula>LEN(TRIM(B66))&gt;0</formula>
    </cfRule>
  </conditionalFormatting>
  <conditionalFormatting sqref="C66:C70">
    <cfRule type="notContainsBlanks" dxfId="195" priority="26">
      <formula>LEN(TRIM(C66))&gt;0</formula>
    </cfRule>
  </conditionalFormatting>
  <conditionalFormatting sqref="B64:C64">
    <cfRule type="notContainsBlanks" dxfId="194" priority="25">
      <formula>LEN(TRIM(B64))&gt;0</formula>
    </cfRule>
  </conditionalFormatting>
  <conditionalFormatting sqref="B81:E81 B79:I80 B82:I82 H81:I81 B83:E83 J78:K80 B87:I92 D86:I86 D85:E85 B84:C85 H83:K83 J86:K91 H85:J85 D84:J84">
    <cfRule type="cellIs" dxfId="193" priority="33" operator="notEqual">
      <formula>$B$79=""</formula>
    </cfRule>
  </conditionalFormatting>
  <conditionalFormatting sqref="E81:G88 B81:B85">
    <cfRule type="notContainsBlanks" dxfId="192" priority="23">
      <formula>LEN(TRIM(B81))&gt;0</formula>
    </cfRule>
  </conditionalFormatting>
  <conditionalFormatting sqref="C81:C85">
    <cfRule type="notContainsBlanks" dxfId="191" priority="22">
      <formula>LEN(TRIM(C81))&gt;0</formula>
    </cfRule>
  </conditionalFormatting>
  <conditionalFormatting sqref="B79:C79">
    <cfRule type="notContainsBlanks" dxfId="190" priority="21">
      <formula>LEN(TRIM(B79))&gt;0</formula>
    </cfRule>
  </conditionalFormatting>
  <conditionalFormatting sqref="B97:E97 B95:I96 B98:I98 H97:I97 D100:I100 B99:E99 H99:I99 J93:K96 H101:I101 B103:I108 D102:I102 D101:E101 B100:C101 J99:K107">
    <cfRule type="cellIs" dxfId="189" priority="24" operator="notEqual">
      <formula>$B$95=""</formula>
    </cfRule>
  </conditionalFormatting>
  <conditionalFormatting sqref="E97:G104 B97:B101">
    <cfRule type="notContainsBlanks" dxfId="188" priority="19">
      <formula>LEN(TRIM(B97))&gt;0</formula>
    </cfRule>
  </conditionalFormatting>
  <conditionalFormatting sqref="C97:C101">
    <cfRule type="notContainsBlanks" dxfId="187" priority="18">
      <formula>LEN(TRIM(C97))&gt;0</formula>
    </cfRule>
  </conditionalFormatting>
  <conditionalFormatting sqref="B95:C95">
    <cfRule type="notContainsBlanks" dxfId="186" priority="17">
      <formula>LEN(TRIM(B95))&gt;0</formula>
    </cfRule>
  </conditionalFormatting>
  <conditionalFormatting sqref="B112:E112 B110:I111 B113:I113 H112:I112 D115:I115 B114:E114 H114:I114 J109:K111 H116:I116 B118:I123 D117:I117 D116:E116 B115:C116 J114:K122">
    <cfRule type="cellIs" dxfId="185" priority="20" operator="notEqual">
      <formula>$B$110=""</formula>
    </cfRule>
  </conditionalFormatting>
  <conditionalFormatting sqref="E112:G119 B112:B116">
    <cfRule type="notContainsBlanks" dxfId="184" priority="15">
      <formula>LEN(TRIM(B112))&gt;0</formula>
    </cfRule>
  </conditionalFormatting>
  <conditionalFormatting sqref="C112:C116">
    <cfRule type="notContainsBlanks" dxfId="183" priority="14">
      <formula>LEN(TRIM(C112))&gt;0</formula>
    </cfRule>
  </conditionalFormatting>
  <conditionalFormatting sqref="B110:C110">
    <cfRule type="notContainsBlanks" dxfId="182" priority="13">
      <formula>LEN(TRIM(B110))&gt;0</formula>
    </cfRule>
  </conditionalFormatting>
  <conditionalFormatting sqref="B127:E127 B125:I126 B128:I128 H127:I127 D130:I130 B129:E129 H129:I129 J124:K126 H131:I131 B133:I138 D132:I132 D131:E131 B130:C131 J129:K137">
    <cfRule type="cellIs" dxfId="181" priority="16" operator="notEqual">
      <formula>$B$125=""</formula>
    </cfRule>
  </conditionalFormatting>
  <conditionalFormatting sqref="E127:G134 B127:B131">
    <cfRule type="notContainsBlanks" dxfId="180" priority="11">
      <formula>LEN(TRIM(B127))&gt;0</formula>
    </cfRule>
  </conditionalFormatting>
  <conditionalFormatting sqref="C127:C131">
    <cfRule type="notContainsBlanks" dxfId="179" priority="10">
      <formula>LEN(TRIM(C127))&gt;0</formula>
    </cfRule>
  </conditionalFormatting>
  <conditionalFormatting sqref="B125:C125">
    <cfRule type="notContainsBlanks" dxfId="178" priority="9">
      <formula>LEN(TRIM(B125))&gt;0</formula>
    </cfRule>
  </conditionalFormatting>
  <conditionalFormatting sqref="B142:E142 B140:I141 B143:I143 H142:I142 D145:I145 B144:E144 H144:I144 J139:K141 H146:I146 B148:I153 D147:I147 D146:E146 B145:C146 J144:K152">
    <cfRule type="cellIs" dxfId="177" priority="12" operator="notEqual">
      <formula>$B$140=""</formula>
    </cfRule>
  </conditionalFormatting>
  <conditionalFormatting sqref="E142:G149 B142:B146">
    <cfRule type="notContainsBlanks" dxfId="176" priority="7">
      <formula>LEN(TRIM(B142))&gt;0</formula>
    </cfRule>
  </conditionalFormatting>
  <conditionalFormatting sqref="C142:C146">
    <cfRule type="notContainsBlanks" dxfId="175" priority="6">
      <formula>LEN(TRIM(C142))&gt;0</formula>
    </cfRule>
  </conditionalFormatting>
  <conditionalFormatting sqref="B140:C140">
    <cfRule type="notContainsBlanks" dxfId="174" priority="5">
      <formula>LEN(TRIM(B140))&gt;0</formula>
    </cfRule>
  </conditionalFormatting>
  <conditionalFormatting sqref="B157:E157 B155:I156 B158:I158 H157:I157 D160:I160 B159:E159 H159:I159 J154:K156 H161:I161 B163:I168 D162:I162 D161:E161 B160:C161 J159:K167">
    <cfRule type="cellIs" dxfId="173" priority="8" operator="notEqual">
      <formula>$B$155=""</formula>
    </cfRule>
  </conditionalFormatting>
  <conditionalFormatting sqref="E157:G164 B157:B161">
    <cfRule type="notContainsBlanks" dxfId="172" priority="3">
      <formula>LEN(TRIM(B157))&gt;0</formula>
    </cfRule>
  </conditionalFormatting>
  <conditionalFormatting sqref="C157:C161">
    <cfRule type="notContainsBlanks" dxfId="171" priority="2">
      <formula>LEN(TRIM(C157))&gt;0</formula>
    </cfRule>
  </conditionalFormatting>
  <conditionalFormatting sqref="B155:C155">
    <cfRule type="notContainsBlanks" dxfId="170" priority="1">
      <formula>LEN(TRIM(B155))&gt;0</formula>
    </cfRule>
  </conditionalFormatting>
  <dataValidations count="4">
    <dataValidation type="list" allowBlank="1" showInputMessage="1" showErrorMessage="1" sqref="C26 C40 C55 C70 C85 C101 C116 C131 C146 C161" xr:uid="{00000000-0002-0000-0800-000000000000}">
      <formula1>CHECK</formula1>
    </dataValidation>
    <dataValidation type="list" allowBlank="1" showInputMessage="1" showErrorMessage="1" sqref="C25 A13 A15 C39 C54 C69 C84 C100 C115 C130 C145 C160" xr:uid="{00000000-0002-0000-0800-000001000000}">
      <formula1>Fuel</formula1>
    </dataValidation>
    <dataValidation type="list" allowBlank="1" showInputMessage="1" showErrorMessage="1" sqref="C5" xr:uid="{00000000-0002-0000-0800-000002000000}">
      <formula1>PlantType</formula1>
    </dataValidation>
    <dataValidation type="whole" allowBlank="1" showInputMessage="1" showErrorMessage="1" sqref="C19 C4 D6" xr:uid="{00000000-0002-0000-08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282</v>
      </c>
      <c r="C1" s="253"/>
    </row>
    <row r="2" spans="1:20" ht="14.25" customHeight="1" x14ac:dyDescent="0.25">
      <c r="B2" s="315" t="s">
        <v>36</v>
      </c>
      <c r="C2" s="315"/>
      <c r="G2" s="37"/>
      <c r="H2" s="313"/>
      <c r="I2" s="314" t="s">
        <v>143</v>
      </c>
      <c r="J2" s="216"/>
      <c r="K2" s="216"/>
      <c r="M2" s="78" t="s">
        <v>304</v>
      </c>
      <c r="N2" s="78"/>
      <c r="O2" s="78"/>
      <c r="P2" s="78"/>
    </row>
    <row r="3" spans="1:20" ht="14.25" customHeight="1" x14ac:dyDescent="0.2">
      <c r="Q3" s="320"/>
      <c r="R3" s="320"/>
      <c r="S3" s="320"/>
    </row>
    <row r="4" spans="1:20" ht="28.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6"/>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7"/>
      <c r="D14" s="36"/>
      <c r="E14" s="69" t="s">
        <v>26</v>
      </c>
      <c r="F14" s="148"/>
      <c r="G14" s="148"/>
      <c r="M14" s="78"/>
      <c r="N14" s="214" t="s">
        <v>273</v>
      </c>
      <c r="O14" s="251" t="s">
        <v>152</v>
      </c>
      <c r="P14" s="251"/>
    </row>
    <row r="15" spans="1:20" ht="14.25" customHeight="1" x14ac:dyDescent="0.25">
      <c r="A15" s="78" t="s">
        <v>201</v>
      </c>
      <c r="B15" s="319" t="s">
        <v>318</v>
      </c>
      <c r="C15" s="317"/>
      <c r="D15" s="36"/>
      <c r="E15" s="69" t="s">
        <v>5</v>
      </c>
      <c r="F15" s="148"/>
      <c r="G15" s="148"/>
      <c r="M15" s="95" t="s">
        <v>39</v>
      </c>
      <c r="N15" s="329">
        <f>SUM(G33,G47,G62,G77,G92,G108,G123,G138,G153,G168,)</f>
        <v>0</v>
      </c>
      <c r="O15" s="124">
        <f>SUM(H33*I33,H47*I47,H62*I62,H77*I77,H92*I92,H108*I108,H123*I123,H138*I138,H153*I153,H168*I168)</f>
        <v>0</v>
      </c>
      <c r="P15" s="330"/>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9.2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IF($C$4&gt;0,"AP-9 EP-1","")</f>
        <v/>
      </c>
      <c r="F23" s="124" t="str">
        <f>IF($C$4&gt;0,"AP-9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IF($C$4&gt;0,"AP-9 EP-2","")</f>
        <v/>
      </c>
      <c r="F25" s="124" t="str">
        <f>IF($C$4&gt;0,"AP-9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IF($C$4&gt;0,"AP-9 EP-3","")</f>
        <v/>
      </c>
      <c r="F27" s="124" t="str">
        <f>IF($C$4&gt;0,"AP-9 EU-3","")</f>
        <v/>
      </c>
      <c r="G27" s="222" t="str">
        <f>IF(C5="","","Silo Filling")</f>
        <v/>
      </c>
      <c r="H27" s="72"/>
      <c r="I27" s="144"/>
      <c r="J27" s="226"/>
      <c r="K27" s="226"/>
      <c r="M27" s="94" t="s">
        <v>16</v>
      </c>
      <c r="Q27" s="172"/>
    </row>
    <row r="28" spans="1:20" ht="14.25" customHeight="1" x14ac:dyDescent="0.2">
      <c r="A28" s="155"/>
      <c r="B28" s="83"/>
      <c r="D28" s="56"/>
      <c r="E28" s="124" t="str">
        <f>IF($C$4&gt;0,"AP-9 EP-3","")</f>
        <v/>
      </c>
      <c r="F28" s="124" t="str">
        <f>IF($C$4&gt;0,"AP-9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IF($C$4&gt;0,"AP-9 EP-3","")</f>
        <v/>
      </c>
      <c r="F29" s="124" t="str">
        <f>IF($C$4&gt;0,"AP-9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9.25" customHeight="1" x14ac:dyDescent="0.25">
      <c r="B35" s="79" t="str">
        <f>IF($C$4&gt;1,"Asphalt Plant","")</f>
        <v/>
      </c>
      <c r="C35" s="156" t="str">
        <f>IF($C$4&gt;1,"Site 2","")</f>
        <v/>
      </c>
      <c r="E35" s="259" t="str">
        <f>IF($C$4&gt;1,"Emission Point #","")</f>
        <v/>
      </c>
      <c r="F35" s="259" t="str">
        <f>IF($C$4&gt;1,"Emission    Unit #","")</f>
        <v/>
      </c>
      <c r="G35" s="259"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IF(C39="","","AP-9 EP-1")</f>
        <v/>
      </c>
      <c r="F37" s="124" t="str">
        <f>IF(C39="","","AP-9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IF(C39="","","AP-9 EP-2")</f>
        <v/>
      </c>
      <c r="F39" s="124" t="str">
        <f>IF(C39="","","AP-9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IF($C$4&gt;1,"AP-9 EP-3","")</f>
        <v/>
      </c>
      <c r="F41" s="124" t="str">
        <f>IF($C$4&gt;1,"AP-9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IF($C$4&gt;1,"AP-9 EP-3","")</f>
        <v/>
      </c>
      <c r="F42" s="124" t="str">
        <f>IF($C$4&gt;1,"AP-9 EU-4","")</f>
        <v/>
      </c>
      <c r="G42" s="222" t="str">
        <f>IF($C$4&gt;1,"Truck Loadout","")</f>
        <v/>
      </c>
      <c r="H42" s="72"/>
      <c r="I42" s="144"/>
      <c r="J42" s="226"/>
      <c r="K42" s="226"/>
      <c r="M42" s="94" t="s">
        <v>26</v>
      </c>
      <c r="T42" s="171"/>
    </row>
    <row r="43" spans="1:20" ht="14.25" customHeight="1" x14ac:dyDescent="0.2">
      <c r="B43" s="83"/>
      <c r="D43" s="56"/>
      <c r="E43" s="124" t="str">
        <f>IF($C$4&gt;1,"AP-9 EP-3","")</f>
        <v/>
      </c>
      <c r="F43" s="124" t="str">
        <f>IF($C$4&gt;1,"AP-9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74"/>
      <c r="G47" s="148"/>
      <c r="H47" s="75"/>
      <c r="I47" s="148"/>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8.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IF(C54="","","AP-9 EP-1")</f>
        <v/>
      </c>
      <c r="F52" s="124" t="str">
        <f>IF(C54="","","AP-9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IF(C54="","","AP-9 EP-2")</f>
        <v/>
      </c>
      <c r="F54" s="124" t="str">
        <f>IF(C54="","","AP-9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231" t="str">
        <f>IF($C$4&gt;2,"(tons/hr)","")</f>
        <v/>
      </c>
      <c r="I55" s="231" t="str">
        <f>IF($C$4&gt;2,"(tons/yr)","")</f>
        <v/>
      </c>
      <c r="J55" s="226"/>
      <c r="K55" s="226"/>
      <c r="M55" s="94" t="s">
        <v>211</v>
      </c>
      <c r="T55" s="171"/>
    </row>
    <row r="56" spans="2:20" ht="14.25" customHeight="1" x14ac:dyDescent="0.2">
      <c r="D56" s="56"/>
      <c r="E56" s="124" t="str">
        <f>IF($C$4&gt;2,"AP-9 EP-3","")</f>
        <v/>
      </c>
      <c r="F56" s="124" t="str">
        <f>IF($C$4&gt;2,"AP-9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IF($C$4&gt;2,"AP-9 EP-3","")</f>
        <v/>
      </c>
      <c r="F57" s="124" t="str">
        <f>IF($C$4&gt;2,"AP-9 EU-4","")</f>
        <v/>
      </c>
      <c r="G57" s="222" t="str">
        <f>IF($C$4&gt;2,"Truck Loadout","")</f>
        <v/>
      </c>
      <c r="H57" s="72"/>
      <c r="I57" s="144"/>
      <c r="J57" s="226"/>
      <c r="K57" s="226"/>
      <c r="M57" s="94" t="s">
        <v>212</v>
      </c>
      <c r="T57" s="171"/>
    </row>
    <row r="58" spans="2:20" ht="14.25" customHeight="1" x14ac:dyDescent="0.2">
      <c r="B58" s="83"/>
      <c r="D58" s="56"/>
      <c r="E58" s="124" t="str">
        <f>IF($C$4&gt;2,"AP-9 EP-3","")</f>
        <v/>
      </c>
      <c r="F58" s="124" t="str">
        <f>IF($C$4&gt;2,"AP-9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8.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IF(C69="","","AP-9 EP-1")</f>
        <v/>
      </c>
      <c r="F67" s="124" t="str">
        <f>IF(C69="","","AP-9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IF(C69="","","AP-9 EP-2")</f>
        <v/>
      </c>
      <c r="F69" s="124" t="str">
        <f>IF(C69="","","AP-9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IF($C$4&gt;3,"AP-9 EP-3","")</f>
        <v/>
      </c>
      <c r="F71" s="124" t="str">
        <f>IF($C$4&gt;3,"AP-9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IF($C$4&gt;3,"AP-9 EP-3","")</f>
        <v/>
      </c>
      <c r="F72" s="124" t="str">
        <f>IF($C$4&gt;3,"AP-9 EU-4","")</f>
        <v/>
      </c>
      <c r="G72" s="222" t="str">
        <f>IF($C$4&gt;3,"Truck Loadout","")</f>
        <v/>
      </c>
      <c r="H72" s="72"/>
      <c r="I72" s="144"/>
      <c r="J72" s="226"/>
      <c r="K72" s="226"/>
      <c r="M72" s="94" t="s">
        <v>217</v>
      </c>
      <c r="T72" s="171"/>
    </row>
    <row r="73" spans="2:20" ht="14.25" customHeight="1" x14ac:dyDescent="0.2">
      <c r="B73" s="83"/>
      <c r="D73" s="56"/>
      <c r="E73" s="124" t="str">
        <f>IF($C$4&gt;3,"AP-9 EP-3","")</f>
        <v/>
      </c>
      <c r="F73" s="124" t="str">
        <f>IF($C$4&gt;3,"AP-9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30"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IF(C84="","","AP-9 EP-1")</f>
        <v/>
      </c>
      <c r="F82" s="124" t="str">
        <f>IF(C84="","","AP-9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IF(C84="","","AP-9 EP-2")</f>
        <v/>
      </c>
      <c r="F84" s="124" t="str">
        <f>IF(C84="","","AP-9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IF($C$4&gt;4,"AP-9 EP-3","")</f>
        <v/>
      </c>
      <c r="F86" s="124" t="str">
        <f>IF($C$4&gt;4,"AP-9 EU-3","")</f>
        <v/>
      </c>
      <c r="G86" s="222" t="str">
        <f>IF($C$4&gt;4,"Silo Filling","")</f>
        <v/>
      </c>
      <c r="H86" s="72"/>
      <c r="I86" s="144"/>
      <c r="J86" s="226"/>
      <c r="K86" s="226"/>
      <c r="M86" s="94" t="s">
        <v>224</v>
      </c>
      <c r="T86" s="171"/>
    </row>
    <row r="87" spans="2:20" ht="14.25" customHeight="1" x14ac:dyDescent="0.2">
      <c r="B87" s="83"/>
      <c r="D87" s="56"/>
      <c r="E87" s="124" t="str">
        <f>IF($C$4&gt;4,"AP-9 EP-3","")</f>
        <v/>
      </c>
      <c r="F87" s="124" t="str">
        <f>IF($C$4&gt;4,"AP-9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IF($C$4&gt;4,"AP-9 EP-3","")</f>
        <v/>
      </c>
      <c r="F88" s="124" t="str">
        <f>IF($C$4&gt;4,"AP-9 EU-5","")</f>
        <v/>
      </c>
      <c r="G88" s="222" t="str">
        <f>IF($C$4&gt;4,"Cold Aggregate Bins","")</f>
        <v/>
      </c>
      <c r="H88" s="72"/>
      <c r="I88" s="144"/>
      <c r="J88" s="226"/>
      <c r="K88" s="226"/>
      <c r="M88" s="94" t="s">
        <v>225</v>
      </c>
      <c r="Q88" s="166">
        <f t="shared" si="2"/>
        <v>0</v>
      </c>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166">
        <f t="shared" si="2"/>
        <v>0</v>
      </c>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166">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8.5" customHeight="1" x14ac:dyDescent="0.2">
      <c r="J94" s="161"/>
      <c r="K94" s="161"/>
      <c r="M94" s="322"/>
      <c r="N94" s="323"/>
      <c r="O94" s="324"/>
      <c r="P94" s="125"/>
      <c r="Q94" s="210"/>
      <c r="R94" s="210"/>
      <c r="S94" s="210"/>
      <c r="T94" s="210"/>
    </row>
    <row r="95" spans="2:20" ht="30"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IF(C100="","","AP-9 EP-1")</f>
        <v/>
      </c>
      <c r="F98" s="124" t="str">
        <f>IF(C100="","","AP-9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IF(C100="","","AP-9 EP-2")</f>
        <v/>
      </c>
      <c r="F100" s="124" t="str">
        <f>IF(C100="","","AP-9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IF($C$4&gt;5,"AP-9 EP-3","")</f>
        <v/>
      </c>
      <c r="F102" s="124" t="str">
        <f>IF($C$4&gt;5,"AP-9 EU-3","")</f>
        <v/>
      </c>
      <c r="G102" s="222" t="str">
        <f>IF($C$4&gt;5,"Silo Filling","")</f>
        <v/>
      </c>
      <c r="H102" s="72"/>
      <c r="I102" s="144"/>
      <c r="J102" s="226"/>
      <c r="K102" s="226"/>
    </row>
    <row r="103" spans="2:11" ht="14.25" customHeight="1" x14ac:dyDescent="0.2">
      <c r="B103" s="83"/>
      <c r="D103" s="56"/>
      <c r="E103" s="124" t="str">
        <f>IF($C$4&gt;5,"AP-9 EP-3","")</f>
        <v/>
      </c>
      <c r="F103" s="124" t="str">
        <f>IF($C$4&gt;5,"AP-9 EU-4","")</f>
        <v/>
      </c>
      <c r="G103" s="222" t="str">
        <f>IF($C$4&gt;5,"Truck Loadout","")</f>
        <v/>
      </c>
      <c r="H103" s="72"/>
      <c r="I103" s="144"/>
      <c r="J103" s="226"/>
      <c r="K103" s="226"/>
    </row>
    <row r="104" spans="2:11" ht="14.25" customHeight="1" x14ac:dyDescent="0.2">
      <c r="B104" s="83"/>
      <c r="D104" s="56"/>
      <c r="E104" s="124" t="str">
        <f>IF($C$4&gt;5,"AP-9 EP-3","")</f>
        <v/>
      </c>
      <c r="F104" s="124" t="str">
        <f>IF($C$4&gt;5,"AP-9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4.25" customHeight="1" x14ac:dyDescent="0.2">
      <c r="B108" s="83"/>
      <c r="E108" s="125"/>
      <c r="F108" s="74"/>
      <c r="G108" s="148"/>
      <c r="H108" s="75"/>
      <c r="I108" s="148"/>
    </row>
    <row r="109" spans="2:11" ht="28.5" customHeight="1" x14ac:dyDescent="0.2">
      <c r="J109" s="161"/>
      <c r="K109" s="161"/>
    </row>
    <row r="110" spans="2:11" ht="28.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IF(C115="","","AP-9 EP-1")</f>
        <v/>
      </c>
      <c r="F113" s="124" t="str">
        <f>IF(C115="","","AP-9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IF(C115="","","AP-9 EP-2")</f>
        <v/>
      </c>
      <c r="F115" s="124" t="str">
        <f>IF(C115="","","AP-9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IF($C$4&gt;6,"AP-9 EP-3","")</f>
        <v/>
      </c>
      <c r="F117" s="124" t="str">
        <f>IF($C$4&gt;6,"AP-9 EU-3","")</f>
        <v/>
      </c>
      <c r="G117" s="222" t="str">
        <f>IF($C$4&gt;6,"Silo Filling","")</f>
        <v/>
      </c>
      <c r="H117" s="72"/>
      <c r="I117" s="144"/>
      <c r="J117" s="226"/>
      <c r="K117" s="226"/>
    </row>
    <row r="118" spans="2:11" ht="14.25" customHeight="1" x14ac:dyDescent="0.2">
      <c r="B118" s="83"/>
      <c r="D118" s="56"/>
      <c r="E118" s="124" t="str">
        <f>IF($C$4&gt;6,"AP-9 EP-3","")</f>
        <v/>
      </c>
      <c r="F118" s="124" t="str">
        <f>IF($C$4&gt;6,"AP-9 EU-4","")</f>
        <v/>
      </c>
      <c r="G118" s="222" t="str">
        <f>IF($C$4&gt;6,"Truck Loadout","")</f>
        <v/>
      </c>
      <c r="H118" s="72"/>
      <c r="I118" s="144"/>
      <c r="J118" s="226"/>
      <c r="K118" s="226"/>
    </row>
    <row r="119" spans="2:11" ht="14.25" customHeight="1" x14ac:dyDescent="0.2">
      <c r="B119" s="83"/>
      <c r="D119" s="56"/>
      <c r="E119" s="124" t="str">
        <f>IF($C$4&gt;6,"AP-9 EP-3","")</f>
        <v/>
      </c>
      <c r="F119" s="124" t="str">
        <f>IF($C$4&gt;6,"AP-9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30" customHeight="1" x14ac:dyDescent="0.2">
      <c r="J124" s="161"/>
      <c r="K124" s="161"/>
    </row>
    <row r="125" spans="2:11" ht="29.2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IF(C130="","","AP-9 EP-1")</f>
        <v/>
      </c>
      <c r="F128" s="124" t="str">
        <f>IF(C130="","","AP-9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IF(C130="","","AP-9 EP-2")</f>
        <v/>
      </c>
      <c r="F130" s="124" t="str">
        <f>IF(C130="","","AP-9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IF($C$4&gt;7,"AP-9 EP-3","")</f>
        <v/>
      </c>
      <c r="F132" s="124" t="str">
        <f>IF($C$4&gt;7,"AP-9 EU-3","")</f>
        <v/>
      </c>
      <c r="G132" s="222" t="str">
        <f>IF($C$4&gt;7,"Silo Filling","")</f>
        <v/>
      </c>
      <c r="H132" s="72"/>
      <c r="I132" s="144"/>
      <c r="J132" s="226"/>
      <c r="K132" s="226"/>
    </row>
    <row r="133" spans="2:11" ht="14.25" customHeight="1" x14ac:dyDescent="0.2">
      <c r="B133" s="83"/>
      <c r="D133" s="56"/>
      <c r="E133" s="124" t="str">
        <f>IF($C$4&gt;7,"AP-9 EP-3","")</f>
        <v/>
      </c>
      <c r="F133" s="124" t="str">
        <f>IF($C$4&gt;7,"AP-9 EU-4","")</f>
        <v/>
      </c>
      <c r="G133" s="222" t="str">
        <f>IF($C$4&gt;7,"Truck Loadout","")</f>
        <v/>
      </c>
      <c r="H133" s="72"/>
      <c r="I133" s="144"/>
      <c r="J133" s="226"/>
      <c r="K133" s="226"/>
    </row>
    <row r="134" spans="2:11" ht="14.25" customHeight="1" x14ac:dyDescent="0.2">
      <c r="B134" s="83"/>
      <c r="D134" s="56"/>
      <c r="E134" s="124" t="str">
        <f>IF($C$4&gt;7,"AP-9 EP-3","")</f>
        <v/>
      </c>
      <c r="F134" s="124" t="str">
        <f>IF($C$4&gt;7,"AP-9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6.25" customHeight="1" x14ac:dyDescent="0.2">
      <c r="J139" s="161"/>
      <c r="K139" s="161"/>
    </row>
    <row r="140" spans="2:11" ht="28.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IF(C145="","","AP-9 EP-1")</f>
        <v/>
      </c>
      <c r="F143" s="124" t="str">
        <f>IF(C145="","","AP-9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IF(C145="","","AP-9 EP-2")</f>
        <v/>
      </c>
      <c r="F145" s="124" t="str">
        <f>IF(C145="","","AP-9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IF($C$4&gt;8,"AP-9 EP-3","")</f>
        <v/>
      </c>
      <c r="F147" s="124" t="str">
        <f>IF($C$4&gt;8,"AP-9 EU-3","")</f>
        <v/>
      </c>
      <c r="G147" s="222" t="str">
        <f>IF($C$4&gt;8,"Silo Filling","")</f>
        <v/>
      </c>
      <c r="H147" s="72"/>
      <c r="I147" s="144"/>
      <c r="J147" s="226"/>
      <c r="K147" s="226"/>
    </row>
    <row r="148" spans="2:11" ht="14.25" customHeight="1" x14ac:dyDescent="0.2">
      <c r="B148" s="83"/>
      <c r="D148" s="56"/>
      <c r="E148" s="124" t="str">
        <f>IF($C$4&gt;8,"AP-9 EP-3","")</f>
        <v/>
      </c>
      <c r="F148" s="124" t="str">
        <f>IF($C$4&gt;8,"AP-9 EU-4","")</f>
        <v/>
      </c>
      <c r="G148" s="222" t="str">
        <f>IF($C$4&gt;8,"Truck Loadout","")</f>
        <v/>
      </c>
      <c r="H148" s="72"/>
      <c r="I148" s="144"/>
      <c r="J148" s="226"/>
      <c r="K148" s="226"/>
    </row>
    <row r="149" spans="2:11" ht="14.25" customHeight="1" x14ac:dyDescent="0.2">
      <c r="B149" s="83"/>
      <c r="D149" s="56"/>
      <c r="E149" s="124" t="str">
        <f>IF($C$4&gt;8,"AP-9 EP-3","")</f>
        <v/>
      </c>
      <c r="F149" s="124" t="str">
        <f>IF($C$4&gt;8,"AP-9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9.2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5" t="str">
        <f>IF($C$4&gt;9,"Dryers, Hot Screens, Mixer","")</f>
        <v/>
      </c>
      <c r="F157" s="325"/>
      <c r="G157" s="325"/>
      <c r="H157" s="149" t="str">
        <f>IF($C$4&gt;9,"(tons/hr)","")</f>
        <v/>
      </c>
      <c r="I157" s="149" t="str">
        <f>IF($C$4&gt;9,"(tons/yr)","")</f>
        <v/>
      </c>
      <c r="J157" s="163" t="s">
        <v>109</v>
      </c>
      <c r="K157" s="163" t="s">
        <v>16</v>
      </c>
    </row>
    <row r="158" spans="2:11" ht="14.25" customHeight="1" x14ac:dyDescent="0.2">
      <c r="B158" s="82" t="str">
        <f>IF($C$4&gt;9,"County:","")</f>
        <v/>
      </c>
      <c r="C158" s="73"/>
      <c r="D158" s="56"/>
      <c r="E158" s="124" t="str">
        <f>IF(C160="","","AP-9 EP-1")</f>
        <v/>
      </c>
      <c r="F158" s="124" t="str">
        <f>IF(C160="","","AP-9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5" t="str">
        <f>IF($C$4&gt;9,"Liquid Asphalt Heater","")</f>
        <v/>
      </c>
      <c r="F159" s="325"/>
      <c r="G159" s="325"/>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IF(C160="","","AP-9 EP-2")</f>
        <v/>
      </c>
      <c r="F160" s="124" t="str">
        <f>IF(C160="","","AP-9 EU-2")</f>
        <v/>
      </c>
      <c r="G160" s="222" t="str">
        <f>IF(C160="","",C160&amp; " Fired Heater")</f>
        <v/>
      </c>
      <c r="H160" s="72"/>
      <c r="I160" s="144"/>
      <c r="J160" s="163"/>
      <c r="K160" s="163"/>
    </row>
    <row r="161" spans="2:11" ht="14.25" customHeight="1" x14ac:dyDescent="0.2">
      <c r="B161" s="82" t="str">
        <f>IF($C$4&gt;9,"Is Your Operation Controlled?:","")</f>
        <v/>
      </c>
      <c r="C161" s="230"/>
      <c r="D161" s="56"/>
      <c r="E161" s="325" t="str">
        <f>IF($C$4&gt;9,"Silo Filling, Truck Loadout, Aggregate Transfer","")</f>
        <v/>
      </c>
      <c r="F161" s="325"/>
      <c r="G161" s="325"/>
      <c r="H161" s="149" t="str">
        <f>IF($C$4&gt;9,"(tons/hr)","")</f>
        <v/>
      </c>
      <c r="I161" s="149" t="str">
        <f>IF($C$4&gt;9,"(tons/yr)","")</f>
        <v/>
      </c>
      <c r="J161" s="226"/>
      <c r="K161" s="226"/>
    </row>
    <row r="162" spans="2:11" ht="14.25" customHeight="1" x14ac:dyDescent="0.2">
      <c r="D162" s="56"/>
      <c r="E162" s="124" t="str">
        <f>IF($C$4&gt;9,"AP-9 EP-3","")</f>
        <v/>
      </c>
      <c r="F162" s="124" t="str">
        <f>IF($C$4&gt;9,"AP-9 EU-3","")</f>
        <v/>
      </c>
      <c r="G162" s="222" t="str">
        <f>IF($C$4&gt;9,"Silo Filling","")</f>
        <v/>
      </c>
      <c r="H162" s="72"/>
      <c r="I162" s="144"/>
      <c r="J162" s="226"/>
      <c r="K162" s="226"/>
    </row>
    <row r="163" spans="2:11" ht="14.25" customHeight="1" x14ac:dyDescent="0.2">
      <c r="B163" s="83"/>
      <c r="D163" s="56"/>
      <c r="E163" s="124" t="str">
        <f>IF($C$4&gt;9,"AP-9 EP-3","")</f>
        <v/>
      </c>
      <c r="F163" s="124" t="str">
        <f>IF($C$4&gt;9,"AP-9 EU-4","")</f>
        <v/>
      </c>
      <c r="G163" s="222" t="str">
        <f>IF($C$4&gt;9,"Truck Loadout","")</f>
        <v/>
      </c>
      <c r="H163" s="72"/>
      <c r="I163" s="144"/>
      <c r="J163" s="226"/>
      <c r="K163" s="226"/>
    </row>
    <row r="164" spans="2:11" ht="14.25" customHeight="1" x14ac:dyDescent="0.2">
      <c r="B164" s="83"/>
      <c r="D164" s="56"/>
      <c r="E164" s="124" t="str">
        <f>IF($C$4&gt;9,"AP-9 EP-3","")</f>
        <v/>
      </c>
      <c r="F164" s="124" t="str">
        <f>IF($C$4&gt;9,"AP-9 EU-5","")</f>
        <v/>
      </c>
      <c r="G164" s="222" t="str">
        <f>IF($C$4&gt;9,"Cold Aggregate Bins","")</f>
        <v/>
      </c>
      <c r="H164" s="72"/>
      <c r="I164" s="144"/>
      <c r="J164" s="226"/>
      <c r="K164" s="226"/>
    </row>
    <row r="165" spans="2:11" ht="14.25" customHeight="1" x14ac:dyDescent="0.2">
      <c r="B165" s="83"/>
      <c r="E165" s="125"/>
      <c r="F165" s="125"/>
      <c r="G165" s="227"/>
      <c r="H165" s="150"/>
      <c r="I165" s="151"/>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EqzcEPma/rdYOq2j9u1IX5R3VJd4e18fTUQP9JmdfodxI4ZOQ1M0BGcOgNYvmZ9tVVwvEG8p3Wc7hQbnn9KEIQ==" saltValue="vXSJ6L2+8CSgsSeERa+9sw==" spinCount="100000" sheet="1" objects="1" scenarios="1"/>
  <conditionalFormatting sqref="E23:F23 E25:F25 E27:F30">
    <cfRule type="notContainsBlanks" dxfId="16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168" priority="4">
      <formula>LEN(TRIM(B26))&gt;0</formula>
    </cfRule>
  </conditionalFormatting>
  <conditionalFormatting sqref="E33">
    <cfRule type="notContainsBlanks" dxfId="167" priority="37">
      <formula>LEN(TRIM(E33))&gt;0</formula>
    </cfRule>
  </conditionalFormatting>
  <conditionalFormatting sqref="B33">
    <cfRule type="notContainsBlanks" dxfId="166" priority="36">
      <formula>LEN(TRIM(B33))&gt;0</formula>
    </cfRule>
  </conditionalFormatting>
  <conditionalFormatting sqref="B36:E36 B35:I35 B37:I37 H36:I36 D39:I39 B38:E38 H38:I38 J34:K35 H40:I40 B42:I47 D41:I41 D40:E40 B39:C40 J38:K46">
    <cfRule type="cellIs" dxfId="165" priority="40" operator="notEqual">
      <formula>$B$35=""</formula>
    </cfRule>
  </conditionalFormatting>
  <conditionalFormatting sqref="E36:G43 B36:B40">
    <cfRule type="notContainsBlanks" dxfId="16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163" priority="28">
      <formula>LEN(TRIM(C36))&gt;0</formula>
    </cfRule>
  </conditionalFormatting>
  <conditionalFormatting sqref="B51:E51 B49:I50 B52:I52 H51:I51 D54:I54 B53:E53 H53:I53 J48:K50 H55:I55 B57:I62 D56:I56 D55:E55 B54:C55 J53:K61">
    <cfRule type="cellIs" dxfId="162" priority="38" operator="notEqual">
      <formula>$B$49=""</formula>
    </cfRule>
  </conditionalFormatting>
  <conditionalFormatting sqref="E51:G58 B51:B55">
    <cfRule type="notContainsBlanks" dxfId="161" priority="32">
      <formula>LEN(TRIM(B51))&gt;0</formula>
    </cfRule>
  </conditionalFormatting>
  <conditionalFormatting sqref="C51:C55">
    <cfRule type="notContainsBlanks" dxfId="160" priority="31">
      <formula>LEN(TRIM(C51))&gt;0</formula>
    </cfRule>
  </conditionalFormatting>
  <conditionalFormatting sqref="B35:C35">
    <cfRule type="notContainsBlanks" dxfId="159" priority="30">
      <formula>LEN(TRIM(B35))&gt;0</formula>
    </cfRule>
  </conditionalFormatting>
  <conditionalFormatting sqref="B49:C49">
    <cfRule type="notContainsBlanks" dxfId="158" priority="29">
      <formula>LEN(TRIM(B49))&gt;0</formula>
    </cfRule>
  </conditionalFormatting>
  <conditionalFormatting sqref="B66:E66 B64:I65 B67:I67 H66:I66 D69:I69 B68:E68 H68:I68 J63:K65 H70:I70 B72:I77 D71:I71 D70:E70 B69:C70 J68:K76">
    <cfRule type="cellIs" dxfId="157" priority="35" operator="notEqual">
      <formula>$B$64=""</formula>
    </cfRule>
  </conditionalFormatting>
  <conditionalFormatting sqref="E66:G73 B66:B70">
    <cfRule type="notContainsBlanks" dxfId="156" priority="27">
      <formula>LEN(TRIM(B66))&gt;0</formula>
    </cfRule>
  </conditionalFormatting>
  <conditionalFormatting sqref="C66:C70">
    <cfRule type="notContainsBlanks" dxfId="155" priority="26">
      <formula>LEN(TRIM(C66))&gt;0</formula>
    </cfRule>
  </conditionalFormatting>
  <conditionalFormatting sqref="B64:C64">
    <cfRule type="notContainsBlanks" dxfId="154" priority="25">
      <formula>LEN(TRIM(B64))&gt;0</formula>
    </cfRule>
  </conditionalFormatting>
  <conditionalFormatting sqref="B81:E81 B79:I80 B82:I82 H81:I81 B83:E83 J78:K80 B87:I92 D86:I86 D85:E85 B84:C85 H83:K83 J86:K91 H85:J85 D84:J84">
    <cfRule type="cellIs" dxfId="153" priority="33" operator="notEqual">
      <formula>$B$79=""</formula>
    </cfRule>
  </conditionalFormatting>
  <conditionalFormatting sqref="E81:G88 B81:B85">
    <cfRule type="notContainsBlanks" dxfId="152" priority="23">
      <formula>LEN(TRIM(B81))&gt;0</formula>
    </cfRule>
  </conditionalFormatting>
  <conditionalFormatting sqref="C81:C85">
    <cfRule type="notContainsBlanks" dxfId="151" priority="22">
      <formula>LEN(TRIM(C81))&gt;0</formula>
    </cfRule>
  </conditionalFormatting>
  <conditionalFormatting sqref="B79:C79">
    <cfRule type="notContainsBlanks" dxfId="150" priority="21">
      <formula>LEN(TRIM(B79))&gt;0</formula>
    </cfRule>
  </conditionalFormatting>
  <conditionalFormatting sqref="B97:E97 B95:I96 B98:I98 H97:I97 D100:I100 B99:E99 H99:I99 J93:K96 H101:I101 B103:I108 D102:I102 D101:E101 B100:C101 J99:K107">
    <cfRule type="cellIs" dxfId="149" priority="24" operator="notEqual">
      <formula>$B$95=""</formula>
    </cfRule>
  </conditionalFormatting>
  <conditionalFormatting sqref="E97:G104 B97:B101">
    <cfRule type="notContainsBlanks" dxfId="148" priority="19">
      <formula>LEN(TRIM(B97))&gt;0</formula>
    </cfRule>
  </conditionalFormatting>
  <conditionalFormatting sqref="C97:C101">
    <cfRule type="notContainsBlanks" dxfId="147" priority="18">
      <formula>LEN(TRIM(C97))&gt;0</formula>
    </cfRule>
  </conditionalFormatting>
  <conditionalFormatting sqref="B95:C95">
    <cfRule type="notContainsBlanks" dxfId="146" priority="17">
      <formula>LEN(TRIM(B95))&gt;0</formula>
    </cfRule>
  </conditionalFormatting>
  <conditionalFormatting sqref="B112:E112 B110:I111 B113:I113 H112:I112 D115:I115 B114:E114 H114:I114 J109:K111 H116:I116 B118:I123 D117:I117 D116:E116 B115:C116 J114:K122">
    <cfRule type="cellIs" dxfId="145" priority="20" operator="notEqual">
      <formula>$B$110=""</formula>
    </cfRule>
  </conditionalFormatting>
  <conditionalFormatting sqref="E112:G119 B112:B116">
    <cfRule type="notContainsBlanks" dxfId="144" priority="15">
      <formula>LEN(TRIM(B112))&gt;0</formula>
    </cfRule>
  </conditionalFormatting>
  <conditionalFormatting sqref="C112:C116">
    <cfRule type="notContainsBlanks" dxfId="143" priority="14">
      <formula>LEN(TRIM(C112))&gt;0</formula>
    </cfRule>
  </conditionalFormatting>
  <conditionalFormatting sqref="B110:C110">
    <cfRule type="notContainsBlanks" dxfId="142" priority="13">
      <formula>LEN(TRIM(B110))&gt;0</formula>
    </cfRule>
  </conditionalFormatting>
  <conditionalFormatting sqref="B127:E127 B125:I126 B128:I128 H127:I127 D130:I130 B129:E129 H129:I129 J124:K126 H131:I131 B133:I138 D132:I132 D131:E131 B130:C131 J129:K137">
    <cfRule type="cellIs" dxfId="141" priority="16" operator="notEqual">
      <formula>$B$125=""</formula>
    </cfRule>
  </conditionalFormatting>
  <conditionalFormatting sqref="E127:G134 B127:B131">
    <cfRule type="notContainsBlanks" dxfId="140" priority="11">
      <formula>LEN(TRIM(B127))&gt;0</formula>
    </cfRule>
  </conditionalFormatting>
  <conditionalFormatting sqref="C127:C131">
    <cfRule type="notContainsBlanks" dxfId="139" priority="10">
      <formula>LEN(TRIM(C127))&gt;0</formula>
    </cfRule>
  </conditionalFormatting>
  <conditionalFormatting sqref="B125:C125">
    <cfRule type="notContainsBlanks" dxfId="138" priority="9">
      <formula>LEN(TRIM(B125))&gt;0</formula>
    </cfRule>
  </conditionalFormatting>
  <conditionalFormatting sqref="B142:E142 B140:I141 B143:I143 H142:I142 D145:I145 B144:E144 H144:I144 J139:K141 H146:I146 B148:I153 D147:I147 D146:E146 B145:C146 J144:K152">
    <cfRule type="cellIs" dxfId="137" priority="12" operator="notEqual">
      <formula>$B$140=""</formula>
    </cfRule>
  </conditionalFormatting>
  <conditionalFormatting sqref="E142:G149 B142:B146">
    <cfRule type="notContainsBlanks" dxfId="136" priority="7">
      <formula>LEN(TRIM(B142))&gt;0</formula>
    </cfRule>
  </conditionalFormatting>
  <conditionalFormatting sqref="C142:C146">
    <cfRule type="notContainsBlanks" dxfId="135" priority="6">
      <formula>LEN(TRIM(C142))&gt;0</formula>
    </cfRule>
  </conditionalFormatting>
  <conditionalFormatting sqref="B140:C140">
    <cfRule type="notContainsBlanks" dxfId="134" priority="5">
      <formula>LEN(TRIM(B140))&gt;0</formula>
    </cfRule>
  </conditionalFormatting>
  <conditionalFormatting sqref="B157:E157 B155:I156 B158:I158 H157:I157 D160:I160 B159:E159 H159:I159 J154:K156 H161:I161 B163:I168 D162:I162 D161:E161 B160:C161 J159:K167">
    <cfRule type="cellIs" dxfId="133" priority="8" operator="notEqual">
      <formula>$B$155=""</formula>
    </cfRule>
  </conditionalFormatting>
  <conditionalFormatting sqref="E157:G164 B157:B161">
    <cfRule type="notContainsBlanks" dxfId="132" priority="3">
      <formula>LEN(TRIM(B157))&gt;0</formula>
    </cfRule>
  </conditionalFormatting>
  <conditionalFormatting sqref="C157:C161">
    <cfRule type="notContainsBlanks" dxfId="131" priority="2">
      <formula>LEN(TRIM(C157))&gt;0</formula>
    </cfRule>
  </conditionalFormatting>
  <conditionalFormatting sqref="B155:C155">
    <cfRule type="notContainsBlanks" dxfId="130" priority="1">
      <formula>LEN(TRIM(B155))&gt;0</formula>
    </cfRule>
  </conditionalFormatting>
  <dataValidations count="4">
    <dataValidation type="list" allowBlank="1" showInputMessage="1" showErrorMessage="1" sqref="C26 C40 C55 C70 C85 C101 C116 C131 C146 C161" xr:uid="{00000000-0002-0000-0900-000000000000}">
      <formula1>CHECK</formula1>
    </dataValidation>
    <dataValidation type="list" allowBlank="1" showInputMessage="1" showErrorMessage="1" sqref="C25 A13 A15 C39 C54 C69 C84 C100 C115 C130 C145 C160" xr:uid="{00000000-0002-0000-0900-000001000000}">
      <formula1>Fuel</formula1>
    </dataValidation>
    <dataValidation type="list" allowBlank="1" showInputMessage="1" showErrorMessage="1" sqref="C5" xr:uid="{00000000-0002-0000-0900-000002000000}">
      <formula1>PlantType</formula1>
    </dataValidation>
    <dataValidation type="whole" allowBlank="1" showInputMessage="1" showErrorMessage="1" sqref="C19 C4 D6" xr:uid="{00000000-0002-0000-09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T168"/>
  <sheetViews>
    <sheetView topLeftCell="B1" zoomScaleNormal="100" workbookViewId="0">
      <selection activeCell="B1" sqref="B1"/>
    </sheetView>
  </sheetViews>
  <sheetFormatPr defaultRowHeight="14.25" customHeight="1" x14ac:dyDescent="0.2"/>
  <cols>
    <col min="1" max="1" width="8.85546875" style="78" hidden="1" customWidth="1"/>
    <col min="2" max="2" width="39.42578125" style="77" customWidth="1"/>
    <col min="3" max="3" width="20.85546875" style="77" customWidth="1"/>
    <col min="4" max="4" width="5.85546875" style="77" customWidth="1"/>
    <col min="5" max="5" width="13.85546875" style="77" customWidth="1"/>
    <col min="6" max="6" width="14" style="77" customWidth="1"/>
    <col min="7" max="7" width="26.7109375" style="77" customWidth="1"/>
    <col min="8" max="8" width="24.42578125" style="77" customWidth="1"/>
    <col min="9" max="9" width="27.42578125" style="77" customWidth="1"/>
    <col min="10" max="10" width="9.7109375" style="159" hidden="1" customWidth="1"/>
    <col min="11" max="11" width="7.28515625" style="159" hidden="1" customWidth="1"/>
    <col min="12" max="12" width="7" style="77" customWidth="1"/>
    <col min="13" max="13" width="25.85546875" style="77" customWidth="1"/>
    <col min="14" max="14" width="18.140625" style="77" customWidth="1"/>
    <col min="15" max="16" width="14.42578125" style="77" customWidth="1"/>
    <col min="17" max="17" width="18.85546875" style="77" hidden="1" customWidth="1"/>
    <col min="18" max="18" width="17.28515625" style="77" hidden="1" customWidth="1"/>
    <col min="19" max="19" width="16.28515625" style="77" hidden="1" customWidth="1"/>
    <col min="20" max="20" width="16.7109375" style="77" customWidth="1"/>
    <col min="21" max="16384" width="9.140625" style="77"/>
  </cols>
  <sheetData>
    <row r="1" spans="1:20" ht="14.25" customHeight="1" x14ac:dyDescent="0.2">
      <c r="B1" s="253" t="s">
        <v>283</v>
      </c>
      <c r="C1" s="253"/>
    </row>
    <row r="2" spans="1:20" ht="14.25" customHeight="1" x14ac:dyDescent="0.25">
      <c r="B2" s="315" t="s">
        <v>36</v>
      </c>
      <c r="C2" s="315"/>
      <c r="G2" s="37"/>
      <c r="I2" s="314" t="s">
        <v>143</v>
      </c>
      <c r="J2" s="216"/>
      <c r="K2" s="216"/>
      <c r="M2" s="78" t="s">
        <v>304</v>
      </c>
      <c r="N2" s="78"/>
      <c r="O2" s="78"/>
      <c r="P2" s="78"/>
    </row>
    <row r="3" spans="1:20" ht="14.25" customHeight="1" x14ac:dyDescent="0.2">
      <c r="Q3" s="320"/>
      <c r="R3" s="320"/>
      <c r="S3" s="320"/>
    </row>
    <row r="4" spans="1:20" ht="28.5" customHeight="1" x14ac:dyDescent="0.2">
      <c r="B4" s="169" t="str">
        <f>"Number of Sites this Plant operated at in "&amp;'Facility Information'!G5&amp;":"</f>
        <v>Number of Sites this Plant operated at in :</v>
      </c>
      <c r="C4" s="148"/>
      <c r="E4" s="221"/>
      <c r="M4" s="263" t="s">
        <v>0</v>
      </c>
      <c r="N4" s="266" t="s">
        <v>252</v>
      </c>
      <c r="O4" s="266" t="s">
        <v>2</v>
      </c>
      <c r="P4" s="266" t="s">
        <v>257</v>
      </c>
      <c r="Q4" s="320"/>
      <c r="R4" s="321" t="s">
        <v>297</v>
      </c>
      <c r="S4" s="321"/>
      <c r="T4" s="266" t="s">
        <v>2</v>
      </c>
    </row>
    <row r="5" spans="1:20" ht="14.25" customHeight="1" x14ac:dyDescent="0.2">
      <c r="B5" s="146" t="s">
        <v>195</v>
      </c>
      <c r="C5" s="73"/>
      <c r="E5" s="164"/>
      <c r="F5" s="113"/>
      <c r="M5" s="95" t="str">
        <f>$C$5 &amp; " - Fuel Oil"</f>
        <v xml:space="preserve"> - Fuel Oil</v>
      </c>
      <c r="N5" s="158">
        <f ca="1">MAX((IFERROR(OFFSET($G$22,MATCH(M5,$G$23,0),1),0)),((IFERROR(OFFSET($G$36,MATCH(M5,$G$37,0),1),0))),((IFERROR(OFFSET($G$51,MATCH(M5,$G$52,0),1),0))),((IFERROR(OFFSET($G$66,MATCH(M5,$G$67,0),1),0))),((IFERROR(OFFSET($G$81,MATCH(M5,$G$82,0),1),0))),((IFERROR(OFFSET($G$97,MATCH(M5,$G$98,0),1),0))),((IFERROR(OFFSET($G$112,MATCH(M5,$G$113,0),1),0))),((IFERROR(OFFSET($G$127,MATCH(M5,$G$128,0),1),0))),((IFERROR(OFFSET($G$142,MATCH(M5,$G$143,0),1),0))),((IFERROR(OFFSET($G$157,MATCH(M5,$G$158,0),1),0))))</f>
        <v>0</v>
      </c>
      <c r="O5" s="212" t="s">
        <v>253</v>
      </c>
      <c r="P5" s="158">
        <f ca="1">SUM((IFERROR(OFFSET($G$22,MATCH(M5,$G$23,0),2),0)),((IFERROR(OFFSET($G$36,MATCH(M5,$G$37,0),2),0))),((IFERROR(OFFSET($G$51,MATCH(M5,$G$52,0),2),0))),((IFERROR(OFFSET($G$66,MATCH(M5,$G$67,0),2),0))),((IFERROR(OFFSET($G$81,MATCH(M5,$G$82,0),2),0))),((IFERROR(OFFSET($G$97,MATCH(M5,$G$98,0),2),0))),((IFERROR(OFFSET($G$112,MATCH(M5,$G$113,0),2),0))),((IFERROR(OFFSET($G$127,MATCH(M5,$G$128,0),2),0))),((IFERROR(OFFSET($G$142,MATCH(M5,$G$143,0),2),0))),((IFERROR(OFFSET($G$157,MATCH(M5,$G$158,0),2),0))))</f>
        <v>0</v>
      </c>
      <c r="R5" s="250"/>
      <c r="S5" s="250"/>
      <c r="T5" s="212" t="s">
        <v>138</v>
      </c>
    </row>
    <row r="6" spans="1:20" ht="14.25" customHeight="1" x14ac:dyDescent="0.2">
      <c r="B6" s="88"/>
      <c r="C6" s="88"/>
      <c r="D6" s="113"/>
      <c r="E6" s="113"/>
      <c r="F6" s="113"/>
      <c r="J6" s="160"/>
      <c r="K6" s="160"/>
      <c r="M6" s="95" t="str">
        <f>$C$5 &amp; " - Waste Oil"</f>
        <v xml:space="preserve"> - Waste Oil</v>
      </c>
      <c r="N6" s="158">
        <f ca="1">MAX((IFERROR(OFFSET($G$22,MATCH(M6,$G$23,0),1),0)),((IFERROR(OFFSET($G$36,MATCH(M6,$G$37,0),1),0))),((IFERROR(OFFSET($G$51,MATCH(M6,$G$52,0),1),0))),((IFERROR(OFFSET($G$66,MATCH(M6,$G$67,0),1),0))),((IFERROR(OFFSET($G$81,MATCH(M6,$G$82,0),1),0))),((IFERROR(OFFSET($G$97,MATCH(M6,$G$98,0),1),0))),((IFERROR(OFFSET($G$112,MATCH(M6,$G$113,0),1),0))),((IFERROR(OFFSET($G$127,MATCH(M6,$G$128,0),1),0))),((IFERROR(OFFSET($G$142,MATCH(M6,$G$143,0),1),0))),((IFERROR(OFFSET($G$157,MATCH(M6,$G$158,0),1),0))))</f>
        <v>0</v>
      </c>
      <c r="O6" s="212" t="s">
        <v>253</v>
      </c>
      <c r="P6" s="158">
        <f ca="1">SUM((IFERROR(OFFSET($G$22,MATCH(M6,$G$23,0),2),0)),((IFERROR(OFFSET($G$36,MATCH(M6,$G$37,0),2),0))),((IFERROR(OFFSET($G$51,MATCH(M6,$G$52,0),2),0))),((IFERROR(OFFSET($G$66,MATCH(M6,$G$67,0),2),0))),((IFERROR(OFFSET($G$81,MATCH(M6,$G$82,0),2),0))),((IFERROR(OFFSET($G$97,MATCH(M6,$G$98,0),2),0))),((IFERROR(OFFSET($G$112,MATCH(M6,$G$113,0),2),0))),((IFERROR(OFFSET($G$127,MATCH(M6,$G$128,0),2),0))),((IFERROR(OFFSET($G$142,MATCH(M6,$G$143,0),2),0))),((IFERROR(OFFSET($G$157,MATCH(M6,$G$158,0),2),0))))</f>
        <v>0</v>
      </c>
      <c r="T6" s="212" t="s">
        <v>138</v>
      </c>
    </row>
    <row r="7" spans="1:20" ht="14.25" customHeight="1" x14ac:dyDescent="0.2">
      <c r="B7" s="76" t="s">
        <v>153</v>
      </c>
      <c r="C7" s="148"/>
      <c r="D7" s="56"/>
      <c r="E7" s="56"/>
      <c r="F7" s="56"/>
      <c r="G7" s="56"/>
      <c r="H7" s="56"/>
      <c r="I7" s="56"/>
      <c r="J7" s="160"/>
      <c r="K7" s="160"/>
      <c r="M7" s="95" t="str">
        <f>$C$5 &amp; " - Natural Gas"</f>
        <v xml:space="preserve"> - Natural Gas</v>
      </c>
      <c r="N7" s="158">
        <f ca="1">MAX((IFERROR(OFFSET($G$22,MATCH(M7,$G$23,0),1),0)),((IFERROR(OFFSET($G$36,MATCH(M7,$G$37,0),1),0))),((IFERROR(OFFSET($G$51,MATCH(M7,$G$52,0),1),0))),((IFERROR(OFFSET($G$66,MATCH(M7,$G$67,0),1),0))),((IFERROR(OFFSET($G$81,MATCH(M7,$G$82,0),1),0))),((IFERROR(OFFSET($G$97,MATCH(M7,$G$98,0),1),0))),((IFERROR(OFFSET($G$112,MATCH(M7,$G$113,0),1),0))),((IFERROR(OFFSET($G$127,MATCH(M7,$G$128,0),1),0))),((IFERROR(OFFSET($G$142,MATCH(M7,$G$143,0),1),0))),((IFERROR(OFFSET($G$157,MATCH(M7,$G$158,0),1),0))))</f>
        <v>0</v>
      </c>
      <c r="O7" s="212" t="s">
        <v>253</v>
      </c>
      <c r="P7" s="158">
        <f ca="1">SUM((IFERROR(OFFSET($G$22,MATCH(M7,$G$23,0),2),0)),((IFERROR(OFFSET($G$36,MATCH(M7,$G$37,0),2),0))),((IFERROR(OFFSET($G$51,MATCH(M7,$G$52,0),2),0))),((IFERROR(OFFSET($G$66,MATCH(M7,$G$67,0),2),0))),((IFERROR(OFFSET($G$81,MATCH(M7,$G$82,0),2),0))),((IFERROR(OFFSET($G$97,MATCH(M7,$G$98,0),2),0))),((IFERROR(OFFSET($G$112,MATCH(M7,$G$113,0),2),0))),((IFERROR(OFFSET($G$127,MATCH(M7,$G$128,0),2),0))),((IFERROR(OFFSET($G$142,MATCH(M7,$G$143,0),2),0))),((IFERROR(OFFSET($G$157,MATCH(M7,$G$158,0),2),0))))</f>
        <v>0</v>
      </c>
      <c r="T7" s="212" t="s">
        <v>138</v>
      </c>
    </row>
    <row r="8" spans="1:20" ht="14.25" customHeight="1" x14ac:dyDescent="0.2">
      <c r="B8" s="63"/>
      <c r="C8" s="61"/>
      <c r="D8" s="56"/>
      <c r="E8" s="56"/>
      <c r="F8" s="56"/>
      <c r="G8" s="56"/>
      <c r="H8" s="56"/>
      <c r="I8" s="56"/>
      <c r="M8" s="95" t="s">
        <v>240</v>
      </c>
      <c r="N8" s="158">
        <f ca="1">MAX((IFERROR(OFFSET($G$24,MATCH("Fuel Oil Fired Heater",$G$25,0),1),0)),((IFERROR(OFFSET($G$38,MATCH("Fuel Oil Fired Heater",$G$39,0),1),0))),((IFERROR(OFFSET($G$53,MATCH("Fuel Oil Fired Heater",$G$54,0),1),0))),((IFERROR(OFFSET($G$68,MATCH("Fuel Oil Fired Heater",$G$69,0),1),0))),((IFERROR(OFFSET($G$83,MATCH("Fuel Oil Fired Heater",$G$84,0),1),0))),((IFERROR(OFFSET($G$99,MATCH("Fuel Oil Fired Heater",$G$100,0),1),0))),((IFERROR(OFFSET($G$114,MATCH("Fuel Oil Fired Heater",$G$115,0),1),0))),((IFERROR(OFFSET($G$129,MATCH("Fuel Oil Fired Heater",$G$130,0),1),0))),((IFERROR(OFFSET($G$144,MATCH("Fuel Oil Fired Heater",$G$145,0),1),0))),((IFERROR(OFFSET($G$159,MATCH("Fuel Oil Fired Heater",$G$160,0),1),0))))</f>
        <v>0</v>
      </c>
      <c r="O8" s="212" t="s">
        <v>254</v>
      </c>
      <c r="P8" s="158">
        <f ca="1">SUM((IFERROR(OFFSET($G$24,MATCH("Fuel Oil Fired Heater",$G$25,0),2),0)),((IFERROR(OFFSET($G$38,MATCH("Fuel Oil Fired Heater",$G$39,0),2),0))),((IFERROR(OFFSET($G$53,MATCH("Fuel Oil Fired Heater",$G$54,0),2),0))),((IFERROR(OFFSET($G$68,MATCH("Fuel Oil Fired Heater",$G$69,0),2),0))),((IFERROR(OFFSET($G$83,MATCH("Fuel Oil Fired Heater",$G$84,0),2),0))),((IFERROR(OFFSET($G$99,MATCH("Fuel Oil Fired Heater",$G$100,0),2),0))),((IFERROR(OFFSET($G$114,MATCH("Fuel Oil Fired Heater",$G$115,0),2),0))),((IFERROR(OFFSET($G$129,MATCH("Fuel Oil Fired Heater",$G$130,0),2),0))),((IFERROR(OFFSET($G$144,MATCH("Fuel Oil Fired Heater",$G$145,0),2),0))),((IFERROR(OFFSET($G$159,MATCH("Fuel Oil Fired Heater",$G$160,0),2),0))))</f>
        <v>0</v>
      </c>
      <c r="T8" s="212" t="s">
        <v>255</v>
      </c>
    </row>
    <row r="9" spans="1:20" ht="14.25" customHeight="1" x14ac:dyDescent="0.2">
      <c r="B9" s="63" t="s">
        <v>148</v>
      </c>
      <c r="C9" s="56"/>
      <c r="D9" s="61"/>
      <c r="E9" s="67" t="s">
        <v>149</v>
      </c>
      <c r="F9" s="67"/>
      <c r="G9" s="61"/>
      <c r="H9" s="61"/>
      <c r="M9" s="95" t="s">
        <v>246</v>
      </c>
      <c r="N9" s="158">
        <f ca="1">MAX((IFERROR(OFFSET($G$24,MATCH("waste oil Fired Heater",$G$25,0),1),0)),((IFERROR(OFFSET($G$38,MATCH("waste oil Fired Heater",$G$39,0),1),0))),((IFERROR(OFFSET($G$53,MATCH("waste oil Fired Heater",$G$54,0),1),0))),((IFERROR(OFFSET($G$68,MATCH("waste oil Fired Heater",$G$69,0),1),0))),((IFERROR(OFFSET($G$83,MATCH("waste oil Fired Heater",$G$84,0),1),0))),((IFERROR(OFFSET($G$99,MATCH("waste oil Fired Heater",$G$100,0),1),0))),((IFERROR(OFFSET($G$114,MATCH("waste oil Fired Heater",$G$115,0),1),0))),((IFERROR(OFFSET($G$129,MATCH("waste oil Fired Heater",$G$130,0),1),0))),((IFERROR(OFFSET($G$144,MATCH("waste oil Fired Heater",$G$145,0),1),0))),((IFERROR(OFFSET($G$159,MATCH("waste oil Fired Heater",$G$160,0),1),0))))</f>
        <v>0</v>
      </c>
      <c r="O9" s="212" t="s">
        <v>254</v>
      </c>
      <c r="P9" s="158">
        <f ca="1">SUM((IFERROR(OFFSET($G$24,MATCH("waste oil Fired Heater",$G$25,0),2),0)),((IFERROR(OFFSET($G$38,MATCH("waste oil Fired Heater",$G$39,0),2),0))),((IFERROR(OFFSET($G$53,MATCH("waste oil Fired Heater",$G$54,0),2),0))),((IFERROR(OFFSET($G$68,MATCH("waste oil Fired Heater",$G$69,0),2),0))),((IFERROR(OFFSET($G$83,MATCH("waste oil Fired Heater",$G$84,0),2),0))),((IFERROR(OFFSET($G$99,MATCH("waste oil Fired Heater",$G$100,0),2),0))),((IFERROR(OFFSET($G$114,MATCH("waste oil Fired Heater",$G$115,0),2),0))),((IFERROR(OFFSET($G$129,MATCH("waste oil Fired Heater",$G$130,0),2),0))),((IFERROR(OFFSET($G$144,MATCH("waste oil Fired Heater",$G$145,0),2),0))),((IFERROR(OFFSET($G$159,MATCH("waste oil Fired Heater",$G$160,0),2),0))))</f>
        <v>0</v>
      </c>
      <c r="T9" s="212" t="s">
        <v>255</v>
      </c>
    </row>
    <row r="10" spans="1:20" ht="14.25" customHeight="1" x14ac:dyDescent="0.2">
      <c r="B10" s="89" t="s">
        <v>203</v>
      </c>
      <c r="C10" s="110"/>
      <c r="E10" s="68" t="s">
        <v>139</v>
      </c>
      <c r="F10" s="71" t="s">
        <v>137</v>
      </c>
      <c r="G10" s="71" t="s">
        <v>138</v>
      </c>
      <c r="M10" s="95" t="s">
        <v>243</v>
      </c>
      <c r="N10" s="158">
        <f ca="1">MAX((IFERROR(OFFSET($G$24,MATCH("Natural Gas Fired Heater",$G$25,0),1),0)),((IFERROR(OFFSET($G$38,MATCH("Natural Gas Fired Heater",$G$39,0),1),0))),((IFERROR(OFFSET($G$53,MATCH("Natural Gas Fired Heater",$G$54,0),1),0))),((IFERROR(OFFSET($G$68,MATCH("Natural Gas Fired Heater",$G$69,0),1),0))),((IFERROR(OFFSET($G$83,MATCH("Natural Gas Fired Heater",$G$84,0),1),0))),((IFERROR(OFFSET($G$99,MATCH("Natural Gas Fired Heater",$G$100,0),1),0))),((IFERROR(OFFSET($G$114,MATCH("Natural Gas Fired Heater",$G$115,0),1),0))),((IFERROR(OFFSET($G$129,MATCH("Natural Gas Fired Heater",$G$130,0),1),0))),((IFERROR(OFFSET($G$144,MATCH("Natural Gas Fired Heater",$G$145,0),1),0))),((IFERROR(OFFSET($G$159,MATCH("Natural Gas Fired Heater",$G$160,0),1),0))))</f>
        <v>0</v>
      </c>
      <c r="O10" s="212" t="s">
        <v>244</v>
      </c>
      <c r="P10" s="158">
        <f ca="1">SUM((IFERROR(OFFSET($G$24,MATCH("Natural Gas Fired Heater",$G$25,0),2),0)),((IFERROR(OFFSET($G$38,MATCH("Natural Gas Fired Heater",$G$39,0),2),0))),((IFERROR(OFFSET($G$53,MATCH("Natural Gas Fired Heater",$G$54,0),2),0))),((IFERROR(OFFSET($G$68,MATCH("Natural Gas Fired Heater",$G$69,0),2),0))),((IFERROR(OFFSET($G$83,MATCH("Natural Gas Fired Heater",$G$84,0),2),0))),((IFERROR(OFFSET($G$99,MATCH("Natural Gas Fired Heater",$G$100,0),2),0))),((IFERROR(OFFSET($G$114,MATCH("Natural Gas Fired Heater",$G$115,0),2),0))),((IFERROR(OFFSET($G$129,MATCH("Natural Gas Fired Heater",$G$130,0),2),0))),((IFERROR(OFFSET($G$144,MATCH("Natural Gas Fired Heater",$G$145,0),2),0))),((IFERROR(OFFSET($G$159,MATCH("Natural Gas Fired Heater",$G$160,0),2),0))))</f>
        <v>0</v>
      </c>
      <c r="T10" s="212" t="s">
        <v>256</v>
      </c>
    </row>
    <row r="11" spans="1:20" ht="14.25" customHeight="1" x14ac:dyDescent="0.2">
      <c r="B11" s="87" t="s">
        <v>204</v>
      </c>
      <c r="C11" s="110"/>
      <c r="E11" s="70" t="s">
        <v>109</v>
      </c>
      <c r="F11" s="148"/>
      <c r="G11" s="148"/>
      <c r="M11" s="95" t="s">
        <v>247</v>
      </c>
      <c r="N11" s="158">
        <f ca="1">MAX((IFERROR(OFFSET($G$26,MATCH("Silo Filling",$G$27,0),1),0)),((IFERROR(OFFSET($G$40,MATCH("Silo Filling",$G$41,0),1),0))),((IFERROR(OFFSET($G$55,MATCH("Silo Filling",$G$56,0),1),0))),((IFERROR(OFFSET($G$70,MATCH("Silo Filling",$G$71,0),1),0))),((IFERROR(OFFSET($G$85,MATCH("Silo Filling",$G$86,0),1),0))),((IFERROR(OFFSET($G$101,MATCH("Silo Filling",$G$102,0),1),0))),((IFERROR(OFFSET($G$116,MATCH("Silo Filling",$G$117,0),1),0))),((IFERROR(OFFSET($G$131,MATCH("Silo Filling",$G$132,0),1),0))),((IFERROR(OFFSET($G$146,MATCH("Silo Filling",$G$147,0),1),0))),((IFERROR(OFFSET($G$161,MATCH("Silo Filling",$G$162,0),1),0))))</f>
        <v>0</v>
      </c>
      <c r="O11" s="212" t="s">
        <v>253</v>
      </c>
      <c r="P11" s="158">
        <f ca="1">SUM((IFERROR(OFFSET($G$26,MATCH("Silo Filling",$G$27,0),2),0)),((IFERROR(OFFSET($G$40,MATCH("Silo Filling",$G$41,0),2),0))),((IFERROR(OFFSET($G$55,MATCH("Silo Filling",$G$56,0),2),0))),((IFERROR(OFFSET($G$70,MATCH("Silo Filling",$G$71,0),2),0))),((IFERROR(OFFSET($G$85,MATCH("Silo Filling",$G$86,0),2),0))),((IFERROR(OFFSET($G$101,MATCH("Silo Filling",$G$102,0),2),0))),((IFERROR(OFFSET($G$116,MATCH("Silo Filling",$G$117,0),2),0))),((IFERROR(OFFSET($G$131,MATCH("Silo Filling",$G$132,0),2),0))),((IFERROR(OFFSET($G$146,MATCH("Silo Filling",$G$147,0),2),0))),((IFERROR(OFFSET($G$161,MATCH("Silo Filling",$G$162,0),2),0))))</f>
        <v>0</v>
      </c>
      <c r="T11" s="212" t="s">
        <v>138</v>
      </c>
    </row>
    <row r="12" spans="1:20" ht="14.25" customHeight="1" x14ac:dyDescent="0.2">
      <c r="B12" s="89" t="s">
        <v>145</v>
      </c>
      <c r="C12" s="110"/>
      <c r="E12" s="69" t="s">
        <v>16</v>
      </c>
      <c r="F12" s="148"/>
      <c r="G12" s="148"/>
      <c r="M12" s="95" t="s">
        <v>249</v>
      </c>
      <c r="N12" s="158">
        <f ca="1">MAX((IFERROR(OFFSET(G27,MATCH("Truck Loadout",G28,0),1),0)),((IFERROR(OFFSET(G41,MATCH("Truck Loadout",G42,0),1),0))),((IFERROR(OFFSET(G56,MATCH("Truck Loadout",G57,0),1),0))),((IFERROR(OFFSET(G71,MATCH("Truck Loadout",G72,0),1),0))),((IFERROR(OFFSET(G86,MATCH("Truck Loadout",G87,0),1),0))),((IFERROR(OFFSET(G102,MATCH("Truck Loadout",G103,0),1),0))),((IFERROR(OFFSET(G117,MATCH("Truck Loadout",G118,0),1),0))),((IFERROR(OFFSET(G132,MATCH("Truck Loadout",G133,0),1),0))),((IFERROR(OFFSET(G147,MATCH("Truck Loadout",G148,0),1),0))),((IFERROR(OFFSET(G162,MATCH("Truck Loadout",G163,0),1),0))))</f>
        <v>0</v>
      </c>
      <c r="O12" s="212" t="s">
        <v>253</v>
      </c>
      <c r="P12" s="158">
        <f ca="1">SUM((IFERROR(OFFSET(G27,MATCH("Truck Loadout",G28,0),2),0)),((IFERROR(OFFSET(G41,MATCH("Truck Loadout",G42,0),2),0))),((IFERROR(OFFSET(G56,MATCH("Truck Loadout",G57,0),2),0))),((IFERROR(OFFSET(G71,MATCH("Truck Loadout",G72,0),2),0))),((IFERROR(OFFSET(G86,MATCH("Truck Loadout",G87,0),2),0))),((IFERROR(OFFSET(G102,MATCH("Truck Loadout",G103,0),2),0))),((IFERROR(OFFSET(G117,MATCH("Truck Loadout",G118,0),2),0))),((IFERROR(OFFSET(G132,MATCH("Truck Loadout",G133,0),2),0))),((IFERROR(OFFSET(G147,MATCH("Truck Loadout",G148,0),2),0))),((IFERROR(OFFSET(G162,MATCH("Truck Loadout",G163,0),2),0))))</f>
        <v>0</v>
      </c>
      <c r="T12" s="212" t="s">
        <v>138</v>
      </c>
    </row>
    <row r="13" spans="1:20" ht="14.25" customHeight="1" x14ac:dyDescent="0.25">
      <c r="A13" s="78" t="s">
        <v>199</v>
      </c>
      <c r="B13" s="318" t="s">
        <v>317</v>
      </c>
      <c r="C13" s="318"/>
      <c r="D13" s="36"/>
      <c r="E13" s="69" t="s">
        <v>3</v>
      </c>
      <c r="F13" s="148"/>
      <c r="G13" s="148"/>
      <c r="M13" s="95" t="s">
        <v>251</v>
      </c>
      <c r="N13" s="158">
        <f ca="1">MAX((IFERROR(OFFSET(G28,MATCH("Cold Aggregate Bins",G29,0),1),0)),((IFERROR(OFFSET(G42,MATCH("Cold Aggregate Bins",G43,0),1),0))),((IFERROR(OFFSET(G57,MATCH("Cold Aggregate Bins",G58,0),1),0))),((IFERROR(OFFSET(G72,MATCH("Cold Aggregate Bins",G73,0),1),0))),((IFERROR(OFFSET(G87,MATCH("Cold Aggregate Bins",G88,0),1),0))),((IFERROR(OFFSET(G103,MATCH("Cold Aggregate Bins",G104,0),1),0))),((IFERROR(OFFSET(G118,MATCH("Cold Aggregate Bins",G119,0),1),0))),((IFERROR(OFFSET(G133,MATCH("Cold Aggregate Bins",G134,0),1),0))),((IFERROR(OFFSET(G148,MATCH("Cold Aggregate Bins",G149,0),1),0))),((IFERROR(OFFSET(G163,MATCH("Cold Aggregate Bins",G164,0),1),0))))</f>
        <v>0</v>
      </c>
      <c r="O13" s="212" t="s">
        <v>253</v>
      </c>
      <c r="P13" s="158">
        <f ca="1">SUM((IFERROR(OFFSET(G28,MATCH("Cold Aggregate Bins",G29,0),2),0)),((IFERROR(OFFSET(G42,MATCH("Cold Aggregate Bins",G43,0),2),0))),((IFERROR(OFFSET(G57,MATCH("Cold Aggregate Bins",G58,0),2),0))),((IFERROR(OFFSET(G72,MATCH("Cold Aggregate Bins",G73,0),2),0))),((IFERROR(OFFSET(G87,MATCH("Cold Aggregate Bins",G88,0),2),0))),((IFERROR(OFFSET(G103,MATCH("Cold Aggregate Bins",G104,0),2),0))),((IFERROR(OFFSET(G118,MATCH("Cold Aggregate Bins",G119,0),2),0))),((IFERROR(OFFSET(G133,MATCH("Cold Aggregate Bins",G134,0),2),0))),((IFERROR(OFFSET(G148,MATCH("Cold Aggregate Bins",G149,0),2),0))),((IFERROR(OFFSET(G163,MATCH("Cold Aggregate Bins",G164,0),2),0))))</f>
        <v>0</v>
      </c>
      <c r="T13" s="212" t="s">
        <v>138</v>
      </c>
    </row>
    <row r="14" spans="1:20" ht="14.25" customHeight="1" x14ac:dyDescent="0.25">
      <c r="A14" s="78" t="s">
        <v>200</v>
      </c>
      <c r="B14" s="319" t="s">
        <v>319</v>
      </c>
      <c r="C14" s="319"/>
      <c r="D14" s="36"/>
      <c r="E14" s="69" t="s">
        <v>26</v>
      </c>
      <c r="F14" s="148"/>
      <c r="G14" s="148"/>
      <c r="M14" s="78"/>
      <c r="N14" s="214" t="s">
        <v>273</v>
      </c>
      <c r="O14" s="251" t="s">
        <v>152</v>
      </c>
      <c r="P14" s="251"/>
    </row>
    <row r="15" spans="1:20" ht="14.25" customHeight="1" x14ac:dyDescent="0.25">
      <c r="A15" s="78" t="s">
        <v>201</v>
      </c>
      <c r="B15" s="319" t="s">
        <v>318</v>
      </c>
      <c r="C15" s="319"/>
      <c r="D15" s="36"/>
      <c r="E15" s="69" t="s">
        <v>5</v>
      </c>
      <c r="F15" s="148"/>
      <c r="G15" s="148"/>
      <c r="M15" s="95" t="s">
        <v>39</v>
      </c>
      <c r="N15" s="212">
        <f>SUM(G33,G47,G62,G77,G92,G108,G123,G138,G153,G168,)</f>
        <v>0</v>
      </c>
      <c r="O15" s="258">
        <f>SUM(H33*I33,H47*I47,H62*I62,H77*I77,H92*I92,H108*I108,H123*I123,H138*I138,H153*I153,H168*I168)</f>
        <v>0</v>
      </c>
      <c r="P15" s="164"/>
    </row>
    <row r="16" spans="1:20" ht="15" customHeight="1" x14ac:dyDescent="0.25">
      <c r="B16" s="15"/>
      <c r="C16" s="15"/>
      <c r="D16" s="15"/>
      <c r="E16" s="69" t="s">
        <v>6</v>
      </c>
      <c r="F16" s="148"/>
      <c r="G16" s="148"/>
      <c r="J16" s="81"/>
      <c r="K16" s="81"/>
    </row>
    <row r="17" spans="1:20" ht="14.25" customHeight="1" thickBot="1" x14ac:dyDescent="0.3">
      <c r="A17" s="78" t="s">
        <v>196</v>
      </c>
      <c r="B17" s="91"/>
      <c r="C17" s="91"/>
      <c r="D17" s="91"/>
      <c r="E17" s="92"/>
      <c r="F17" s="92"/>
      <c r="G17" s="123"/>
      <c r="H17" s="123"/>
      <c r="I17" s="93"/>
    </row>
    <row r="18" spans="1:20" ht="14.25" customHeight="1" x14ac:dyDescent="0.25">
      <c r="A18" s="153" t="s">
        <v>197</v>
      </c>
      <c r="B18" s="15"/>
      <c r="C18" s="15"/>
      <c r="D18" s="15"/>
      <c r="E18" s="90"/>
      <c r="F18" s="90"/>
      <c r="G18" s="61"/>
      <c r="H18" s="61"/>
      <c r="M18" s="56" t="s">
        <v>298</v>
      </c>
    </row>
    <row r="19" spans="1:20" ht="14.25" customHeight="1" x14ac:dyDescent="0.2">
      <c r="B19" s="131"/>
      <c r="C19" s="61"/>
      <c r="J19" s="161"/>
      <c r="K19" s="161"/>
    </row>
    <row r="20" spans="1:20" ht="27.75" customHeight="1" x14ac:dyDescent="0.25">
      <c r="B20" s="79" t="s">
        <v>193</v>
      </c>
      <c r="C20" s="80" t="s">
        <v>144</v>
      </c>
      <c r="E20" s="259" t="s">
        <v>1</v>
      </c>
      <c r="F20" s="261" t="s">
        <v>178</v>
      </c>
      <c r="G20" s="261" t="s">
        <v>140</v>
      </c>
      <c r="H20" s="259" t="s">
        <v>210</v>
      </c>
      <c r="I20" s="261" t="str">
        <f>('Facility Information'!G5&amp;" Annual Throughput")</f>
        <v xml:space="preserve"> Annual Throughput</v>
      </c>
      <c r="J20" s="162"/>
      <c r="K20" s="162"/>
      <c r="M20" s="94" t="s">
        <v>109</v>
      </c>
      <c r="N20" s="264" t="s">
        <v>141</v>
      </c>
      <c r="O20" s="264" t="s">
        <v>12</v>
      </c>
      <c r="P20" s="264" t="s">
        <v>2</v>
      </c>
      <c r="Q20" s="264" t="s">
        <v>146</v>
      </c>
      <c r="R20" s="264" t="s">
        <v>128</v>
      </c>
      <c r="S20" s="264" t="s">
        <v>13</v>
      </c>
      <c r="T20" s="264" t="s">
        <v>147</v>
      </c>
    </row>
    <row r="21" spans="1:20" ht="14.25" customHeight="1" x14ac:dyDescent="0.2">
      <c r="A21" s="78" t="s">
        <v>37</v>
      </c>
      <c r="B21" s="81"/>
      <c r="D21" s="56"/>
      <c r="E21" s="260"/>
      <c r="F21" s="260"/>
      <c r="G21" s="260"/>
      <c r="H21" s="260"/>
      <c r="I21" s="260"/>
      <c r="J21" s="163"/>
      <c r="K21" s="163"/>
      <c r="M21" s="95" t="str">
        <f>$C$5 &amp; " - Fuel Oil"</f>
        <v xml:space="preserve"> - Fuel Oil</v>
      </c>
      <c r="N21" s="111">
        <f ca="1">N5</f>
        <v>0</v>
      </c>
      <c r="O21" s="165">
        <f ca="1">IF(N21=0,0,IF(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0,0,(MAX((IFERROR(OFFSET($G$22,MATCH(M21,$G$23,0),3),0)),((IFERROR(OFFSET($G$36,MATCH(M21,$G$37,0),3),0))),((IFERROR(OFFSET($G$51,MATCH(M21,$G$52,0),3),0))),((IFERROR(OFFSET($G$66,MATCH(M21,$G$67,0),3),0))),((IFERROR(OFFSET($G$81,MATCH(M21,$G$82,0),3),0))),((IFERROR(OFFSET($G$97,MATCH(M21,$G$98,0),3),0))),((IFERROR(OFFSET($G$112,MATCH(M21,$G$113,0),3),0))),((IFERROR(OFFSET($G$127,MATCH(M21,$G$128,0),3),0))),((IFERROR(OFFSET($G$142,MATCH(M21,$G$143,0),3),0))),((IFERROR(OFFSET($G$157,MATCH(M21,$G$158,0),3),0)))))))</f>
        <v>0</v>
      </c>
      <c r="P21" s="212" t="str">
        <f t="shared" ref="P21:P26" ca="1" si="0">IF(O21="","","lb/ton")</f>
        <v>lb/ton</v>
      </c>
      <c r="Q21" s="166" t="str">
        <f ca="1">IF(O21=0.27,N21*O21,IF(O21=1.54,N21*O21,""))</f>
        <v/>
      </c>
      <c r="R21" s="166" t="str">
        <f ca="1">IF(N21=0,"",IF(AND($F$11&gt;0,$O$21&gt;=$O$22,$O$21&gt;=$O$23),$F$11,IF(O21=0.0083,N21*O21,IF(O21=0.007,N21*O21,""))))</f>
        <v/>
      </c>
      <c r="S21" s="166">
        <f ca="1">IF(N21=0,0,IF($G$11&gt;0,$G$11,IF(AND(OR($C$10&gt;0,$C$11&gt;0,$C$12&gt;0),$O$21&gt;=$O$22,$O$21&gt;=$O$23),(IF($C$10&gt;0,$C$10*O21/2000,IF($C$11&gt;0,$C$11*365*O21/2000,IF($C$12&gt;0,$C$12*365*O21*N21/2000)))),IF(AND($F$11&gt;0,$O$21&gt;=$O$22,$O$21&gt;=$O$23),$F$11*8760/2000,IF(AND(OR($C$10="",$C$10=0),OR($C$11="",$C$11=0),OR($C$12="",$C$12=0),$F$11=""),IF(R21="",Q21*8760/2000,R21*8760/2000),"")))))</f>
        <v>0</v>
      </c>
      <c r="T21" s="166">
        <f ca="1">IF(N21="","",SUM((IFERROR(MATCH(M21,$G$23,0)*$I$23*$J$23/2000,0)),(IFERROR(MATCH(M21,$G$37,0)*$I$37*$J$37/2000,0)),(IFERROR(MATCH(M21,$G$52,0)*$I$52*$J$52/2000,0)),(IFERROR(MATCH(M21,$G$67,0)*$I$67*$J$67/2000,0)),(IFERROR(MATCH(M21,$G$82,0)*$I$82*$J$82/2000,0)),(IFERROR(MATCH(M21,$G$98,0)*$I$98*$J$98/2000,0)),(IFERROR(MATCH(M21,$G$113,0)*$I$113*$J$113/2000,0)),(IFERROR(MATCH(M21,$G$128,0)*$I$128*$J$128/2000,0)),(IFERROR(MATCH(M21,$G$143,0)*$I$143*$J$143/2000,0)),(IFERROR(MATCH(M21,$G$158,0)*$I$158*$J$158/2000,0))))</f>
        <v>0</v>
      </c>
    </row>
    <row r="22" spans="1:20" ht="14.25" customHeight="1" x14ac:dyDescent="0.2">
      <c r="A22" s="78" t="s">
        <v>38</v>
      </c>
      <c r="B22" s="82" t="s">
        <v>88</v>
      </c>
      <c r="C22" s="73"/>
      <c r="D22" s="56"/>
      <c r="E22" s="152" t="s">
        <v>205</v>
      </c>
      <c r="H22" s="149" t="s">
        <v>206</v>
      </c>
      <c r="I22" s="149" t="s">
        <v>208</v>
      </c>
      <c r="J22" s="163" t="s">
        <v>109</v>
      </c>
      <c r="K22" s="163" t="s">
        <v>16</v>
      </c>
      <c r="M22" s="95" t="str">
        <f>$C$5 &amp; " - Waste Oil"</f>
        <v xml:space="preserve"> - Waste Oil</v>
      </c>
      <c r="N22" s="111">
        <f ca="1">N6</f>
        <v>0</v>
      </c>
      <c r="O22" s="165">
        <f ca="1">IF(N22=0,0,IF(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0,0,(MAX((IFERROR(OFFSET($G$22,MATCH(M22,$G$23,0),3),0)),((IFERROR(OFFSET($G$36,MATCH(M22,$G$37,0),3),0))),((IFERROR(OFFSET($G$51,MATCH(M22,$G$52,0),3),0))),((IFERROR(OFFSET($G$66,MATCH(M22,$G$67,0),3),0))),((IFERROR(OFFSET($G$81,MATCH(M22,$G$82,0),3),0))),((IFERROR(OFFSET($G$97,MATCH(M22,$G$98,0),3),0))),((IFERROR(OFFSET($G$112,MATCH(M22,$G$113,0),3),0))),((IFERROR(OFFSET($G$127,MATCH(M22,$G$128,0),3),0))),((IFERROR(OFFSET($G$142,MATCH(M22,$G$143,0),3),0))),((IFERROR(OFFSET($G$157,MATCH(M22,$G$158,0),3),0)))))))</f>
        <v>0</v>
      </c>
      <c r="P22" s="212" t="str">
        <f t="shared" ca="1" si="0"/>
        <v>lb/ton</v>
      </c>
      <c r="Q22" s="166" t="str">
        <f ca="1">IF(O22=0.27,N22*O22,IF(O22=1.54,N22*O22,""))</f>
        <v/>
      </c>
      <c r="R22" s="166" t="str">
        <f ca="1">IF(N22=0,"",IF(AND($F$11&gt;0,$O$22&gt;$O$21,$O$22&gt;=$O$23),$F$11,IF(O22=0.0083,N22*O22,IF(O22=0.007,N22*O22,""))))</f>
        <v/>
      </c>
      <c r="S22" s="166">
        <f ca="1">IF(N22=0,0,IF($G$11&gt;0,IF(S21=0,G11,""),IF(AND(OR($C$10&gt;0,$C$11&gt;0,$C$12&gt;0),$O$22&gt;$O$21,$O$22&gt;=$O$23),(IF($C$10&gt;0,$C$10*O22/2000,IF($C$11&gt;0,$C$11*365*O22/2000,IF($C$12&gt;0,$C$12*365*O22*N22/2000)))),IF(AND($F$11&gt;0,$O$22&gt;$O$21,$O$22&gt;=$O$23),$F$11*8760/2000,IF(AND(OR($C$10="",$C$10=0),OR($C$11="",$C$11=0),OR($C$12="",$C$12=0),$F$11=""),IF(R22="",Q22*8760/2000,R22*8760/2000),"")))))</f>
        <v>0</v>
      </c>
      <c r="T22" s="166">
        <f ca="1">IF(N22="","",SUM((IFERROR(MATCH(M22,$G$23,0)*$I$23*$J$23/2000,0)),(IFERROR(MATCH(M22,$G$37,0)*$I$37*$J$37/2000,0)),(IFERROR(MATCH(M22,$G$52,0)*$I$52*$J$52/2000,0)),(IFERROR(MATCH(M22,$G$67,0)*$I$67*$J$67/2000,0)),(IFERROR(MATCH(M22,$G$82,0)*$I$82*$J$82/2000,0)),(IFERROR(MATCH(M22,$G$98,0)*$I$98*$J$98/2000,0)),(IFERROR(MATCH(M22,$G$113,0)*$I$113*$J$113/2000,0)),(IFERROR(MATCH(M22,$G$128,0)*$I$128*$J$128/2000,0)),(IFERROR(MATCH(M22,$G$143,0)*$I$143*$J$143/2000,0)),(IFERROR(MATCH(M22,$G$158,0)*$I$158*$J$158/2000,0))))</f>
        <v>0</v>
      </c>
    </row>
    <row r="23" spans="1:20" ht="14.25" customHeight="1" x14ac:dyDescent="0.2">
      <c r="B23" s="82" t="s">
        <v>89</v>
      </c>
      <c r="C23" s="73"/>
      <c r="D23" s="56"/>
      <c r="E23" s="124" t="str">
        <f>IF($C$4&gt;0,"AP-10 EP-1","")</f>
        <v/>
      </c>
      <c r="F23" s="124" t="str">
        <f>IF($C$4&gt;0,"AP-10 EU-1","")</f>
        <v/>
      </c>
      <c r="G23" s="222" t="str">
        <f>IF(C25="","",C5 &amp; " - "&amp;C25)</f>
        <v/>
      </c>
      <c r="H23" s="72"/>
      <c r="I23" s="144"/>
      <c r="J23" s="225" t="str">
        <f>IF(C26="","",IF(C26="yes",LOOKUP(G23,'Emission Factors'!$A$12:$A$17,'Emission Factors'!$D$12:$D$17),LOOKUP(G23,'Emission Factors'!$A$5:$A$10,'Emission Factors'!$D$5:$D$10)))</f>
        <v/>
      </c>
      <c r="K23" s="225" t="str">
        <f>IF(C26="","",IF(C26="yes",LOOKUP(G23,'Emission Factors'!$A$12:$A$17,'Emission Factors'!$F$12:$F$17),LOOKUP(G23,'Emission Factors'!$A$5:$A$10,'Emission Factors'!$F$5:$F$10)))</f>
        <v/>
      </c>
      <c r="M23" s="95" t="str">
        <f>$C$5 &amp; " - Natural Gas"</f>
        <v xml:space="preserve"> - Natural Gas</v>
      </c>
      <c r="N23" s="111">
        <f ca="1">N7</f>
        <v>0</v>
      </c>
      <c r="O23" s="165">
        <f ca="1">IF(N23=0,0,IF(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0,0,(MAX((IFERROR(OFFSET($G$22,MATCH(M23,$G$23,0),3),0)),((IFERROR(OFFSET($G$36,MATCH(M23,$G$37,0),3),0))),((IFERROR(OFFSET($G$51,MATCH(M23,$G$52,0),3),0))),((IFERROR(OFFSET($G$66,MATCH(M23,$G$67,0),3),0))),((IFERROR(OFFSET($G$81,MATCH(M23,$G$82,0),3),0))),((IFERROR(OFFSET($G$97,MATCH(M23,$G$98,0),3),0))),((IFERROR(OFFSET($G$112,MATCH(M23,$G$113,0),3),0))),((IFERROR(OFFSET($G$127,MATCH(M23,$G$128,0),3),0))),((IFERROR(OFFSET($G$142,MATCH(M23,$G$143,0),3),0))),((IFERROR(OFFSET($G$157,MATCH(M23,$G$158,0),3),0)))))))</f>
        <v>0</v>
      </c>
      <c r="P23" s="212" t="str">
        <f t="shared" ca="1" si="0"/>
        <v>lb/ton</v>
      </c>
      <c r="Q23" s="166" t="str">
        <f ca="1">IF(O23=0.27,N23*O23,IF(O23=1.54,N23*O23,""))</f>
        <v/>
      </c>
      <c r="R23" s="166" t="str">
        <f ca="1">IF(N23=0,"",IF(AND($F$11&gt;0,$O$23&gt;$O$21,$O$23&gt;$O$21),$F$11,IF(O23=0.0083,N23*O23,IF(O23=0.007,N23*O23,""))))</f>
        <v/>
      </c>
      <c r="S23" s="166">
        <f ca="1">IF(N23=0,0,IF($G$11&gt;0,IF(AND(S21=0,S22=0),""),IF(AND(OR($C$10&gt;0,$C$11&gt;0,$C$12&gt;0),$O$23&gt;$O$21,$O$23&gt;$O$21),(IF($C$10&gt;0,$C$10*O23/2000,IF($C$11&gt;0,$C$11*365*O23/2000,IF($C$12&gt;0,$C$12*365*O23*N23/2000)))),IF(AND($F$11&gt;0,$O$23&gt;$O$21,$O$23&gt;$O$21),$F$11*8760/2000,IF(AND(OR($C$10="",$C$10=0),OR($C$11="",$C$11=0),OR($C$12="",$C$12=0),$F$11=""),IF(R23="",Q23*8760/2000,R23*8760/2000),"")))))</f>
        <v>0</v>
      </c>
      <c r="T23" s="166">
        <f ca="1">IF(N23="","",SUM((IFERROR(MATCH(M23,$G$23,0)*$I$23*$J$23/2000,0)),(IFERROR(MATCH(M23,$G$37,0)*$I$37*$J$37/2000,0)),(IFERROR(MATCH(M23,$G$52,0)*$I$52*$J$52/2000,0)),(IFERROR(MATCH(M23,$G$67,0)*$I$67*$J$67/2000,0)),(IFERROR(MATCH(M23,$G$82,0)*$I$82*$J$82/2000,0)),(IFERROR(MATCH(M23,$G$98,0)*$I$98*$J$98/2000,0)),(IFERROR(MATCH(M23,$G$113,0)*$I$113*$J$113/2000,0)),(IFERROR(MATCH(M23,$G$128,0)*$I$128*$J$128/2000,0)),(IFERROR(MATCH(M23,$G$143,0)*$I$143*$J$143/2000,0)),(IFERROR(MATCH(M23,$G$158,0)*$I$158*$J$158/2000,0))))</f>
        <v>0</v>
      </c>
    </row>
    <row r="24" spans="1:20" ht="14.25" customHeight="1" x14ac:dyDescent="0.2">
      <c r="A24" s="154"/>
      <c r="B24" s="82" t="s">
        <v>192</v>
      </c>
      <c r="C24" s="73"/>
      <c r="D24" s="56"/>
      <c r="E24" s="152" t="s">
        <v>207</v>
      </c>
      <c r="H24" s="149" t="str">
        <f>IF(C25="natural gas", "(MMCF/hr)","(gallons/hr)")</f>
        <v>(gallons/hr)</v>
      </c>
      <c r="I24" s="149" t="str">
        <f>IF(C25="natural gas", "(MMCF/yr)","(gallons/yr)")</f>
        <v>(gallons/yr)</v>
      </c>
      <c r="K24" s="226"/>
      <c r="M24" s="95" t="s">
        <v>247</v>
      </c>
      <c r="N24" s="111">
        <f ca="1">N11</f>
        <v>0</v>
      </c>
      <c r="O24" s="165">
        <f ca="1">IF(N24=0,0,IF(N24=0,0,LOOKUP(M24,'Emission Factors'!$A$23:$A$25,'Emission Factors'!$D$23:$D$25)))</f>
        <v>0</v>
      </c>
      <c r="P24" s="212" t="str">
        <f t="shared" ca="1" si="0"/>
        <v>lb/ton</v>
      </c>
      <c r="Q24" s="166">
        <f ca="1">N24*O24</f>
        <v>0</v>
      </c>
      <c r="R24" s="167"/>
      <c r="S24" s="166">
        <f ca="1">IF($G$11&gt;0,"",IF($C$10&gt;0,$C$10*O24/2000,IF($C$11&gt;0,$C$11*365*O24/2000,IF($C$12&gt;0,$C$12*365*O24*N24/2000,IF($F$11&gt;0,"",IF(R24="",Q24*8760/2000,R24*8760/2000))))))</f>
        <v>0</v>
      </c>
      <c r="T24" s="166">
        <f ca="1">(P11*O24/2000)</f>
        <v>0</v>
      </c>
    </row>
    <row r="25" spans="1:20" ht="14.25" customHeight="1" x14ac:dyDescent="0.2">
      <c r="A25" s="155"/>
      <c r="B25" s="147" t="s">
        <v>198</v>
      </c>
      <c r="C25" s="230"/>
      <c r="D25" s="56"/>
      <c r="E25" s="124" t="str">
        <f>IF($C$4&gt;0,"AP-10 EP-2","")</f>
        <v/>
      </c>
      <c r="F25" s="124" t="str">
        <f>IF($C$4&gt;0,"AP-10 EU-2","")</f>
        <v/>
      </c>
      <c r="G25" s="222" t="str">
        <f>IF(C25="","",C25&amp; " Fired Heater")</f>
        <v/>
      </c>
      <c r="H25" s="72"/>
      <c r="I25" s="144"/>
      <c r="J25" s="163"/>
      <c r="K25" s="163"/>
      <c r="M25" s="95" t="s">
        <v>249</v>
      </c>
      <c r="N25" s="111">
        <f ca="1">N12</f>
        <v>0</v>
      </c>
      <c r="O25" s="165">
        <f ca="1">IF(N25=0,0,IF(N25=0,0,LOOKUP(M25,'Emission Factors'!$A$23:$A$25,'Emission Factors'!$D$23:$D$25)))</f>
        <v>0</v>
      </c>
      <c r="P25" s="212" t="str">
        <f t="shared" ca="1" si="0"/>
        <v>lb/ton</v>
      </c>
      <c r="Q25" s="166">
        <f ca="1">N25*O25</f>
        <v>0</v>
      </c>
      <c r="R25" s="167"/>
      <c r="S25" s="166">
        <f ca="1">IF($G$11&gt;0,"",IF($C$10&gt;0,$C$10*O25/2000,IF($C$11&gt;0,$C$11*365*O25/2000,IF($C$12&gt;0,$C$12*365*O25*N25/2000,IF($F$11&gt;0,"",IF(R25="",Q25*8760/2000,R25*8760/2000))))))</f>
        <v>0</v>
      </c>
      <c r="T25" s="166">
        <f ca="1">(P12*O25/2000)</f>
        <v>0</v>
      </c>
    </row>
    <row r="26" spans="1:20" ht="14.25" customHeight="1" x14ac:dyDescent="0.2">
      <c r="A26" s="155"/>
      <c r="B26" s="83" t="s">
        <v>202</v>
      </c>
      <c r="C26" s="230"/>
      <c r="D26" s="56"/>
      <c r="E26" s="152" t="s">
        <v>209</v>
      </c>
      <c r="H26" s="149" t="s">
        <v>206</v>
      </c>
      <c r="I26" s="149" t="s">
        <v>208</v>
      </c>
      <c r="J26" s="226"/>
      <c r="K26" s="226"/>
      <c r="M26" s="95" t="s">
        <v>251</v>
      </c>
      <c r="N26" s="111">
        <f ca="1">N13</f>
        <v>0</v>
      </c>
      <c r="O26" s="165">
        <f ca="1">IF(N26=0,0,IF(N26=0,0,LOOKUP(M26,'Emission Factors'!A23:A25,'Emission Factors'!D23:D25)))</f>
        <v>0</v>
      </c>
      <c r="P26" s="212" t="str">
        <f t="shared" ca="1" si="0"/>
        <v>lb/ton</v>
      </c>
      <c r="Q26" s="166">
        <f ca="1">N26*O26</f>
        <v>0</v>
      </c>
      <c r="R26" s="166"/>
      <c r="S26" s="166">
        <f ca="1">IF($G$11&gt;0,"",IF($C$10&gt;0,$C$10*O26/2000,IF($C$11&gt;0,$C$11*365*O26/2000,IF($C$12&gt;0,$C$12*365*O26*N26/2000,IF($F$11&gt;0,"",IF(R26="",Q26*8760/2000,R26*8760/2000))))))</f>
        <v>0</v>
      </c>
      <c r="T26" s="166">
        <f ca="1">(P13*O26/2000)</f>
        <v>0</v>
      </c>
    </row>
    <row r="27" spans="1:20" ht="14.25" customHeight="1" x14ac:dyDescent="0.2">
      <c r="A27" s="155"/>
      <c r="D27" s="56"/>
      <c r="E27" s="124" t="str">
        <f>IF($C$4&gt;0,"AP-10 EP-3","")</f>
        <v/>
      </c>
      <c r="F27" s="124" t="str">
        <f>IF($C$4&gt;0,"AP-10 EU-3","")</f>
        <v/>
      </c>
      <c r="G27" s="222" t="str">
        <f>IF(C5="","","Silo Filling")</f>
        <v/>
      </c>
      <c r="H27" s="72"/>
      <c r="I27" s="144"/>
      <c r="J27" s="226"/>
      <c r="K27" s="226"/>
      <c r="M27" s="94" t="s">
        <v>16</v>
      </c>
      <c r="Q27" s="172"/>
    </row>
    <row r="28" spans="1:20" ht="14.25" customHeight="1" x14ac:dyDescent="0.2">
      <c r="A28" s="155"/>
      <c r="B28" s="83"/>
      <c r="D28" s="56"/>
      <c r="E28" s="124" t="str">
        <f>IF($C$4&gt;0,"AP-10 EP-3","")</f>
        <v/>
      </c>
      <c r="F28" s="124" t="str">
        <f>IF($C$4&gt;0,"AP-10 EU-4","")</f>
        <v/>
      </c>
      <c r="G28" s="222" t="str">
        <f>IF(C5="","","Truck Loadout")</f>
        <v/>
      </c>
      <c r="H28" s="72"/>
      <c r="I28" s="144"/>
      <c r="J28" s="226"/>
      <c r="K28" s="226"/>
      <c r="M28" s="95" t="str">
        <f>$C$5 &amp; " - Fuel Oil"</f>
        <v xml:space="preserve"> - Fuel Oil</v>
      </c>
      <c r="N28" s="111">
        <f ca="1">N5</f>
        <v>0</v>
      </c>
      <c r="O28" s="165">
        <f ca="1">IF(N28=0,0,IF(MAX((IFERROR(OFFSET($G$22,MATCH(M28,$G$23,0),4),0)),((IFERROR(OFFSET($G$36,MATCH(M28,$G$37,0),4),0))),((IFERROR(OFFSET($G$51,MATCH(M28,$G$52,0),4),0))),((IFERROR(OFFSET($G$66,MATCH(M28,$G$67,0),4),0))),((IFERROR(OFFSET($G$81,MATCH(M28,$G$82,0),3),0))),((IFERROR(OFFSET($G$97,MATCH(M28,$G$98,0),4),0))),((IFERROR(OFFSET($G$112,MATCH(M28,$G$113,0),4),0))),((IFERROR(OFFSET($G$127,MATCH(M28,$G$128,0),4),0))),((IFERROR(OFFSET($G$142,MATCH(M28,$G$143,0),4),0))),((IFERROR(OFFSET($G$157,MATCH(M28,$G$158,0),4),0))))=0,0,(MAX((IFERROR(OFFSET($G$22,MATCH(M28,$G$23,0),4),0)),((IFERROR(OFFSET($G$36,MATCH(M28,$G$37,0),4),0))),((IFERROR(OFFSET($G$51,MATCH(M28,$G$52,0),4),0))),((IFERROR(OFFSET($G$66,MATCH(M28,$G$67,0),4),0))),((IFERROR(OFFSET($G$81,MATCH(M28,$G$82,0),4),0))),((IFERROR(OFFSET($G$97,MATCH(M28,$G$98,0),4),0))),((IFERROR(OFFSET($G$112,MATCH(M28,$G$113,0),4),0))),((IFERROR(OFFSET($G$127,MATCH(M28,$G$128,0),4),0))),((IFERROR(OFFSET($G$142,MATCH(M28,$G$143,0),4),0))),((IFERROR(OFFSET($G$157,MATCH(M28,$G$158,0),4),0)))))))</f>
        <v>0</v>
      </c>
      <c r="P28" s="212" t="str">
        <f t="shared" ref="P28:P33" ca="1" si="1">IF(O28="","","lb/ton")</f>
        <v>lb/ton</v>
      </c>
      <c r="Q28" s="166" t="str">
        <f ca="1">IF(O28=4.5,N28*O28,IF(O28=6.5,N28*O28,""))</f>
        <v/>
      </c>
      <c r="R28" s="166" t="str">
        <f ca="1">IF(N28=0,"",IF(AND($F$12&gt;0,$O$28&gt;=$O$29,$O$28&gt;=$O$30),$F$12,IF(O28=0.0098,N28*O28,IF(O28=0.023,N28*O28,""))))</f>
        <v/>
      </c>
      <c r="S28" s="166">
        <f ca="1">IF(N28=0,0,IF($G$12&gt;0,$G$12,IF(AND(OR($C$10&gt;0,$C$11&gt;0,$C$12&gt;0),$O$28&gt;=$O$29,$O$28&gt;=$O$30),(IF($C$10&gt;0,$C$10*O28/2000,IF($C$11&gt;0,$C$11*365*O28/2000,IF($C$12&gt;0,$C$12*365*O28*N28/2000)))),IF(AND($F$12&gt;0,$O$28&gt;=$O$29,$O$28&gt;=$O$30),$F$12*8760/2000,IF(AND(OR($C$10="",$C$10=0),OR($C$11="",$C$11=0),OR($C$12="",$C$12=0),$F$12=""),IF(R28="",Q28*8760/2000,R28*8760/2000),"")))))</f>
        <v>0</v>
      </c>
      <c r="T28" s="166">
        <f ca="1">IF(N28="","",SUM((IFERROR(MATCH(M28,$G$23,0)*$I$23*$K$23/2000,0)),(IFERROR(MATCH(M28,$G$37,0)*$I$37*$K$37/2000,0)),(IFERROR(MATCH(M28,$G$52,0)*$I$52*$K$52/2000,0)),(IFERROR(MATCH(M28,$G$67,0)*$I$67*$K$67/2000,0)),(IFERROR(MATCH(M28,$G$82,0)*$I$82*$K$82/2000,0)),(IFERROR(MATCH(M28,$G$98,0)*$I$98*$K$98/2000,0)),(IFERROR(MATCH(M28,$G$113,0)*$I$113*$K$113/2000,0)),(IFERROR(MATCH(M28,$G$128,0)*$I$128*$K$128/2000,0)),(IFERROR(MATCH(M28,$G$143,0)*$I$143*$K$143/2000,0)),(IFERROR(MATCH(M28,$G$158,0)*$I$158*$K$158/2000,0))))</f>
        <v>0</v>
      </c>
    </row>
    <row r="29" spans="1:20" ht="14.25" customHeight="1" x14ac:dyDescent="0.2">
      <c r="A29" s="155"/>
      <c r="B29" s="83"/>
      <c r="D29" s="56"/>
      <c r="E29" s="124" t="str">
        <f>IF($C$4&gt;0,"AP-10 EP-3","")</f>
        <v/>
      </c>
      <c r="F29" s="124" t="str">
        <f>IF($C$4&gt;0,"AP-10 EU-5","")</f>
        <v/>
      </c>
      <c r="G29" s="222" t="str">
        <f>IF(C5="","","Cold Aggregate Bins")</f>
        <v/>
      </c>
      <c r="H29" s="72"/>
      <c r="I29" s="144"/>
      <c r="J29" s="226"/>
      <c r="K29" s="226"/>
      <c r="M29" s="95" t="str">
        <f>$C$5 &amp; " - Waste Oil"</f>
        <v xml:space="preserve"> - Waste Oil</v>
      </c>
      <c r="N29" s="111">
        <f ca="1">N6</f>
        <v>0</v>
      </c>
      <c r="O29" s="165">
        <f ca="1">IF(N29=0,0,IF(MAX((IFERROR(OFFSET($G$22,MATCH(M29,$G$23,0),4),0)),((IFERROR(OFFSET($G$36,MATCH(M29,$G$37,0),4),0))),((IFERROR(OFFSET($G$51,MATCH(M29,$G$52,0),4),0))),((IFERROR(OFFSET($G$66,MATCH(M29,$G$67,0),4),0))),((IFERROR(OFFSET($G$81,MATCH(M29,$G$82,0),3),0))),((IFERROR(OFFSET($G$97,MATCH(M29,$G$98,0),4),0))),((IFERROR(OFFSET($G$112,MATCH(M29,$G$113,0),4),0))),((IFERROR(OFFSET($G$127,MATCH(M29,$G$128,0),4),0))),((IFERROR(OFFSET($G$142,MATCH(M29,$G$143,0),4),0))),((IFERROR(OFFSET($G$157,MATCH(M29,$G$158,0),4),0))))=0,0,(MAX((IFERROR(OFFSET($G$22,MATCH(M29,$G$23,0),4),0)),((IFERROR(OFFSET($G$36,MATCH(M29,$G$37,0),4),0))),((IFERROR(OFFSET($G$51,MATCH(M29,$G$52,0),4),0))),((IFERROR(OFFSET($G$66,MATCH(M29,$G$67,0),4),0))),((IFERROR(OFFSET($G$81,MATCH(M29,$G$82,0),4),0))),((IFERROR(OFFSET($G$97,MATCH(M29,$G$98,0),4),0))),((IFERROR(OFFSET($G$112,MATCH(M29,$G$113,0),4),0))),((IFERROR(OFFSET($G$127,MATCH(M29,$G$128,0),4),0))),((IFERROR(OFFSET($G$142,MATCH(M29,$G$143,0),4),0))),((IFERROR(OFFSET($G$157,MATCH(M29,$G$158,0),4),0)))))))</f>
        <v>0</v>
      </c>
      <c r="P29" s="212" t="str">
        <f t="shared" ca="1" si="1"/>
        <v>lb/ton</v>
      </c>
      <c r="Q29" s="166" t="str">
        <f ca="1">IF(O29=4.5,N29*O29,IF(O29=6.5,N29*O29,""))</f>
        <v/>
      </c>
      <c r="R29" s="166" t="str">
        <f ca="1">IF(N29=0,"",IF(AND($F$12&gt;0,$O$29&gt;$O$28,$O$29&gt;=$O$30),$F$12,IF(O29=0.0098,N29*O29,IF(O29=0.023,N29*O29,""))))</f>
        <v/>
      </c>
      <c r="S29" s="166">
        <f ca="1">IF(N29=0,0,IF($G$12&gt;0,IF(S28=0,$G$12,""),IF(AND(OR($C$10&gt;0,$C$11&gt;0,$C$12&gt;0),$O$29&gt;$O$28,$O$29&gt;=$O$30),(IF($C$10&gt;0,$C$10*O29/2000,IF($C$11&gt;0,$C$11*365*O29/2000,IF($C$12&gt;0,$C$12*365*O29*N29/2000)))),IF(AND($F$12&gt;0,$O$29&gt;$O$28,$O$29&gt;=$O$30),$F$12*8760/2000,IF(AND(OR($C$10="",$C$10=0),OR($C$11="",$C$11=0),OR($C$12="",$C$12=0),$F$12=""),IF(R29="",Q29*8760/2000,R29*8760/2000),"")))))</f>
        <v>0</v>
      </c>
      <c r="T29" s="166">
        <f ca="1">IF(N29="","",SUM((IFERROR(MATCH(M29,$G$23,0)*$I$23*$K$23/2000,0)),(IFERROR(MATCH(M29,$G$37,0)*$I$37*$K$37/2000,0)),(IFERROR(MATCH(M29,$G$52,0)*$I$52*$K$52/2000,0)),(IFERROR(MATCH(M29,$G$67,0)*$I$67*$K$67/2000,0)),(IFERROR(MATCH(M29,$G$82,0)*$I$82*$K$82/2000,0)),(IFERROR(MATCH(M29,$G$98,0)*$I$98*$K$98/2000,0)),(IFERROR(MATCH(M29,$G$113,0)*$I$113*$K$113/2000,0)),(IFERROR(MATCH(M29,$G$128,0)*$I$128*$K$128/2000,0)),(IFERROR(MATCH(M29,$G$143,0)*$I$143*$K$143/2000,0)),(IFERROR(MATCH(M29,$G$158,0)*$I$158*$K$158/2000,0))))</f>
        <v>0</v>
      </c>
    </row>
    <row r="30" spans="1:20" ht="14.25" customHeight="1" x14ac:dyDescent="0.2">
      <c r="A30" s="155"/>
      <c r="B30" s="83"/>
      <c r="E30" s="125"/>
      <c r="F30" s="125"/>
      <c r="G30" s="227"/>
      <c r="H30" s="228"/>
      <c r="I30" s="226"/>
      <c r="M30" s="95" t="str">
        <f>$C$5 &amp; " - Natural Gas"</f>
        <v xml:space="preserve"> - Natural Gas</v>
      </c>
      <c r="N30" s="111">
        <f ca="1">N7</f>
        <v>0</v>
      </c>
      <c r="O30" s="165">
        <f ca="1">IF(N30=0,0,IF(MAX((IFERROR(OFFSET($G$22,MATCH(M30,$G$23,0),4),0)),((IFERROR(OFFSET($G$36,MATCH(M30,$G$37,0),4),0))),((IFERROR(OFFSET($G$51,MATCH(M30,$G$52,0),4),0))),((IFERROR(OFFSET($G$66,MATCH(M30,$G$67,0),4),0))),((IFERROR(OFFSET($G$81,MATCH(M30,$G$82,0),3),0))),((IFERROR(OFFSET($G$97,MATCH(M30,$G$98,0),4),0))),((IFERROR(OFFSET($G$112,MATCH(M30,$G$113,0),4),0))),((IFERROR(OFFSET($G$127,MATCH(M30,$G$128,0),4),0))),((IFERROR(OFFSET($G$142,MATCH(M30,$G$143,0),4),0))),((IFERROR(OFFSET($G$157,MATCH(M30,$G$158,0),4),0))))=0,0,(MAX((IFERROR(OFFSET($G$22,MATCH(M30,$G$23,0),4),0)),((IFERROR(OFFSET($G$36,MATCH(M30,$G$37,0),4),0))),((IFERROR(OFFSET($G$51,MATCH(M30,$G$52,0),4),0))),((IFERROR(OFFSET($G$66,MATCH(M30,$G$67,0),4),0))),((IFERROR(OFFSET($G$81,MATCH(M30,$G$82,0),4),0))),((IFERROR(OFFSET($G$97,MATCH(M30,$G$98,0),4),0))),((IFERROR(OFFSET($G$112,MATCH(M30,$G$113,0),4),0))),((IFERROR(OFFSET($G$127,MATCH(M30,$G$128,0),4),0))),((IFERROR(OFFSET($G$142,MATCH(M30,$G$143,0),4),0))),((IFERROR(OFFSET($G$157,MATCH(M30,$G$158,0),4),0)))))))</f>
        <v>0</v>
      </c>
      <c r="P30" s="212" t="str">
        <f t="shared" ca="1" si="1"/>
        <v>lb/ton</v>
      </c>
      <c r="Q30" s="166" t="str">
        <f ca="1">IF(O30=4.5,N30*O30,IF(O30=6.5,N30*O30,""))</f>
        <v/>
      </c>
      <c r="R30" s="166" t="str">
        <f ca="1">IF(N30=0,"",IF(AND($F$12&gt;0,$O$30&gt;$O$28,$O$30&gt;$O$29),$F$12,IF(O30=0.0098,N30*O30,IF(O30=0.023,N30*O30,""))))</f>
        <v/>
      </c>
      <c r="S30" s="166">
        <f ca="1">IF(N30=0,0,IF($G$12&gt;0,IF(AND(S28=0,S29=0),$G$12,""),IF(AND(OR($C$10&gt;0,$C$11&gt;0,$C$12&gt;0),$O$30&gt;$O$28,$O$30&gt;$O$29),(IF($C$10&gt;0,$C$10*O30/2000,IF($C$11&gt;0,$C$11*365*O30/2000,IF($C$12&gt;0,$C$12*365*O30*N30/2000)))),IF(AND($F$12&gt;0,$O$30&gt;$O$28,$O$30&gt;$O$29),$F$12*8760/2000,IF(AND(OR($C$10="",$C$10=0),OR($C$11="",$C$11=0),OR($C$12="",$C$12=0),$F$12=""),IF(R30="",Q30*8760/2000,R30*8760/2000),"")))))</f>
        <v>0</v>
      </c>
      <c r="T30" s="166">
        <f ca="1">IF(N30="","",SUM((IFERROR(MATCH(M30,$G$23,0)*$I$23*$K$23/2000,0)),(IFERROR(MATCH(M30,$G$37,0)*$I$37*$K$37/2000,0)),(IFERROR(MATCH(M30,$G$52,0)*$I$52*$K$52/2000,0)),(IFERROR(MATCH(M30,$G$67,0)*$I$67*$K$67/2000,0)),(IFERROR(MATCH(M30,$G$82,0)*$I$82*$K$82/2000,0)),(IFERROR(MATCH(M30,$G$98,0)*$I$98*$K$98/2000,0)),(IFERROR(MATCH(M30,$G$113,0)*$I$113*$K$113/2000,0)),(IFERROR(MATCH(M30,$G$128,0)*$I$128*$K$128/2000,0)),(IFERROR(MATCH(M30,$G$143,0)*$I$143*$K$143/2000,0)),(IFERROR(MATCH(M30,$G$158,0)*$I$158*$K$158/2000,0))))</f>
        <v>0</v>
      </c>
    </row>
    <row r="31" spans="1:20" ht="14.25" customHeight="1" x14ac:dyDescent="0.2">
      <c r="A31" s="155"/>
      <c r="B31" s="83"/>
      <c r="E31" s="84" t="s">
        <v>84</v>
      </c>
      <c r="F31" s="84"/>
      <c r="G31" s="85"/>
      <c r="J31" s="113"/>
      <c r="K31" s="113"/>
      <c r="M31" s="95" t="s">
        <v>247</v>
      </c>
      <c r="N31" s="111">
        <f ca="1">N11</f>
        <v>0</v>
      </c>
      <c r="O31" s="165">
        <f ca="1">IF(N31=0,0,IF(N31=0,0,LOOKUP(M31,'Emission Factors'!$A$23:$A$25,'Emission Factors'!$F$23:$F$25)))</f>
        <v>0</v>
      </c>
      <c r="P31" s="212" t="str">
        <f t="shared" ca="1" si="1"/>
        <v>lb/ton</v>
      </c>
      <c r="Q31" s="166">
        <f ca="1">N31*O31</f>
        <v>0</v>
      </c>
      <c r="R31" s="167"/>
      <c r="S31" s="166">
        <f ca="1">IF($G$12&gt;0,"",IF($C$10&gt;0,$C$10*O31/2000,IF($C$11&gt;0,$C$11*365*O31/2000,IF($C$12&gt;0,$C$12*365*O31*N31/2000,IF($F$11&gt;0,"",IF(R31="",Q31*8760/2000,R31*8760/2000))))))</f>
        <v>0</v>
      </c>
      <c r="T31" s="166">
        <f ca="1">(P11*O31/2000)</f>
        <v>0</v>
      </c>
    </row>
    <row r="32" spans="1:20" ht="14.25" customHeight="1" x14ac:dyDescent="0.2">
      <c r="A32" s="155"/>
      <c r="B32" s="56"/>
      <c r="F32" s="87" t="s">
        <v>60</v>
      </c>
      <c r="G32" s="52" t="s">
        <v>85</v>
      </c>
      <c r="H32" s="213" t="s">
        <v>86</v>
      </c>
      <c r="I32" s="52" t="s">
        <v>87</v>
      </c>
      <c r="J32" s="113"/>
      <c r="K32" s="113"/>
      <c r="M32" s="95" t="s">
        <v>249</v>
      </c>
      <c r="N32" s="111">
        <f ca="1">N12</f>
        <v>0</v>
      </c>
      <c r="O32" s="165">
        <f ca="1">IF(N32=0,0,IF(N32=0,0,LOOKUP(M32,'Emission Factors'!$A$23:$A$25,'Emission Factors'!$F$23:$F$25)))</f>
        <v>0</v>
      </c>
      <c r="P32" s="212" t="str">
        <f t="shared" ca="1" si="1"/>
        <v>lb/ton</v>
      </c>
      <c r="Q32" s="166">
        <f ca="1">N32*O32</f>
        <v>0</v>
      </c>
      <c r="R32" s="167"/>
      <c r="S32" s="166">
        <f ca="1">IF($G$12&gt;0,"",IF($C$10&gt;0,$C$10*O32/2000,IF($C$11&gt;0,$C$11*365*O32/2000,IF($C$12&gt;0,$C$12*365*O32*N32/2000,IF($F$11&gt;0,"",IF(R32="",Q32*8760/2000,R32*8760/2000))))))</f>
        <v>0</v>
      </c>
      <c r="T32" s="166">
        <f ca="1">(P12*O32/2000)</f>
        <v>0</v>
      </c>
    </row>
    <row r="33" spans="1:20" ht="14.25" customHeight="1" x14ac:dyDescent="0.2">
      <c r="A33" s="155"/>
      <c r="B33" s="83"/>
      <c r="E33" s="125"/>
      <c r="F33" s="74"/>
      <c r="G33" s="148"/>
      <c r="H33" s="75"/>
      <c r="I33" s="148"/>
      <c r="M33" s="95" t="s">
        <v>251</v>
      </c>
      <c r="N33" s="111">
        <f ca="1">N13</f>
        <v>0</v>
      </c>
      <c r="O33" s="165">
        <f ca="1">IF(N33=0,0,IF(N33=0,0,LOOKUP(M33,'Emission Factors'!$A$23:$A$25,'Emission Factors'!$F$23:$F$25)))</f>
        <v>0</v>
      </c>
      <c r="P33" s="212" t="str">
        <f t="shared" ca="1" si="1"/>
        <v>lb/ton</v>
      </c>
      <c r="Q33" s="166">
        <f ca="1">N33*O33</f>
        <v>0</v>
      </c>
      <c r="R33" s="166"/>
      <c r="S33" s="166">
        <f ca="1">IF($G$12&gt;0,"",IF($C$10&gt;0,$C$10*O33/2000,IF($C$11&gt;0,$C$11*365*O33/2000,IF($C$12&gt;0,$C$12*365*O33*N33/2000,IF($F$11&gt;0,"",IF(R33="",Q33*8760/2000,R33*8760/2000))))))</f>
        <v>0</v>
      </c>
      <c r="T33" s="166">
        <f ca="1">(P13*O33/2000)</f>
        <v>0</v>
      </c>
    </row>
    <row r="34" spans="1:20" ht="14.25" customHeight="1" x14ac:dyDescent="0.2">
      <c r="D34" s="56"/>
      <c r="J34" s="161"/>
      <c r="K34" s="161"/>
    </row>
    <row r="35" spans="1:20" ht="27.75" customHeight="1" x14ac:dyDescent="0.25">
      <c r="B35" s="79" t="str">
        <f>IF($C$4&gt;1,"Asphalt Plant","")</f>
        <v/>
      </c>
      <c r="C35" s="156" t="str">
        <f>IF($C$4&gt;1,"Site 2","")</f>
        <v/>
      </c>
      <c r="E35" s="260" t="str">
        <f>IF($C$4&gt;1,"Emission Point #","")</f>
        <v/>
      </c>
      <c r="F35" s="260" t="str">
        <f>IF($C$4&gt;1,"Emission    Unit #","")</f>
        <v/>
      </c>
      <c r="G35" s="260" t="str">
        <f>IF($C$4&gt;1,"Process","")</f>
        <v/>
      </c>
      <c r="H35" s="259" t="str">
        <f>IF($C$4&gt;1,"Maximum Hourly     Design Rate","")</f>
        <v/>
      </c>
      <c r="I35" s="261" t="str">
        <f>IF($C$4&gt;1,('Facility Information'!G20&amp;" Annual Throughput"),"")</f>
        <v/>
      </c>
      <c r="J35" s="162"/>
      <c r="K35" s="162"/>
      <c r="N35" s="78" t="s">
        <v>39</v>
      </c>
      <c r="O35" s="266" t="s">
        <v>274</v>
      </c>
      <c r="P35" s="266" t="s">
        <v>150</v>
      </c>
      <c r="Q35" s="264" t="s">
        <v>146</v>
      </c>
      <c r="R35" s="264" t="s">
        <v>128</v>
      </c>
      <c r="S35" s="264" t="s">
        <v>13</v>
      </c>
      <c r="T35" s="264" t="s">
        <v>147</v>
      </c>
    </row>
    <row r="36" spans="1:20" ht="14.25" customHeight="1" x14ac:dyDescent="0.2">
      <c r="B36" s="82" t="str">
        <f>IF($C$4&gt;1,"Site Name","")</f>
        <v/>
      </c>
      <c r="C36" s="73"/>
      <c r="D36" s="56"/>
      <c r="E36" s="325" t="str">
        <f>IF($C$4&gt;1,"Dryers, Hot Screens, Mixer","")</f>
        <v/>
      </c>
      <c r="F36" s="325"/>
      <c r="G36" s="325"/>
      <c r="H36" s="149" t="str">
        <f>IF($C$4&gt;1,"(tons/hr)","")</f>
        <v/>
      </c>
      <c r="I36" s="149" t="str">
        <f>IF($C$4&gt;1,"(tons/yr)","")</f>
        <v/>
      </c>
      <c r="J36" s="163" t="s">
        <v>109</v>
      </c>
      <c r="K36" s="163" t="s">
        <v>16</v>
      </c>
      <c r="N36" s="96" t="s">
        <v>151</v>
      </c>
      <c r="O36" s="124">
        <f>N15</f>
        <v>0</v>
      </c>
      <c r="P36" s="124">
        <v>3.64</v>
      </c>
      <c r="Q36" s="124">
        <f>O36*P36*(1/24)</f>
        <v>0</v>
      </c>
      <c r="R36" s="124"/>
      <c r="S36" s="124">
        <f>O36*P36*365/2000</f>
        <v>0</v>
      </c>
      <c r="T36" s="124">
        <f>O15*P36/2000</f>
        <v>0</v>
      </c>
    </row>
    <row r="37" spans="1:20" ht="14.25" customHeight="1" x14ac:dyDescent="0.2">
      <c r="B37" s="82" t="str">
        <f>IF($C$4&gt;1,"County:","")</f>
        <v/>
      </c>
      <c r="C37" s="73"/>
      <c r="D37" s="56"/>
      <c r="E37" s="124" t="str">
        <f>IF(C39="","","AP-10 EP-1")</f>
        <v/>
      </c>
      <c r="F37" s="124" t="str">
        <f>IF(C39="","","AP-10 EU-1")</f>
        <v/>
      </c>
      <c r="G37" s="222" t="str">
        <f>IF(C39="","",C5 &amp; " - "&amp;C39)</f>
        <v/>
      </c>
      <c r="H37" s="72"/>
      <c r="I37" s="144"/>
      <c r="J37" s="225" t="str">
        <f>IF(C40="","",IF(C40="yes",LOOKUP(G37,'Emission Factors'!$A$12:$A$17,'Emission Factors'!$D$12:$D$17),LOOKUP(G37,'Emission Factors'!$A$5:$A$10,'Emission Factors'!$D$5:$D$10)))</f>
        <v/>
      </c>
      <c r="K37" s="225" t="str">
        <f>IF(C40="","",IF(C40="yes",LOOKUP(G37,'Emission Factors'!$A$12:$A$17,'Emission Factors'!$F$12:$F$17),LOOKUP(G37,'Emission Factors'!$A$5:$A$10,'Emission Factors'!$F$5:$F$10)))</f>
        <v/>
      </c>
    </row>
    <row r="38" spans="1:20" ht="14.25" customHeight="1" x14ac:dyDescent="0.2">
      <c r="B38" s="82" t="str">
        <f>IF($C$4&gt;1,"Production Period (Dates):","")</f>
        <v/>
      </c>
      <c r="C38" s="73"/>
      <c r="D38" s="56"/>
      <c r="E38" s="325" t="str">
        <f>IF($C$4&gt;1,"Liquid Asphalt Heater","")</f>
        <v/>
      </c>
      <c r="F38" s="325"/>
      <c r="G38" s="325"/>
      <c r="H38" s="149" t="str">
        <f>IF($C$4&gt;1,IF(C39="natural gas","MMCF/hr","(gallons/hr)"),"")</f>
        <v/>
      </c>
      <c r="I38" s="149" t="str">
        <f>IF($C$4&gt;1,IF(C39="natural gas","MMCF/yr","(gallons/yr)"),"")</f>
        <v/>
      </c>
      <c r="J38" s="226"/>
      <c r="K38" s="226"/>
      <c r="M38" s="94" t="s">
        <v>3</v>
      </c>
    </row>
    <row r="39" spans="1:20" ht="14.25" customHeight="1" x14ac:dyDescent="0.2">
      <c r="B39" s="82" t="str">
        <f>IF($C$4&gt;1,"Type of Fuel Used:","")</f>
        <v/>
      </c>
      <c r="C39" s="230"/>
      <c r="D39" s="56"/>
      <c r="E39" s="124" t="str">
        <f>IF(C39="","","AP-10 EP-2")</f>
        <v/>
      </c>
      <c r="F39" s="124" t="str">
        <f>IF(C39="","","AP-10 EU-2")</f>
        <v/>
      </c>
      <c r="G39" s="222" t="str">
        <f>IF(C39="","",C39&amp; " Fired Heater")</f>
        <v/>
      </c>
      <c r="H39" s="72"/>
      <c r="I39" s="144"/>
      <c r="J39" s="163"/>
      <c r="K39" s="163"/>
      <c r="M39" s="95" t="str">
        <f>$C$5 &amp; " - Fuel Oil"</f>
        <v xml:space="preserve"> - Fuel Oil</v>
      </c>
      <c r="N39" s="111">
        <f ca="1">$N$5</f>
        <v>0</v>
      </c>
      <c r="O39" s="165">
        <f ca="1">IF(N39=0,0,LOOKUP(M39,'Emission Factors'!$A$5:$A$10,'Emission Factors'!$H$5:$H$10))</f>
        <v>0</v>
      </c>
      <c r="P39" s="212" t="str">
        <f ca="1">IF(O39="","","lb/ton")</f>
        <v>lb/ton</v>
      </c>
      <c r="Q39" s="166">
        <f ca="1">N39*O39</f>
        <v>0</v>
      </c>
      <c r="R39" s="166" t="str">
        <f ca="1">IF(N39=0,"",IF(AND($F$13&gt;0,N40=0),$F$13,""))</f>
        <v/>
      </c>
      <c r="S39" s="166">
        <f ca="1">IF(N39=0,0,IF($G$13&gt;0,$G$13,IF(OR(AND($C$10&gt;0,$N$40&gt;0),AND($C$11&gt;0,$N$40&gt;0),AND($C$12&gt;0,$N$40&gt;0)),"",IF($C$10&gt;0,$C$10*O39/2000,IF($C$11&gt;0,$C$11*365*O39/2000,IF($C$12&gt;0,$C$12*365*O39*N39/2000,IF(AND(N40&gt;0,F13&gt;0),"",IF(R39="",Q39*8760/2000,R39*8760/2000))))))))</f>
        <v>0</v>
      </c>
      <c r="T39" s="166">
        <f ca="1">P5*O39/2000</f>
        <v>0</v>
      </c>
    </row>
    <row r="40" spans="1:20" ht="14.25" customHeight="1" x14ac:dyDescent="0.2">
      <c r="B40" s="82" t="str">
        <f>IF($C$4&gt;1,"Is Your Operation Controlled?:","")</f>
        <v/>
      </c>
      <c r="C40" s="230"/>
      <c r="D40" s="56"/>
      <c r="E40" s="325" t="str">
        <f>IF($C$4&gt;1,"Silo Filling, Truck Loadout, Aggregate Transfer","")</f>
        <v/>
      </c>
      <c r="F40" s="325"/>
      <c r="G40" s="325"/>
      <c r="H40" s="149" t="str">
        <f>IF($C$4&gt;1,"(tons/hr)","")</f>
        <v/>
      </c>
      <c r="I40" s="149" t="str">
        <f>IF($C$4&gt;1,"(tons/yr)","")</f>
        <v/>
      </c>
      <c r="J40" s="226"/>
      <c r="K40" s="226"/>
      <c r="M40" s="95" t="str">
        <f>$C$5 &amp; " - Waste Oil"</f>
        <v xml:space="preserve"> - Waste Oil</v>
      </c>
      <c r="N40" s="111">
        <f ca="1">$N$6</f>
        <v>0</v>
      </c>
      <c r="O40" s="165">
        <f ca="1">IF(N40=0,0,LOOKUP(M40,'Emission Factors'!$A$5:$A$10,'Emission Factors'!$H$5:$H$10))</f>
        <v>0</v>
      </c>
      <c r="P40" s="212" t="str">
        <f ca="1">IF(O40="","","lb/ton")</f>
        <v>lb/ton</v>
      </c>
      <c r="Q40" s="166">
        <f ca="1">N40*O40</f>
        <v>0</v>
      </c>
      <c r="R40" s="166" t="str">
        <f ca="1">IF(N40=0,"",IF($F$13&gt;0,$F$13,""))</f>
        <v/>
      </c>
      <c r="S40" s="166">
        <f ca="1">IF(N40=0,0,IF($G$13&gt;0,IF(S39=0,G13,""),IF($C$10&gt;0,$C$10*O40/2000,IF($C$11&gt;0,$C$11*365*O40/2000,IF($C$12&gt;0,$C$12*365*O40*N40/2000,IF(R40="",Q40*8760/2000,R40*8760/2000))))))</f>
        <v>0</v>
      </c>
      <c r="T40" s="166">
        <f ca="1">P6*O40/2000</f>
        <v>0</v>
      </c>
    </row>
    <row r="41" spans="1:20" ht="14.25" customHeight="1" x14ac:dyDescent="0.2">
      <c r="D41" s="56"/>
      <c r="E41" s="124" t="str">
        <f>IF($C$4&gt;1,"AP-10 EP-3","")</f>
        <v/>
      </c>
      <c r="F41" s="124" t="str">
        <f>IF($C$4&gt;1,"AP-10 EU-3","")</f>
        <v/>
      </c>
      <c r="G41" s="222" t="str">
        <f>IF($C$4&gt;1,"Silo Filling","")</f>
        <v/>
      </c>
      <c r="H41" s="72"/>
      <c r="I41" s="144"/>
      <c r="J41" s="226"/>
      <c r="K41" s="226"/>
      <c r="M41" s="95" t="str">
        <f>$C$5 &amp; " - Natural Gas"</f>
        <v xml:space="preserve"> - Natural Gas</v>
      </c>
      <c r="N41" s="111">
        <f ca="1">$N$7</f>
        <v>0</v>
      </c>
      <c r="O41" s="165">
        <f ca="1">IF(N41=0,0,LOOKUP(M41,'Emission Factors'!$A$5:$A$10,'Emission Factors'!$H$5:$H$10))</f>
        <v>0</v>
      </c>
      <c r="P41" s="212" t="str">
        <f ca="1">IF(O41="","","lb/ton")</f>
        <v>lb/ton</v>
      </c>
      <c r="Q41" s="166">
        <f ca="1">N41*O41</f>
        <v>0</v>
      </c>
      <c r="R41" s="166" t="str">
        <f ca="1">IF(N41=0,"",IF(AND($F$13&gt;0,N39=0,N40=0),$F$13,""))</f>
        <v/>
      </c>
      <c r="S41" s="166">
        <f ca="1">IF(N41=0,0,IF($G$13&gt;0,IF(AND(S39=0,S40=0),G13,""),IF(OR(AND($C$10&gt;0,$N$40&gt;0),AND($C$11&gt;0,$N$40&gt;0),AND($C$12&gt;0,$N$40&gt;0)),"",IF(OR(AND($C$10&gt;0,$N$39&gt;0),AND($C$11&gt;0,$N$39&gt;0),AND($C$12&gt;0,$N$39&gt;0)),"",IF($C$10&gt;0,$C$10*O41/2000,IF($C$11&gt;0,$C$11*365*O41/2000,IF($C$12&gt;0,$C$12*365*O41*N41/2000,IF(AND(N40&gt;0,N39&gt;0,F13&gt;0),"",IF(R41="",Q41*8760/2000,R41*8760/2000)))))))))</f>
        <v>0</v>
      </c>
      <c r="T41" s="166">
        <f ca="1">P7*O41/2000</f>
        <v>0</v>
      </c>
    </row>
    <row r="42" spans="1:20" ht="14.25" customHeight="1" x14ac:dyDescent="0.2">
      <c r="B42" s="83"/>
      <c r="D42" s="56"/>
      <c r="E42" s="124" t="str">
        <f>IF($C$4&gt;1,"AP-10 EP-3","")</f>
        <v/>
      </c>
      <c r="F42" s="124" t="str">
        <f>IF($C$4&gt;1,"AP-10 EU-4","")</f>
        <v/>
      </c>
      <c r="G42" s="222" t="str">
        <f>IF($C$4&gt;1,"Truck Loadout","")</f>
        <v/>
      </c>
      <c r="H42" s="72"/>
      <c r="I42" s="144"/>
      <c r="J42" s="226"/>
      <c r="K42" s="226"/>
      <c r="M42" s="94" t="s">
        <v>26</v>
      </c>
      <c r="T42" s="171"/>
    </row>
    <row r="43" spans="1:20" ht="14.25" customHeight="1" x14ac:dyDescent="0.2">
      <c r="B43" s="83"/>
      <c r="D43" s="56"/>
      <c r="E43" s="124" t="str">
        <f>IF($C$4&gt;1,"AP-10 EP-3","")</f>
        <v/>
      </c>
      <c r="F43" s="124" t="str">
        <f>IF($C$4&gt;1,"AP-10 EU-5","")</f>
        <v/>
      </c>
      <c r="G43" s="222" t="str">
        <f>IF($C$4&gt;1,"Cold Aggregate Bins","")</f>
        <v/>
      </c>
      <c r="H43" s="72"/>
      <c r="I43" s="144"/>
      <c r="J43" s="226"/>
      <c r="K43" s="226"/>
      <c r="M43" s="95" t="str">
        <f>$C$5 &amp; " - Fuel Oil"</f>
        <v xml:space="preserve"> - Fuel Oil</v>
      </c>
      <c r="N43" s="111">
        <f ca="1">$N$5</f>
        <v>0</v>
      </c>
      <c r="O43" s="165">
        <f ca="1">IF(N43=0,0,LOOKUP(M43,'Emission Factors'!$A$5:$A$10,'Emission Factors'!$J$5:$J$10))</f>
        <v>0</v>
      </c>
      <c r="P43" s="212" t="str">
        <f ca="1">IF(O43="","","lb/ton")</f>
        <v>lb/ton</v>
      </c>
      <c r="Q43" s="166">
        <f ca="1">N43*O43</f>
        <v>0</v>
      </c>
      <c r="R43" s="166" t="str">
        <f ca="1">IF(N43=0,"",IF(AND($F$14&gt;0,N44=0),$F$14,""))</f>
        <v/>
      </c>
      <c r="S43" s="166">
        <f ca="1">IF(N43=0,0,IF($G$14&gt;0,$G$14,IF(OR(AND($C$10&gt;0,$N$44&gt;0),AND($C$11&gt;0,$N$44&gt;0),AND($C$12&gt;0,$N$44&gt;0)),"",IF($C$10&gt;0,$C$10*O43/2000,IF($C$11&gt;0,$C$11*365*O43/2000,IF($C$12&gt;0,$C$12*365*O43*N43/2000,IF(AND(N44&gt;0,F14&gt;0),"",IF(R43="",Q43*8760/2000,R43*8760/2000))))))))</f>
        <v>0</v>
      </c>
      <c r="T43" s="166">
        <f ca="1">P5*O43/2000</f>
        <v>0</v>
      </c>
    </row>
    <row r="44" spans="1:20" ht="14.25" customHeight="1" x14ac:dyDescent="0.2">
      <c r="B44" s="83"/>
      <c r="E44" s="125"/>
      <c r="F44" s="125"/>
      <c r="G44" s="227"/>
      <c r="H44" s="228"/>
      <c r="I44" s="226"/>
      <c r="M44" s="95" t="str">
        <f>$C$5 &amp; " - Waste Oil"</f>
        <v xml:space="preserve"> - Waste Oil</v>
      </c>
      <c r="N44" s="111">
        <f ca="1">$N$6</f>
        <v>0</v>
      </c>
      <c r="O44" s="165">
        <f ca="1">IF(N44=0,0,LOOKUP(M44,'Emission Factors'!$A$5:$A$10,'Emission Factors'!$J$5:$J$10))</f>
        <v>0</v>
      </c>
      <c r="P44" s="212" t="str">
        <f ca="1">IF(O44="","","lb/ton")</f>
        <v>lb/ton</v>
      </c>
      <c r="Q44" s="166">
        <f ca="1">N44*O44</f>
        <v>0</v>
      </c>
      <c r="R44" s="166" t="str">
        <f ca="1">IF(N44=0,"",IF($F$14&gt;0,$F$14,""))</f>
        <v/>
      </c>
      <c r="S44" s="166">
        <f ca="1">IF(N44=0,0,IF($G$14&gt;0,IF(S43=0,G14,""),IF($C$10&gt;0,$C$10*O44/2000,IF($C$11&gt;0,$C$11*365*O44/2000,IF($C$12&gt;0,$C$12*365*O44*N44/2000,IF(R44="",Q44*8760/2000,R44*8760/2000))))))</f>
        <v>0</v>
      </c>
      <c r="T44" s="166">
        <f ca="1">P6*O44/2000</f>
        <v>0</v>
      </c>
    </row>
    <row r="45" spans="1:20" ht="14.25" customHeight="1" x14ac:dyDescent="0.2">
      <c r="B45" s="83"/>
      <c r="E45" s="84" t="str">
        <f>IF($C$4&gt;1,"Stock Pile Area","")</f>
        <v/>
      </c>
      <c r="F45" s="84"/>
      <c r="G45" s="85"/>
      <c r="J45" s="113"/>
      <c r="K45" s="113"/>
      <c r="M45" s="95" t="str">
        <f>$C$5 &amp; " - Natural Gas"</f>
        <v xml:space="preserve"> - Natural Gas</v>
      </c>
      <c r="N45" s="111">
        <f ca="1">$N$7</f>
        <v>0</v>
      </c>
      <c r="O45" s="165">
        <f ca="1">IF(N45=0,0,LOOKUP(M45,'Emission Factors'!$A$5:$A$10,'Emission Factors'!$J$5:$J$10))</f>
        <v>0</v>
      </c>
      <c r="P45" s="212" t="str">
        <f ca="1">IF(O45="","","lb/ton")</f>
        <v>lb/ton</v>
      </c>
      <c r="Q45" s="166">
        <f ca="1">N45*O45</f>
        <v>0</v>
      </c>
      <c r="R45" s="166" t="str">
        <f ca="1">IF(N45=0,"",IF(AND($F$14&gt;0,N43=0,N44=0),$F$14,""))</f>
        <v/>
      </c>
      <c r="S45" s="166">
        <f ca="1">IF(N45=0,0,IF($G$14&gt;0,IF(AND(S43=0,S44=0),G14,""),IF(OR(AND($C$10&gt;0,$N$44&gt;0),AND($C$11&gt;0,$N$44&gt;0),AND($C$12&gt;0,$N$44&gt;0)),"",IF(OR(AND($C$10&gt;0,$N$43&gt;0),AND($C$11&gt;0,$N$43&gt;0),AND($C$12&gt;0,$N$43&gt;0)),"",IF($C$10&gt;0,$C$10*O45/2000,IF($C$11&gt;0,$C$11*365*O45/2000,IF($C$12&gt;0,$C$12*365*O45*N45/2000,IF(AND(N43&gt;0,N44&gt;0,F14&gt;0),"",IF(R45="",Q45*8760/2000,R45*8760/2000)))))))))</f>
        <v>0</v>
      </c>
      <c r="T45" s="166">
        <f ca="1">P7*O45/2000</f>
        <v>0</v>
      </c>
    </row>
    <row r="46" spans="1:20" ht="14.25" customHeight="1" x14ac:dyDescent="0.2">
      <c r="B46" s="56"/>
      <c r="F46" s="87" t="str">
        <f>IF($C$4&gt;1,"Emission Unit #","")</f>
        <v/>
      </c>
      <c r="G46" s="52" t="str">
        <f>IF($C$4&gt;1,"Maximum Storage Area (acres)","")</f>
        <v/>
      </c>
      <c r="H46" s="213" t="str">
        <f>IF($C$4&gt;1,"Actual Storage Area (acres)","")</f>
        <v/>
      </c>
      <c r="I46" s="52" t="str">
        <f>IF($C$4&gt;1,"Actual Days in Existence (days)","")</f>
        <v/>
      </c>
      <c r="J46" s="113"/>
      <c r="K46" s="113"/>
      <c r="L46" s="86"/>
      <c r="M46" s="94" t="s">
        <v>5</v>
      </c>
      <c r="T46" s="171"/>
    </row>
    <row r="47" spans="1:20" ht="14.25" customHeight="1" x14ac:dyDescent="0.2">
      <c r="B47" s="83"/>
      <c r="E47" s="125"/>
      <c r="F47" s="215"/>
      <c r="G47" s="220"/>
      <c r="H47" s="229"/>
      <c r="I47" s="220"/>
      <c r="M47" s="95" t="str">
        <f>$C$5 &amp; " - Fuel Oil"</f>
        <v xml:space="preserve"> - Fuel Oil</v>
      </c>
      <c r="N47" s="111">
        <f ca="1">$N$5</f>
        <v>0</v>
      </c>
      <c r="O47" s="165">
        <f ca="1">IF(N47=0,0,LOOKUP(M47,'Emission Factors'!$A$5:$A$10,'Emission Factors'!$L$5:$L$10))</f>
        <v>0</v>
      </c>
      <c r="P47" s="212" t="str">
        <f ca="1">IF(O47="","","lb/ton")</f>
        <v>lb/ton</v>
      </c>
      <c r="Q47" s="166">
        <f ca="1">N47*O47</f>
        <v>0</v>
      </c>
      <c r="R47" s="166" t="str">
        <f ca="1">IF(N47=0,"",IF(AND($F$15&gt;0,N48=0),$F$15,""))</f>
        <v/>
      </c>
      <c r="S47" s="166">
        <f ca="1">IF(N47=0,0,IF($G$15&gt;0,$G$15,IF(OR(AND($C$10&gt;0,$N$48&gt;0),AND($C$11&gt;0,$N$48&gt;0),AND($C$12&gt;0,$N$48&gt;0)),"",IF($C$10&gt;0,$C$10*O47/2000,IF($C$11&gt;0,$C$11*365*O47/2000,IF($C$12&gt;0,$C$12*365*O47*N47/2000,IF(AND(N48&gt;0,F15&gt;0),"",IF(R47="",Q47*8760/2000,R47*8760/2000))))))))</f>
        <v>0</v>
      </c>
      <c r="T47" s="166">
        <f ca="1">P5*O47/2000</f>
        <v>0</v>
      </c>
    </row>
    <row r="48" spans="1:20" ht="14.25" customHeight="1" x14ac:dyDescent="0.2">
      <c r="J48" s="161"/>
      <c r="K48" s="161"/>
      <c r="M48" s="95" t="str">
        <f>$C$5 &amp; " - Waste Oil"</f>
        <v xml:space="preserve"> - Waste Oil</v>
      </c>
      <c r="N48" s="111">
        <f ca="1">$N$6</f>
        <v>0</v>
      </c>
      <c r="O48" s="165">
        <f ca="1">IF(N48=0,0,LOOKUP(M48,'Emission Factors'!$A$5:$A$10,'Emission Factors'!$L$5:$L$10))</f>
        <v>0</v>
      </c>
      <c r="P48" s="212" t="str">
        <f ca="1">IF(O48="","","lb/ton")</f>
        <v>lb/ton</v>
      </c>
      <c r="Q48" s="166">
        <f ca="1">N48*O48</f>
        <v>0</v>
      </c>
      <c r="R48" s="166" t="str">
        <f ca="1">IF(N48=0,"",IF($F$15&gt;0,$F$15,""))</f>
        <v/>
      </c>
      <c r="S48" s="166">
        <f ca="1">IF(N48=0,0,IF($G$15&gt;0,IF(S47=0,G15,""),IF($C$10&gt;0,$C$10*O48/2000,IF($C$11&gt;0,$C$11*365*O48/2000,IF($C$12&gt;0,$C$12*365*O48*N48/2000,IF(R48="",Q48*8760/2000,R48*8760/2000))))))</f>
        <v>0</v>
      </c>
      <c r="T48" s="166">
        <f ca="1">P6*O48/2000</f>
        <v>0</v>
      </c>
    </row>
    <row r="49" spans="2:20" ht="29.25" customHeight="1" x14ac:dyDescent="0.25">
      <c r="B49" s="79" t="str">
        <f>IF($C$4&gt;2,"Asphalt Plant","")</f>
        <v/>
      </c>
      <c r="C49" s="156" t="str">
        <f>IF($C$4&gt;2,"Site 3","")</f>
        <v/>
      </c>
      <c r="E49" s="259" t="str">
        <f>IF($C$4&gt;2,"Emission Point #","")</f>
        <v/>
      </c>
      <c r="F49" s="259" t="str">
        <f>IF($C$4&gt;2,"Emission    Unit #","")</f>
        <v/>
      </c>
      <c r="G49" s="259" t="str">
        <f>IF($C$4&gt;2,"Process","")</f>
        <v/>
      </c>
      <c r="H49" s="259" t="str">
        <f>IF($C$4&gt;2,"Maximum Hourly     Design Rate","")</f>
        <v/>
      </c>
      <c r="I49" s="261" t="str">
        <f>IF($C$4&gt;2,('Facility Information'!G35&amp;" Annual Throughput"),"")</f>
        <v/>
      </c>
      <c r="J49" s="162"/>
      <c r="K49" s="162"/>
      <c r="M49" s="95" t="str">
        <f>$C$5 &amp; " - Natural Gas"</f>
        <v xml:space="preserve"> - Natural Gas</v>
      </c>
      <c r="N49" s="111">
        <f ca="1">$N$7</f>
        <v>0</v>
      </c>
      <c r="O49" s="165">
        <f ca="1">IF(N49=0,0,LOOKUP(M49,'Emission Factors'!$A$5:$A$10,'Emission Factors'!$L$5:$L$10))</f>
        <v>0</v>
      </c>
      <c r="P49" s="212" t="str">
        <f ca="1">IF(O49="","","lb/ton")</f>
        <v>lb/ton</v>
      </c>
      <c r="Q49" s="166">
        <f ca="1">N49*O49</f>
        <v>0</v>
      </c>
      <c r="R49" s="166" t="str">
        <f ca="1">IF(N49=0,"",IF(AND($F$15&gt;0,N47=0,N48=0),$F$15,""))</f>
        <v/>
      </c>
      <c r="S49" s="166">
        <f ca="1">IF(N49=0,0,IF($G$15&gt;0,IF(AND(S47=0,S48=0),G15,""),IF(OR(AND($C$10&gt;0,$N$48&gt;0),AND($C$11&gt;0,$N$48&gt;0),AND($C$12&gt;0,$N$48&gt;0)),"",IF(OR(AND($C$10&gt;0,$N$47&gt;0),AND($C$11&gt;0,$N$47&gt;0),AND($C$12&gt;0,$N$47&gt;0)),"",IF($C$10&gt;0,$C$10*O49/2000,IF($C$11&gt;0,$C$11*365*O49/2000,IF($C$12&gt;0,$C$12*365*O49*N49/2000,IF(AND(N47&gt;0,N48&gt;0,F15&gt;0),"",IF(R49="",Q49*8760/2000,R49*8760/2000)))))))))</f>
        <v>0</v>
      </c>
      <c r="T49" s="166">
        <f ca="1">P7*O49/2000</f>
        <v>0</v>
      </c>
    </row>
    <row r="50" spans="2:20" ht="14.25" customHeight="1" x14ac:dyDescent="0.2">
      <c r="B50" s="81"/>
      <c r="D50" s="56"/>
      <c r="E50" s="260"/>
      <c r="F50" s="260"/>
      <c r="G50" s="260"/>
      <c r="H50" s="260"/>
      <c r="I50" s="260"/>
      <c r="J50" s="163"/>
      <c r="K50" s="163"/>
      <c r="M50" s="94" t="s">
        <v>6</v>
      </c>
      <c r="T50" s="172"/>
    </row>
    <row r="51" spans="2:20" ht="14.25" customHeight="1" x14ac:dyDescent="0.2">
      <c r="B51" s="82" t="str">
        <f>IF($C$4&gt;2,"Site Name","")</f>
        <v/>
      </c>
      <c r="C51" s="73"/>
      <c r="D51" s="56"/>
      <c r="E51" s="325" t="str">
        <f>IF($C$4&gt;2,"Dryers, Hot Screens, Mixer","")</f>
        <v/>
      </c>
      <c r="F51" s="325"/>
      <c r="G51" s="325"/>
      <c r="H51" s="149" t="str">
        <f>IF($C$4&gt;2,"(tons/hr)","")</f>
        <v/>
      </c>
      <c r="I51" s="149" t="str">
        <f>IF($C$4&gt;2,"(tons/yr)","")</f>
        <v/>
      </c>
      <c r="J51" s="163" t="s">
        <v>109</v>
      </c>
      <c r="K51" s="163" t="s">
        <v>16</v>
      </c>
      <c r="M51" s="95" t="str">
        <f>IF($C$5="","",$C$5)</f>
        <v/>
      </c>
      <c r="N51" s="111">
        <f ca="1">SUM($N$5:$N$7)</f>
        <v>0</v>
      </c>
      <c r="O51" s="165">
        <f ca="1">IF(N51=0,0,IF(M51="Batch Mix Plant",0.4,IF(M51="Drum Mix Plant",0.13)))</f>
        <v>0</v>
      </c>
      <c r="P51" s="212" t="str">
        <f ca="1">IF(O51="","","lb/ton")</f>
        <v>lb/ton</v>
      </c>
      <c r="Q51" s="166">
        <f ca="1">N51*O51</f>
        <v>0</v>
      </c>
      <c r="R51" s="166" t="str">
        <f ca="1">IF(N51=0,"",IF($F$16&gt;0,$F$16,""))</f>
        <v/>
      </c>
      <c r="S51" s="166">
        <f ca="1">IF($G$16&gt;0,$G$16,IF(N51=0,0,IF($C$10&gt;0,$C$10*O51/2000,IF($C$11&gt;0,$C$11*365*O51/2000,IF($C$12&gt;0,$C$12*365*O51*N51/2000,IF(R51="",Q51*8760/2000,R51*8760/2000))))))</f>
        <v>0</v>
      </c>
      <c r="T51" s="166">
        <f ca="1">SUM($P$5:$P$7)*O51/2000</f>
        <v>0</v>
      </c>
    </row>
    <row r="52" spans="2:20" ht="14.25" customHeight="1" x14ac:dyDescent="0.2">
      <c r="B52" s="82" t="str">
        <f>IF($C$4&gt;2,"County:","")</f>
        <v/>
      </c>
      <c r="C52" s="73"/>
      <c r="D52" s="56"/>
      <c r="E52" s="124" t="str">
        <f>IF(C54="","","AP-10 EP-1")</f>
        <v/>
      </c>
      <c r="F52" s="124" t="str">
        <f>IF(C54="","","AP-10 EU-1")</f>
        <v/>
      </c>
      <c r="G52" s="222" t="str">
        <f>IF(C54="","",C5 &amp; " - "&amp;C54)</f>
        <v/>
      </c>
      <c r="H52" s="72"/>
      <c r="I52" s="144"/>
      <c r="J52" s="225" t="str">
        <f>IF(C55="","",IF(C55="yes",LOOKUP(G52,'Emission Factors'!$A$12:$A$17,'Emission Factors'!$D$12:$D$17),LOOKUP(G52,'Emission Factors'!$A$5:$A$10,'Emission Factors'!$D$5:$D$10)))</f>
        <v/>
      </c>
      <c r="K52" s="225" t="str">
        <f>IF(C55="","",IF(C55="yes",LOOKUP(G52,'Emission Factors'!$A$12:$A$17,'Emission Factors'!$F$12:$F$17),LOOKUP(G52,'Emission Factors'!$A$5:$A$10,'Emission Factors'!$F$5:$F$10)))</f>
        <v/>
      </c>
      <c r="M52" s="95" t="s">
        <v>240</v>
      </c>
      <c r="N52" s="111">
        <f ca="1">N8</f>
        <v>0</v>
      </c>
      <c r="O52" s="165">
        <f ca="1">IF(N52=0,0,LOOKUP(M52,'Emission Factors'!$A$19:$A$21,'Emission Factors'!$N$19:$N$21))</f>
        <v>0</v>
      </c>
      <c r="P52" s="212" t="str">
        <f ca="1">IF(O52="","","lb/gallon")</f>
        <v>lb/gallon</v>
      </c>
      <c r="Q52" s="166">
        <f ca="1">N52*O52</f>
        <v>0</v>
      </c>
      <c r="R52" s="166"/>
      <c r="S52" s="166">
        <f ca="1">IF(N52=0,0,IF($G$16&gt;0,"",IF($F$16&gt;0,"",IF(R52="",Q52*8760/2000,R52*8760/2000))))</f>
        <v>0</v>
      </c>
      <c r="T52" s="166">
        <f ca="1">(P8*O52/2000)</f>
        <v>0</v>
      </c>
    </row>
    <row r="53" spans="2:20" ht="14.25" customHeight="1" x14ac:dyDescent="0.2">
      <c r="B53" s="82" t="str">
        <f>IF($C$4&gt;2,"Production Period (Dates):","")</f>
        <v/>
      </c>
      <c r="C53" s="173"/>
      <c r="D53" s="56"/>
      <c r="E53" s="325" t="str">
        <f>IF($C$4&gt;2,"Liquid Asphalt Heater","")</f>
        <v/>
      </c>
      <c r="F53" s="325"/>
      <c r="G53" s="325"/>
      <c r="H53" s="149" t="str">
        <f>IF($C$4&gt;2,IF(C54="natural gas","(MMCF/hr)","(gallons/hr)"),"")</f>
        <v/>
      </c>
      <c r="I53" s="149" t="str">
        <f>IF($C$4&gt;2,IF(C54="natural gas","(MMCF/yr)","(gallons/yr)"),"")</f>
        <v/>
      </c>
      <c r="J53" s="226"/>
      <c r="K53" s="226"/>
      <c r="M53" s="95" t="s">
        <v>246</v>
      </c>
      <c r="N53" s="111">
        <f ca="1">N9</f>
        <v>0</v>
      </c>
      <c r="O53" s="165">
        <f ca="1">IF(N53=0,0,LOOKUP(M53,'Emission Factors'!$A$19:$A$21,'Emission Factors'!$N$19:$N$21))</f>
        <v>0</v>
      </c>
      <c r="P53" s="212" t="str">
        <f ca="1">IF(O53="","","lb/gallon")</f>
        <v>lb/gallon</v>
      </c>
      <c r="Q53" s="166">
        <f ca="1">N53*O53</f>
        <v>0</v>
      </c>
      <c r="R53" s="166"/>
      <c r="S53" s="166">
        <f ca="1">IF(N53=0,0,IF($G$16&gt;0,"",IF($F$16&gt;0,"",IF(R53="",Q53*8760/2000,R53*8760/2000))))</f>
        <v>0</v>
      </c>
      <c r="T53" s="166">
        <f ca="1">(P9*O53/2000)</f>
        <v>0</v>
      </c>
    </row>
    <row r="54" spans="2:20" ht="14.25" customHeight="1" x14ac:dyDescent="0.2">
      <c r="B54" s="82" t="str">
        <f>IF($C$4&gt;2,"Type of Fuel Used:","")</f>
        <v/>
      </c>
      <c r="C54" s="230"/>
      <c r="D54" s="56"/>
      <c r="E54" s="124" t="str">
        <f>IF(C54="","","AP-10 EP-2")</f>
        <v/>
      </c>
      <c r="F54" s="124" t="str">
        <f>IF(C54="","","AP-10 EU-2")</f>
        <v/>
      </c>
      <c r="G54" s="222" t="str">
        <f>IF(C54="","",C54&amp; " Fired Heater")</f>
        <v/>
      </c>
      <c r="H54" s="72"/>
      <c r="I54" s="144"/>
      <c r="J54" s="163"/>
      <c r="K54" s="163"/>
      <c r="M54" s="95" t="s">
        <v>243</v>
      </c>
      <c r="N54" s="111">
        <f ca="1">N10</f>
        <v>0</v>
      </c>
      <c r="O54" s="165">
        <f ca="1">IF(N54=0,0,LOOKUP(M54,'Emission Factors'!$A$19:$A$21,'Emission Factors'!$N$19:$N$21))</f>
        <v>0</v>
      </c>
      <c r="P54" s="212" t="str">
        <f ca="1">IF(O54="","","lb/MMCF")</f>
        <v>lb/MMCF</v>
      </c>
      <c r="Q54" s="166">
        <f ca="1">N54*O54</f>
        <v>0</v>
      </c>
      <c r="R54" s="166"/>
      <c r="S54" s="166">
        <f ca="1">IF(N54=0,0,IF($G$16&gt;0,"",IF($F$16&gt;0,"",IF(R54="",Q54*8760/2000,R54*8760/2000))))</f>
        <v>0</v>
      </c>
      <c r="T54" s="166">
        <f ca="1">($P$10*O54/2000)</f>
        <v>0</v>
      </c>
    </row>
    <row r="55" spans="2:20" ht="14.25" customHeight="1" x14ac:dyDescent="0.2">
      <c r="B55" s="82" t="str">
        <f>IF($C$4&gt;2,"Is Your Operation Controlled?:","")</f>
        <v/>
      </c>
      <c r="C55" s="230"/>
      <c r="D55" s="56"/>
      <c r="E55" s="325" t="str">
        <f>IF($C$4&gt;2,"Silo Filling, Truck Loadout, Aggregate Transfer","")</f>
        <v/>
      </c>
      <c r="F55" s="325"/>
      <c r="G55" s="325"/>
      <c r="H55" s="149" t="str">
        <f>IF($C$4&gt;2,"(tons/hr)","")</f>
        <v/>
      </c>
      <c r="I55" s="149" t="str">
        <f>IF($C$4&gt;2,"(tons/yr)","")</f>
        <v/>
      </c>
      <c r="J55" s="226"/>
      <c r="K55" s="226"/>
      <c r="M55" s="94" t="s">
        <v>211</v>
      </c>
      <c r="T55" s="171"/>
    </row>
    <row r="56" spans="2:20" ht="14.25" customHeight="1" x14ac:dyDescent="0.2">
      <c r="D56" s="56"/>
      <c r="E56" s="124" t="str">
        <f>IF($C$4&gt;2,"AP-10 EP-3","")</f>
        <v/>
      </c>
      <c r="F56" s="124" t="str">
        <f>IF($C$4&gt;2,"AP-10 EU-3","")</f>
        <v/>
      </c>
      <c r="G56" s="222" t="str">
        <f>IF($C$4&gt;2,"Silo Filling","")</f>
        <v/>
      </c>
      <c r="H56" s="72"/>
      <c r="I56" s="144"/>
      <c r="J56" s="226"/>
      <c r="K56" s="226"/>
      <c r="M56" s="95" t="str">
        <f>IF($C$5="","",$C$5)</f>
        <v/>
      </c>
      <c r="N56" s="111">
        <f ca="1">IF(C5="drum mix plant",SUM(N5:$N$6),SUM($N$5:$N$7))</f>
        <v>0</v>
      </c>
      <c r="O56" s="165">
        <f ca="1">IF(N56=0,0,IF(M56="Batch Mix Plant",0.00032,IF(M56="Drum Mix Plant",0.0013)))</f>
        <v>0</v>
      </c>
      <c r="P56" s="212" t="str">
        <f ca="1">IF(O56="","","lb/ton")</f>
        <v>lb/ton</v>
      </c>
      <c r="Q56" s="166">
        <f ca="1">N56*O56</f>
        <v>0</v>
      </c>
      <c r="R56" s="166"/>
      <c r="S56" s="166">
        <f ca="1">IF(N56=0,0,IF($C$10&gt;0,$C$10*O56/2000,IF($C$11&gt;0,$C$11*365*O56/2000,IF($C$12&gt;0,$C$12*365*O56*N56/2000,IF(R56="",Q56*8760/2000,R56*8760/2000)))))</f>
        <v>0</v>
      </c>
      <c r="T56" s="166">
        <f ca="1">IF(C5="drum mix plant",$P$6*O56/2000,SUM($P$5:$P$7)*O56/2000)</f>
        <v>0</v>
      </c>
    </row>
    <row r="57" spans="2:20" ht="14.25" customHeight="1" x14ac:dyDescent="0.2">
      <c r="B57" s="83"/>
      <c r="D57" s="56"/>
      <c r="E57" s="124" t="str">
        <f>IF($C$4&gt;2,"AP-10 EP-3","")</f>
        <v/>
      </c>
      <c r="F57" s="124" t="str">
        <f>IF($C$4&gt;2,"AP-10 EU-4","")</f>
        <v/>
      </c>
      <c r="G57" s="222" t="str">
        <f>IF($C$4&gt;2,"Truck Loadout","")</f>
        <v/>
      </c>
      <c r="H57" s="72"/>
      <c r="I57" s="144"/>
      <c r="J57" s="226"/>
      <c r="K57" s="226"/>
      <c r="M57" s="94" t="s">
        <v>212</v>
      </c>
      <c r="T57" s="171"/>
    </row>
    <row r="58" spans="2:20" ht="14.25" customHeight="1" x14ac:dyDescent="0.2">
      <c r="B58" s="83"/>
      <c r="D58" s="56"/>
      <c r="E58" s="124" t="str">
        <f>IF($C$4&gt;2,"AP-10 EP-3","")</f>
        <v/>
      </c>
      <c r="F58" s="124" t="str">
        <f>IF($C$4&gt;2,"AP-10 EU-5","")</f>
        <v/>
      </c>
      <c r="G58" s="222" t="str">
        <f>IF($C$4&gt;2,"Cold Aggregate Bins","")</f>
        <v/>
      </c>
      <c r="H58" s="72"/>
      <c r="I58" s="144"/>
      <c r="J58" s="226"/>
      <c r="K58" s="226"/>
      <c r="M58" s="95" t="str">
        <f>IF($C$5="","",$C$5)</f>
        <v/>
      </c>
      <c r="N58" s="111">
        <f>IF(C5="drum mix plant",SUM(N5:$N$6),0)</f>
        <v>0</v>
      </c>
      <c r="O58" s="165">
        <f>IF(N58=0,0,0.000026)</f>
        <v>0</v>
      </c>
      <c r="P58" s="212" t="str">
        <f>IF(O58="","","lb/ton")</f>
        <v>lb/ton</v>
      </c>
      <c r="Q58" s="166">
        <f>N58*O58</f>
        <v>0</v>
      </c>
      <c r="R58" s="166"/>
      <c r="S58" s="166">
        <f>IF(N58=0,0,IF($C$10&gt;0,$C$10*O58/2000,IF($C$11&gt;0,$C$11*365*O58/2000,IF($C$12&gt;0,$C$12*365*O58*N58/2000,IF(R58="",Q58*8760/2000,R58*8760/2000)))))</f>
        <v>0</v>
      </c>
      <c r="T58" s="166">
        <f ca="1">IF(C7="drum mix plant",$P$6*O58/2000,SUM($P$5:$P$7)*O58/2000)</f>
        <v>0</v>
      </c>
    </row>
    <row r="59" spans="2:20" ht="14.25" customHeight="1" x14ac:dyDescent="0.2">
      <c r="B59" s="83"/>
      <c r="E59" s="125"/>
      <c r="F59" s="125"/>
      <c r="G59" s="227"/>
      <c r="H59" s="228"/>
      <c r="I59" s="226"/>
      <c r="M59" s="94" t="s">
        <v>52</v>
      </c>
      <c r="T59" s="171"/>
    </row>
    <row r="60" spans="2:20" ht="14.25" customHeight="1" x14ac:dyDescent="0.2">
      <c r="B60" s="83"/>
      <c r="E60" s="84" t="str">
        <f>IF($C$4&gt;2,"Stock Pile Area","")</f>
        <v/>
      </c>
      <c r="F60" s="84"/>
      <c r="G60" s="85"/>
      <c r="J60" s="113"/>
      <c r="K60" s="113"/>
      <c r="M60" s="95" t="str">
        <f>IF($C$5="","",$C$5)</f>
        <v/>
      </c>
      <c r="N60" s="111">
        <f ca="1">SUM($N$5:$N$7)</f>
        <v>0</v>
      </c>
      <c r="O60" s="165">
        <f ca="1">IF(N60=0,0,IF(M60="Batch Mix Plant",0.00028,IF(M60="Drum Mix Plant",0.00039)))</f>
        <v>0</v>
      </c>
      <c r="P60" s="212" t="str">
        <f ca="1">IF(O60="","","lb/ton")</f>
        <v>lb/ton</v>
      </c>
      <c r="Q60" s="166">
        <f ca="1">N60*O60</f>
        <v>0</v>
      </c>
      <c r="R60" s="166"/>
      <c r="S60" s="166">
        <f ca="1">IF(N60=0,0,IF($C$10&gt;0,$C$10*O60/2000,IF($C$11&gt;0,$C$11*365*O60/2000,IF($C$12&gt;0,$C$12*365*O60*N60/2000,IF(R60="",Q60*8760/2000,R60*8760/2000)))))</f>
        <v>0</v>
      </c>
      <c r="T60" s="166">
        <f ca="1">SUM($P$5:$P$7)*O60/2000</f>
        <v>0</v>
      </c>
    </row>
    <row r="61" spans="2:20" ht="14.25" customHeight="1" x14ac:dyDescent="0.2">
      <c r="B61" s="56"/>
      <c r="F61" s="87" t="str">
        <f>IF($C$4&gt;2,"Emission Unit #","")</f>
        <v/>
      </c>
      <c r="G61" s="52" t="str">
        <f>IF($C$4&gt;2,"Maximum Storage Area (acres)","")</f>
        <v/>
      </c>
      <c r="H61" s="213" t="str">
        <f>IF($C$4&gt;2,"Actual Storage Area (acres)","")</f>
        <v/>
      </c>
      <c r="I61" s="52" t="str">
        <f>IF($C$4&gt;2,"Actual Days in Existence (days)","")</f>
        <v/>
      </c>
      <c r="J61" s="113"/>
      <c r="K61" s="113"/>
      <c r="M61" s="94" t="s">
        <v>213</v>
      </c>
      <c r="T61" s="171"/>
    </row>
    <row r="62" spans="2:20" ht="14.25" customHeight="1" x14ac:dyDescent="0.2">
      <c r="B62" s="83"/>
      <c r="E62" s="125"/>
      <c r="F62" s="74"/>
      <c r="G62" s="148"/>
      <c r="H62" s="75"/>
      <c r="I62" s="148"/>
      <c r="M62" s="95" t="str">
        <f>IF($C$5="","",$C$5)</f>
        <v/>
      </c>
      <c r="N62" s="111">
        <f ca="1">SUM($N$5:$N$7)</f>
        <v>0</v>
      </c>
      <c r="O62" s="165">
        <f ca="1">IF(N62=0,0,IF(M62="Batch Mix Plant",0.0022,IF(M62="Drum Mix Plant",0.00024)))</f>
        <v>0</v>
      </c>
      <c r="P62" s="212" t="str">
        <f ca="1">IF(O62="","","lb/ton")</f>
        <v>lb/ton</v>
      </c>
      <c r="Q62" s="166">
        <f ca="1">N62*O62</f>
        <v>0</v>
      </c>
      <c r="R62" s="166"/>
      <c r="S62" s="166">
        <f ca="1">IF(N62=0,0,IF($C$10&gt;0,$C$10*O62/2000,IF($C$11&gt;0,$C$11*365*O62/2000,IF($C$12&gt;0,$C$12*365*O62*N62/2000,IF(R62="",Q62*8760/2000,R62*8760/2000)))))</f>
        <v>0</v>
      </c>
      <c r="T62" s="166">
        <f ca="1">SUM($P$5:$P$7)*O62/2000</f>
        <v>0</v>
      </c>
    </row>
    <row r="63" spans="2:20" ht="14.25" customHeight="1" x14ac:dyDescent="0.2">
      <c r="J63" s="161"/>
      <c r="K63" s="161"/>
      <c r="M63" s="94" t="s">
        <v>7</v>
      </c>
      <c r="T63" s="171"/>
    </row>
    <row r="64" spans="2:20" ht="28.5" customHeight="1" x14ac:dyDescent="0.25">
      <c r="B64" s="79" t="str">
        <f>IF($C$4&gt;3,"Asphalt Plant","")</f>
        <v/>
      </c>
      <c r="C64" s="156" t="str">
        <f>IF($C$4&gt;3,"Site 4","")</f>
        <v/>
      </c>
      <c r="E64" s="259" t="str">
        <f>IF($C$4&gt;3,"Emission Point #","")</f>
        <v/>
      </c>
      <c r="F64" s="259" t="str">
        <f>IF($C$4&gt;3,"Emission    Unit #","")</f>
        <v/>
      </c>
      <c r="G64" s="259" t="str">
        <f>IF($C$4&gt;3,"Process","")</f>
        <v/>
      </c>
      <c r="H64" s="259" t="str">
        <f>IF($C$4&gt;3,"Maximum Hourly     Design Rate","")</f>
        <v/>
      </c>
      <c r="I64" s="261" t="str">
        <f>IF($C$4&gt;3,('Facility Information'!G50&amp;" Annual Throughput"),"")</f>
        <v/>
      </c>
      <c r="J64" s="162"/>
      <c r="K64" s="162"/>
      <c r="M64" s="95" t="str">
        <f>IF($C$5="","",$C$5)</f>
        <v/>
      </c>
      <c r="N64" s="111">
        <f ca="1">SUM($N$5:$N$7)</f>
        <v>0</v>
      </c>
      <c r="O64" s="165">
        <f ca="1">IF(N64=0,0,IF(M64="Batch Mix Plant",0.00074,IF(M64="Drum Mix Plant",0.0031)))</f>
        <v>0</v>
      </c>
      <c r="P64" s="212" t="str">
        <f ca="1">IF(O64="","","lb/ton")</f>
        <v>lb/ton</v>
      </c>
      <c r="Q64" s="166">
        <f ca="1">N64*O64</f>
        <v>0</v>
      </c>
      <c r="R64" s="166"/>
      <c r="S64" s="166">
        <f ca="1">IF(N64=0,0,IF($C$10&gt;0,$C$10*O64/2000,IF($C$11&gt;0,$C$11*365*O64/2000,IF($C$12&gt;0,$C$12*365*O64*N64/2000,IF(R64="",Q64*8760/2000,R64*8760/2000)))))</f>
        <v>0</v>
      </c>
      <c r="T64" s="166">
        <f ca="1">SUM($P$5:$P$7)*O64/2000</f>
        <v>0</v>
      </c>
    </row>
    <row r="65" spans="2:20" ht="14.25" customHeight="1" x14ac:dyDescent="0.2">
      <c r="B65" s="81"/>
      <c r="D65" s="56"/>
      <c r="E65" s="260"/>
      <c r="F65" s="260"/>
      <c r="G65" s="260"/>
      <c r="H65" s="260"/>
      <c r="I65" s="260"/>
      <c r="J65" s="163"/>
      <c r="K65" s="163"/>
      <c r="M65" s="95" t="str">
        <f>"Natural Gas Fired Heater"</f>
        <v>Natural Gas Fired Heater</v>
      </c>
      <c r="N65" s="111">
        <f ca="1">N10</f>
        <v>0</v>
      </c>
      <c r="O65" s="165">
        <f ca="1">IF(N65=0,0,0.026)</f>
        <v>0</v>
      </c>
      <c r="P65" s="212" t="str">
        <f ca="1">IF(O65="","","lb/MMCF")</f>
        <v>lb/MMCF</v>
      </c>
      <c r="Q65" s="166">
        <f ca="1">N65*O65</f>
        <v>0</v>
      </c>
      <c r="R65" s="166"/>
      <c r="S65" s="166">
        <f ca="1">IF(N65=0,0,IF(R65="",Q65*8760/2000,R65*8760/2000))</f>
        <v>0</v>
      </c>
      <c r="T65" s="166">
        <f ca="1">($P$10*O65/2000)</f>
        <v>0</v>
      </c>
    </row>
    <row r="66" spans="2:20" ht="14.25" customHeight="1" x14ac:dyDescent="0.2">
      <c r="B66" s="82" t="str">
        <f>IF($C$4&gt;3,"Site Name","")</f>
        <v/>
      </c>
      <c r="C66" s="73"/>
      <c r="D66" s="56" t="s">
        <v>186</v>
      </c>
      <c r="E66" s="325" t="str">
        <f>IF($C$4&gt;3,"Dryers, Hot Screens, Mixer","")</f>
        <v/>
      </c>
      <c r="F66" s="325"/>
      <c r="G66" s="325"/>
      <c r="H66" s="149" t="str">
        <f>IF($C$4&gt;3,"(tons/hr)","")</f>
        <v/>
      </c>
      <c r="I66" s="149" t="str">
        <f>IF($C$4&gt;3,"(tons/yr)","")</f>
        <v/>
      </c>
      <c r="J66" s="163" t="s">
        <v>109</v>
      </c>
      <c r="K66" s="163" t="s">
        <v>16</v>
      </c>
      <c r="M66" s="94" t="s">
        <v>214</v>
      </c>
      <c r="T66" s="171"/>
    </row>
    <row r="67" spans="2:20" ht="14.25" customHeight="1" x14ac:dyDescent="0.2">
      <c r="B67" s="82" t="str">
        <f>IF($C$4&gt;3,"County:","")</f>
        <v/>
      </c>
      <c r="C67" s="73"/>
      <c r="D67" s="56"/>
      <c r="E67" s="124" t="str">
        <f>IF(C69="","","AP-10 EP-1")</f>
        <v/>
      </c>
      <c r="F67" s="124" t="str">
        <f>IF(C69="","","AP-10 EU-1")</f>
        <v/>
      </c>
      <c r="G67" s="222" t="str">
        <f>IF(C69="","",C5 &amp; " - "&amp;C69)</f>
        <v/>
      </c>
      <c r="H67" s="72"/>
      <c r="I67" s="144"/>
      <c r="J67" s="225" t="str">
        <f>IF(C70="","",IF(C70="yes",LOOKUP(G67,'Emission Factors'!$A$12:$A$17,'Emission Factors'!$D$12:$D$17),LOOKUP(G67,'Emission Factors'!$A$5:$A$10,'Emission Factors'!$D$5:$D$10)))</f>
        <v/>
      </c>
      <c r="K67" s="225" t="str">
        <f>IF(C70="","",IF(C70="yes",LOOKUP(G67,'Emission Factors'!$A$12:$A$17,'Emission Factors'!$F$12:$F$17),LOOKUP(G67,'Emission Factors'!$A$5:$A$10,'Emission Factors'!$F$5:$F$10)))</f>
        <v/>
      </c>
      <c r="M67" s="95" t="str">
        <f>IF($C$5="","",$C$5)</f>
        <v/>
      </c>
      <c r="N67" s="111">
        <f>IF(C5="drum mix plant",SUM(N5:N7),0)</f>
        <v>0</v>
      </c>
      <c r="O67" s="165">
        <f>IF(N67=0,0,0.00092)</f>
        <v>0</v>
      </c>
      <c r="P67" s="212" t="str">
        <f>IF(O67="","","lb/ton")</f>
        <v>lb/ton</v>
      </c>
      <c r="Q67" s="166">
        <f>N67*O67</f>
        <v>0</v>
      </c>
      <c r="R67" s="166"/>
      <c r="S67" s="166">
        <f>IF(N67=0,0,IF($C$10&gt;0,$C$10*O67/2000,IF($C$11&gt;0,$C$11*365*O67/2000,IF($C$12&gt;0,$C$12*365*O67*N67/2000,IF(R67="",Q67*8760/2000,R67*8760/2000)))))</f>
        <v>0</v>
      </c>
      <c r="T67" s="166">
        <f>IF(N67&gt;0,SUM($P$5:$P$7)*O67/2000,0)</f>
        <v>0</v>
      </c>
    </row>
    <row r="68" spans="2:20" ht="14.25" customHeight="1" x14ac:dyDescent="0.2">
      <c r="B68" s="82" t="str">
        <f>IF($C$4&gt;3,"Production Period (Dates):","")</f>
        <v/>
      </c>
      <c r="C68" s="73"/>
      <c r="D68" s="56"/>
      <c r="E68" s="325" t="str">
        <f>IF($C$4&gt;3,"Liquid Asphalt Heater","")</f>
        <v/>
      </c>
      <c r="F68" s="325"/>
      <c r="G68" s="325"/>
      <c r="H68" s="149" t="str">
        <f>IF($C$4&gt;3,IF(C69="natural gas","(MMCF/hr)","(gallons/hr)"),"")</f>
        <v/>
      </c>
      <c r="I68" s="149" t="str">
        <f>IF($C$4&gt;3,IF(C69="natural gas","(MMCF/yr)","(gallons/yr)"),"")</f>
        <v/>
      </c>
      <c r="J68" s="226"/>
      <c r="K68" s="226"/>
      <c r="M68" s="94" t="s">
        <v>258</v>
      </c>
      <c r="T68" s="171"/>
    </row>
    <row r="69" spans="2:20" ht="14.25" customHeight="1" x14ac:dyDescent="0.2">
      <c r="B69" s="82" t="str">
        <f>IF($C$4&gt;3,"Type of Fuel Used:","")</f>
        <v/>
      </c>
      <c r="C69" s="230"/>
      <c r="D69" s="56"/>
      <c r="E69" s="124" t="str">
        <f>IF(C69="","","AP-10 EP-2")</f>
        <v/>
      </c>
      <c r="F69" s="124" t="str">
        <f>IF(C69="","","AP-10 EU-2")</f>
        <v/>
      </c>
      <c r="G69" s="222" t="str">
        <f>IF(C69="","",C69&amp; " Fired Heater")</f>
        <v/>
      </c>
      <c r="H69" s="72"/>
      <c r="I69" s="144"/>
      <c r="J69" s="163"/>
      <c r="K69" s="163"/>
      <c r="M69" s="95" t="str">
        <f>IF($C$5="","",$C$5)</f>
        <v/>
      </c>
      <c r="N69" s="111">
        <f>IF(C5="drum mix plant",SUM(N5:$N$6),0)</f>
        <v>0</v>
      </c>
      <c r="O69" s="165">
        <f>IF(N69=0,0,0.00021)</f>
        <v>0</v>
      </c>
      <c r="P69" s="212" t="str">
        <f>IF(O69="","","lb/ton")</f>
        <v>lb/ton</v>
      </c>
      <c r="Q69" s="166">
        <f>N69*O69</f>
        <v>0</v>
      </c>
      <c r="R69" s="166"/>
      <c r="S69" s="166">
        <f>IF(N69=0,0,IF($C$10&gt;0,$C$10*O69/2000,IF($C$11&gt;0,$C$11*365*O69/2000,IF($C$12&gt;0,$C$12*365*O69*N69/2000,IF(R69="",Q69*8760/2000,R69*8760/2000)))))</f>
        <v>0</v>
      </c>
      <c r="T69" s="166">
        <f>IF(N69&gt;0,$P$6*O69/2000,0)</f>
        <v>0</v>
      </c>
    </row>
    <row r="70" spans="2:20" ht="14.25" customHeight="1" x14ac:dyDescent="0.2">
      <c r="B70" s="82" t="str">
        <f>IF($C$4&gt;3,"Is Your Operation Controlled?:","")</f>
        <v/>
      </c>
      <c r="C70" s="230"/>
      <c r="D70" s="56"/>
      <c r="E70" s="325" t="str">
        <f>IF($C$4&gt;3,"Silo Filling, Truck Loadout, Aggregate Transfer","")</f>
        <v/>
      </c>
      <c r="F70" s="325"/>
      <c r="G70" s="325"/>
      <c r="H70" s="149" t="str">
        <f>IF($C$4&gt;3,"(tons/hr)","")</f>
        <v/>
      </c>
      <c r="I70" s="149" t="str">
        <f>IF($C$4&gt;3,"(tons/yr)","")</f>
        <v/>
      </c>
      <c r="J70" s="226"/>
      <c r="K70" s="226"/>
      <c r="M70" s="94" t="s">
        <v>216</v>
      </c>
      <c r="T70" s="171"/>
    </row>
    <row r="71" spans="2:20" ht="14.25" customHeight="1" x14ac:dyDescent="0.2">
      <c r="D71" s="56"/>
      <c r="E71" s="124" t="str">
        <f>IF($C$4&gt;3,"AP-10 EP-3","")</f>
        <v/>
      </c>
      <c r="F71" s="124" t="str">
        <f>IF($C$4&gt;3,"AP-10 EU-3","")</f>
        <v/>
      </c>
      <c r="G71" s="222" t="str">
        <f>IF($C$4&gt;3,"Silo Filling","")</f>
        <v/>
      </c>
      <c r="H71" s="72"/>
      <c r="I71" s="144"/>
      <c r="J71" s="226"/>
      <c r="K71" s="226"/>
      <c r="M71" s="95" t="str">
        <f>IF($C$5="","",$C$5)</f>
        <v/>
      </c>
      <c r="N71" s="111">
        <f>IF(C5="drum mix plant",SUM(N5:N7),0)</f>
        <v>0</v>
      </c>
      <c r="O71" s="165">
        <f>IF(N71=0,0,0.000048)</f>
        <v>0</v>
      </c>
      <c r="P71" s="212" t="str">
        <f>IF(O71="","","lb/ton")</f>
        <v>lb/ton</v>
      </c>
      <c r="Q71" s="166">
        <f>N71*O71</f>
        <v>0</v>
      </c>
      <c r="R71" s="166"/>
      <c r="S71" s="166">
        <f>IF(N71=0,0,IF($C$10&gt;0,$C$10*O71/2000,IF($C$11&gt;0,$C$11*365*O71/2000,IF($C$12&gt;0,$C$12*365*O71*N71/2000,IF(R71="",Q71*8760/2000,R71*8760/2000)))))</f>
        <v>0</v>
      </c>
      <c r="T71" s="166">
        <f>IF(N71&gt;0,SUM($P$5:$P$7)*O71/2000,0)</f>
        <v>0</v>
      </c>
    </row>
    <row r="72" spans="2:20" ht="14.25" customHeight="1" x14ac:dyDescent="0.2">
      <c r="B72" s="83"/>
      <c r="D72" s="56"/>
      <c r="E72" s="124" t="str">
        <f>IF($C$4&gt;3,"AP-10 EP-3","")</f>
        <v/>
      </c>
      <c r="F72" s="124" t="str">
        <f>IF($C$4&gt;3,"AP-10 EU-4","")</f>
        <v/>
      </c>
      <c r="G72" s="222" t="str">
        <f>IF($C$4&gt;3,"Truck Loadout","")</f>
        <v/>
      </c>
      <c r="H72" s="72"/>
      <c r="I72" s="144"/>
      <c r="J72" s="226"/>
      <c r="K72" s="226"/>
      <c r="M72" s="94" t="s">
        <v>217</v>
      </c>
      <c r="T72" s="171"/>
    </row>
    <row r="73" spans="2:20" ht="14.25" customHeight="1" x14ac:dyDescent="0.2">
      <c r="B73" s="83"/>
      <c r="D73" s="56"/>
      <c r="E73" s="124" t="str">
        <f>IF($C$4&gt;3,"AP-10 EP-3","")</f>
        <v/>
      </c>
      <c r="F73" s="124" t="str">
        <f>IF($C$4&gt;3,"AP-10 EU-5","")</f>
        <v/>
      </c>
      <c r="G73" s="222" t="str">
        <f>IF($C$4&gt;3,"Cold Aggregate Bins","")</f>
        <v/>
      </c>
      <c r="H73" s="72"/>
      <c r="I73" s="144"/>
      <c r="J73" s="226"/>
      <c r="K73" s="226"/>
      <c r="M73" s="95" t="str">
        <f>IF($C$5="","",$C$5)</f>
        <v/>
      </c>
      <c r="N73" s="111">
        <f>IF(C5="drum mix plant",SUM(N5:$N$6),0)</f>
        <v>0</v>
      </c>
      <c r="O73" s="165">
        <f>IF(N73=0,0,0.00013)</f>
        <v>0</v>
      </c>
      <c r="P73" s="212" t="str">
        <f>IF(O73="","","lb/ton")</f>
        <v>lb/ton</v>
      </c>
      <c r="Q73" s="166">
        <f>N73*O73</f>
        <v>0</v>
      </c>
      <c r="R73" s="166"/>
      <c r="S73" s="166">
        <f>IF(N73=0,0,IF($C$10&gt;0,$C$10*O73/2000,IF($C$11&gt;0,$C$11*365*O73/2000,IF($C$12&gt;0,$C$12*365*O73*N73/2000,IF(R73="",Q73*8760/2000,R73*8760/2000)))))</f>
        <v>0</v>
      </c>
      <c r="T73" s="166">
        <f>IF(N73&gt;0,$P$6*O73/2000,0)</f>
        <v>0</v>
      </c>
    </row>
    <row r="74" spans="2:20" ht="14.25" customHeight="1" x14ac:dyDescent="0.2">
      <c r="B74" s="83"/>
      <c r="E74" s="125"/>
      <c r="F74" s="125"/>
      <c r="G74" s="227"/>
      <c r="H74" s="228"/>
      <c r="I74" s="226"/>
      <c r="M74" s="94" t="s">
        <v>218</v>
      </c>
      <c r="T74" s="171"/>
    </row>
    <row r="75" spans="2:20" ht="14.25" customHeight="1" x14ac:dyDescent="0.2">
      <c r="B75" s="83"/>
      <c r="E75" s="84" t="str">
        <f>IF($C$4&gt;3,"Stock Pile Area","")</f>
        <v/>
      </c>
      <c r="F75" s="84"/>
      <c r="G75" s="85"/>
      <c r="J75" s="113"/>
      <c r="K75" s="113"/>
      <c r="M75" s="95" t="str">
        <f>IF($C$5="","",$C$5)</f>
        <v/>
      </c>
      <c r="N75" s="111">
        <f ca="1">IF(C5="drum mix plant",SUM(N5:$N$6),SUM($N$5:$N$7))</f>
        <v>0</v>
      </c>
      <c r="O75" s="165">
        <f ca="1">IF(N75=0,0,IF(M75="Batch Mix Plant",0.00027,IF(M75="Drum Mix Plant",0.00016)))</f>
        <v>0</v>
      </c>
      <c r="P75" s="212" t="str">
        <f ca="1">IF(O75="","","lb/ton")</f>
        <v>lb/ton</v>
      </c>
      <c r="Q75" s="166">
        <f ca="1">N75*O75</f>
        <v>0</v>
      </c>
      <c r="R75" s="166"/>
      <c r="S75" s="166">
        <f ca="1">IF(N75=0,0,IF($C$10&gt;0,$C$10*O75/2000,IF($C$11&gt;0,$C$11*365*O75/2000,IF($C$12&gt;0,$C$12*365*O75*N75/2000,IF(R75="",Q75*8760/2000,R75*8760/2000)))))</f>
        <v>0</v>
      </c>
      <c r="T75" s="166">
        <f ca="1">IF(C24="drum mix plant",$P$6*O75/2000,SUM($P$5:$P$7)*O75/2000)</f>
        <v>0</v>
      </c>
    </row>
    <row r="76" spans="2:20" ht="14.25" customHeight="1" x14ac:dyDescent="0.2">
      <c r="B76" s="56"/>
      <c r="F76" s="87" t="str">
        <f>IF($C$4&gt;3,"Emission Unit #","")</f>
        <v/>
      </c>
      <c r="G76" s="52" t="str">
        <f>IF($C$4&gt;3,"Maximum Storage Area (acres)","")</f>
        <v/>
      </c>
      <c r="H76" s="213" t="str">
        <f>IF($C$4&gt;3,"Actual Storage Area (acres)","")</f>
        <v/>
      </c>
      <c r="I76" s="52" t="str">
        <f>IF($C$4&gt;3,"Actual Days in Existence (days)","")</f>
        <v/>
      </c>
      <c r="J76" s="113"/>
      <c r="K76" s="113"/>
      <c r="M76" s="168" t="s">
        <v>219</v>
      </c>
      <c r="N76" s="159"/>
      <c r="O76" s="159"/>
      <c r="P76" s="159"/>
      <c r="Q76" s="159"/>
      <c r="R76" s="159"/>
      <c r="S76" s="159"/>
      <c r="T76" s="171"/>
    </row>
    <row r="77" spans="2:20" ht="14.25" customHeight="1" x14ac:dyDescent="0.2">
      <c r="B77" s="83"/>
      <c r="E77" s="125"/>
      <c r="F77" s="74"/>
      <c r="G77" s="148"/>
      <c r="H77" s="75"/>
      <c r="I77" s="148"/>
      <c r="M77" s="95" t="str">
        <f>$C$5 &amp; " - Fuel Oil"</f>
        <v xml:space="preserve"> - Fuel Oil</v>
      </c>
      <c r="N77" s="111">
        <f ca="1">$N$5</f>
        <v>0</v>
      </c>
      <c r="O77" s="165">
        <f ca="1">IF(N77=0,0,LOOKUP(M77,'Emission Factors'!$A$5:$A$10,'Emission Factors'!$AJ$5:$AJ$10))</f>
        <v>0</v>
      </c>
      <c r="P77" s="212" t="str">
        <f ca="1">IF(O77="","","lb/ton")</f>
        <v>lb/ton</v>
      </c>
      <c r="Q77" s="166">
        <f ca="1">N77*O77</f>
        <v>0</v>
      </c>
      <c r="R77" s="166"/>
      <c r="S77" s="166">
        <f ca="1">IF(N77=0,0,IF($C$10&gt;0,$C$10*O77/2000,IF($C$11&gt;0,$C$11*365*O77/2000,IF($C$12&gt;0,$C$12*365*O77*N77/2000,IF(R77="",Q77*8760/2000,R77*8760/2000)))))</f>
        <v>0</v>
      </c>
      <c r="T77" s="166">
        <f ca="1">P5*O77/2000</f>
        <v>0</v>
      </c>
    </row>
    <row r="78" spans="2:20" ht="14.25" customHeight="1" x14ac:dyDescent="0.2">
      <c r="J78" s="161"/>
      <c r="K78" s="161"/>
      <c r="M78" s="95" t="str">
        <f>$C$5 &amp; " - Waste Oil"</f>
        <v xml:space="preserve"> - Waste Oil</v>
      </c>
      <c r="N78" s="111">
        <f ca="1">$N$6</f>
        <v>0</v>
      </c>
      <c r="O78" s="165">
        <f ca="1">IF(N78=0,0,LOOKUP(M78,'Emission Factors'!$A$5:$A$10,'Emission Factors'!$AJ$5:$AJ$10))</f>
        <v>0</v>
      </c>
      <c r="P78" s="212" t="str">
        <f ca="1">IF(O78="","","lb/ton")</f>
        <v>lb/ton</v>
      </c>
      <c r="Q78" s="166">
        <f ca="1">N78*O78</f>
        <v>0</v>
      </c>
      <c r="R78" s="166"/>
      <c r="S78" s="166">
        <f ca="1">IF(N78=0,0,IF(OR(AND($C$10&gt;0,$N$77&gt;0),AND($C$11&gt;0,$N$77&gt;0),AND($C$12&gt;0,$N$77&gt;0)),"",IF($C$10&gt;0,$C$10*O78/2000,IF($C$11&gt;0,$C$11*365*O78/2000,IF($C$12&gt;0,$C$12*365*O78*N78/2000,IF(R78="",Q78*8760/2000,R78*8760/2000))))))</f>
        <v>0</v>
      </c>
      <c r="T78" s="166">
        <f ca="1">P6*O78/2000</f>
        <v>0</v>
      </c>
    </row>
    <row r="79" spans="2:20" ht="27.75" customHeight="1" x14ac:dyDescent="0.25">
      <c r="B79" s="79" t="str">
        <f>IF($C$4&gt;4,"Asphalt Plant","")</f>
        <v/>
      </c>
      <c r="C79" s="156" t="str">
        <f>IF($C$4&gt;4,"Site 5","")</f>
        <v/>
      </c>
      <c r="E79" s="259" t="str">
        <f>IF($C$4&gt;4,"Emission Point #","")</f>
        <v/>
      </c>
      <c r="F79" s="259" t="str">
        <f>IF($C$4&gt;4,"Emission    Unit #","")</f>
        <v/>
      </c>
      <c r="G79" s="259" t="str">
        <f>IF($C$4&gt;4,"Process","")</f>
        <v/>
      </c>
      <c r="H79" s="259" t="str">
        <f>IF($C$4&gt;4,"Maximum Hourly     Design Rate","")</f>
        <v/>
      </c>
      <c r="I79" s="261" t="str">
        <f>IF($C$4&gt;4,('Facility Information'!G65&amp;" Annual Throughput"),"")</f>
        <v/>
      </c>
      <c r="J79" s="162"/>
      <c r="K79" s="162"/>
      <c r="M79" s="95" t="str">
        <f>$C$5 &amp; " - Natural Gas"</f>
        <v xml:space="preserve"> - Natural Gas</v>
      </c>
      <c r="N79" s="111">
        <f ca="1">$N$7</f>
        <v>0</v>
      </c>
      <c r="O79" s="165">
        <f ca="1">IF(N79=0,0,LOOKUP(M79,'Emission Factors'!$A$5:$A$10,'Emission Factors'!$AJ$5:$AJ$10))</f>
        <v>0</v>
      </c>
      <c r="P79" s="212" t="str">
        <f ca="1">IF(O79="","","lb/ton")</f>
        <v>lb/ton</v>
      </c>
      <c r="Q79" s="166">
        <f ca="1">N79*O79</f>
        <v>0</v>
      </c>
      <c r="R79" s="166"/>
      <c r="S79" s="166">
        <f ca="1">IF(N79=0,0,IF(OR(AND($C$10&gt;0,$N$77&gt;0),AND($C$11&gt;0,$N$77&gt;0),AND($C$12&gt;0,$N$77&gt;0)),"",IF(OR(AND($C$10&gt;0,$N$78&gt;0),AND($C$11&gt;0,$N$78&gt;0),AND($C$12&gt;0,$N$78&gt;0)),"",IF($C$10&gt;0,$C$10*O79/2000,IF($C$11&gt;0,$C$11*365*O79/2000,IF($C$12&gt;0,$C$12*365*O79*N79/2000,IF(R79="",Q79*8760/2000,R79*8760/2000)))))))</f>
        <v>0</v>
      </c>
      <c r="T79" s="166">
        <f ca="1">P7*O79/2000</f>
        <v>0</v>
      </c>
    </row>
    <row r="80" spans="2:20" ht="14.25" customHeight="1" x14ac:dyDescent="0.2">
      <c r="B80" s="81"/>
      <c r="D80" s="56"/>
      <c r="E80" s="260"/>
      <c r="F80" s="260"/>
      <c r="G80" s="260"/>
      <c r="H80" s="260"/>
      <c r="I80" s="260"/>
      <c r="J80" s="163"/>
      <c r="K80" s="163"/>
      <c r="M80" s="94" t="s">
        <v>220</v>
      </c>
      <c r="T80" s="171"/>
    </row>
    <row r="81" spans="2:20" ht="14.25" customHeight="1" x14ac:dyDescent="0.2">
      <c r="B81" s="82" t="str">
        <f>IF($C$4&gt;4,"Site Name","")</f>
        <v/>
      </c>
      <c r="C81" s="73"/>
      <c r="D81" s="56"/>
      <c r="E81" s="325" t="str">
        <f>IF($C$4&gt;4,"Dryers, Hot Screens, Mixer","")</f>
        <v/>
      </c>
      <c r="F81" s="325"/>
      <c r="G81" s="325"/>
      <c r="H81" s="149" t="str">
        <f>IF($C$4&gt;4,"(tons/hr)","")</f>
        <v/>
      </c>
      <c r="I81" s="149" t="str">
        <f>IF($C$4&gt;4,"(tons/yr)","")</f>
        <v/>
      </c>
      <c r="J81" s="163" t="s">
        <v>109</v>
      </c>
      <c r="K81" s="163" t="s">
        <v>16</v>
      </c>
      <c r="M81" s="95" t="str">
        <f>IF($C$5="","",$C$5)</f>
        <v/>
      </c>
      <c r="N81" s="111">
        <f ca="1">SUM($N$5:$N$7)</f>
        <v>0</v>
      </c>
      <c r="O81" s="165">
        <f ca="1">IF(N81=0,0,IF(M81="Batch Mix Plant",0.0027,IF(M81="Drum Mix Plant",0.0002)))</f>
        <v>0</v>
      </c>
      <c r="P81" s="212" t="str">
        <f ca="1">IF(O81="","","lb/ton")</f>
        <v>lb/ton</v>
      </c>
      <c r="Q81" s="166">
        <f ca="1">N81*O81</f>
        <v>0</v>
      </c>
      <c r="R81" s="166"/>
      <c r="S81" s="166">
        <f ca="1">IF(N81=0,0,IF($C$10&gt;0,$C$10*O81/2000,IF($C$11&gt;0,$C$11*365*O81/2000,IF($C$12&gt;0,$C$12*365*O81*N81/2000,IF(R81="",Q81*8760/2000,R81*8760/2000)))))</f>
        <v>0</v>
      </c>
      <c r="T81" s="166">
        <f ca="1">SUM($P$5:$P$7)*O81/2000</f>
        <v>0</v>
      </c>
    </row>
    <row r="82" spans="2:20" ht="14.25" customHeight="1" x14ac:dyDescent="0.2">
      <c r="B82" s="82" t="str">
        <f>IF($C$4&gt;4,"County:","")</f>
        <v/>
      </c>
      <c r="C82" s="73"/>
      <c r="D82" s="56"/>
      <c r="E82" s="124" t="str">
        <f>IF(C84="","","AP-10 EP-1")</f>
        <v/>
      </c>
      <c r="F82" s="124" t="str">
        <f>IF(C84="","","AP-10 EU-1")</f>
        <v/>
      </c>
      <c r="G82" s="222" t="str">
        <f>IF(C84="","",C5 &amp; " - "&amp;C84)</f>
        <v/>
      </c>
      <c r="H82" s="72"/>
      <c r="I82" s="144"/>
      <c r="J82" s="225" t="str">
        <f>IF(C85="","",IF(C85="yes",LOOKUP(G82,'Emission Factors'!$A$12:$A$17,'Emission Factors'!$D$12:$D$17),LOOKUP(G82,'Emission Factors'!$A$5:$A$10,'Emission Factors'!$D$5:$D$10)))</f>
        <v/>
      </c>
      <c r="K82" s="225" t="str">
        <f>IF(C85="","",IF(C85="yes",LOOKUP(G82,'Emission Factors'!$A$12:$A$17,'Emission Factors'!$F$12:$F$17),LOOKUP(G82,'Emission Factors'!$A$5:$A$10,'Emission Factors'!$F$5:$F$10)))</f>
        <v/>
      </c>
      <c r="M82" s="94" t="s">
        <v>221</v>
      </c>
      <c r="T82" s="171"/>
    </row>
    <row r="83" spans="2:20" ht="14.25" customHeight="1" x14ac:dyDescent="0.2">
      <c r="B83" s="82" t="str">
        <f>IF($C$4&gt;4,"Production Period (Dates):","")</f>
        <v/>
      </c>
      <c r="C83" s="73"/>
      <c r="D83" s="56"/>
      <c r="E83" s="325" t="str">
        <f>IF($C$4&gt;4,"Liquid Asphalt Heater","")</f>
        <v/>
      </c>
      <c r="F83" s="325"/>
      <c r="G83" s="325"/>
      <c r="H83" s="149" t="str">
        <f>IF($C$4&gt;4,IF(C84="natural gas","(MMCF/hr)","(gallons/hr)"),"")</f>
        <v/>
      </c>
      <c r="I83" s="149" t="str">
        <f>IF($C$4&gt;4,IF(C84="natural gas","(MMCF/yr)","(gallons/yr)"),"")</f>
        <v/>
      </c>
      <c r="J83" s="226"/>
      <c r="K83" s="226"/>
      <c r="M83" s="95" t="str">
        <f>IF($C$5="","",$C$5)</f>
        <v/>
      </c>
      <c r="N83" s="111">
        <f>IF(C5="drum mix plant",SUM(N5:N7),0)</f>
        <v>0</v>
      </c>
      <c r="O83" s="165">
        <f>IF(N83=0,0,0.00004)</f>
        <v>0</v>
      </c>
      <c r="P83" s="212" t="str">
        <f>IF(O83="","","lb/ton")</f>
        <v>lb/ton</v>
      </c>
      <c r="Q83" s="166">
        <f>N83*O83</f>
        <v>0</v>
      </c>
      <c r="R83" s="166"/>
      <c r="S83" s="166">
        <f>IF(N83=0,0,IF($C$10&gt;0,$C$10*O83/2000,IF($C$11&gt;0,$C$11*365*O83/2000,IF($C$12&gt;0,$C$12*365*O83*N83/2000,IF(R83="",Q83*8760/2000,R83*8760/2000)))))</f>
        <v>0</v>
      </c>
      <c r="T83" s="166">
        <f>IF(N83&gt;0,SUM($P$5:$P$7)*O83/2000,0)</f>
        <v>0</v>
      </c>
    </row>
    <row r="84" spans="2:20" ht="14.25" customHeight="1" x14ac:dyDescent="0.2">
      <c r="B84" s="82" t="str">
        <f>IF($C$4&gt;4,"Type of Fuel Used:","")</f>
        <v/>
      </c>
      <c r="C84" s="230"/>
      <c r="D84" s="56"/>
      <c r="E84" s="124" t="str">
        <f>IF(C84="","","AP-10 EP-2")</f>
        <v/>
      </c>
      <c r="F84" s="124" t="str">
        <f>IF(C84="","","AP-10 EU-2")</f>
        <v/>
      </c>
      <c r="G84" s="222" t="str">
        <f>IF(C84="","",C84&amp; " Fired Heater")</f>
        <v/>
      </c>
      <c r="H84" s="72"/>
      <c r="I84" s="144"/>
      <c r="J84" s="163"/>
      <c r="K84" s="125" t="s">
        <v>271</v>
      </c>
      <c r="M84" s="94" t="s">
        <v>223</v>
      </c>
      <c r="T84" s="171"/>
    </row>
    <row r="85" spans="2:20" ht="14.25" customHeight="1" x14ac:dyDescent="0.2">
      <c r="B85" s="82" t="str">
        <f>IF($C$4&gt;4,"Is Your Operation Controlled?:","")</f>
        <v/>
      </c>
      <c r="C85" s="230"/>
      <c r="D85" s="56"/>
      <c r="E85" s="325" t="str">
        <f>IF($C$4&gt;4,"Silo Filling, Truck Loadout, Aggregate Transfer","")</f>
        <v/>
      </c>
      <c r="F85" s="325"/>
      <c r="G85" s="325"/>
      <c r="H85" s="149" t="str">
        <f>IF($C$4&gt;4,"(tons/hr)","")</f>
        <v/>
      </c>
      <c r="I85" s="149" t="str">
        <f>IF($C$4&gt;4,"(tons/yr)","")</f>
        <v/>
      </c>
      <c r="J85" s="226"/>
      <c r="K85" s="226">
        <f>IF(OR(C26="yes",C40="yes",C70="yes",C85="yes",C101="yes",C116="yes",C131="yes",C146="yes",C161="yes"),1,0)</f>
        <v>0</v>
      </c>
      <c r="M85" s="95" t="str">
        <f>IF($C$5="","",$C$5)</f>
        <v/>
      </c>
      <c r="N85" s="111">
        <f>IF(C5="drum mix plant",SUM(N5:N6),0)</f>
        <v>0</v>
      </c>
      <c r="O85" s="170">
        <f>IF(N85=0,0,IF($K$85=1,0.0000055,0.000024))</f>
        <v>0</v>
      </c>
      <c r="P85" s="124" t="str">
        <f>IF(O85="","","lb/ton")</f>
        <v>lb/ton</v>
      </c>
      <c r="Q85" s="166">
        <f>IF($K$85=1,"",N85*O85)</f>
        <v>0</v>
      </c>
      <c r="R85" s="166" t="str">
        <f>IF($K$85=1,N85*O85,"")</f>
        <v/>
      </c>
      <c r="S85" s="166">
        <f>IF(N85=0,0,IF($C$10&gt;0,$C$10*O85/2000,IF($C$11&gt;0,$C$11*365*O85/2000,IF($C$12&gt;0,$C$12*365*O85*N85/2000,IF(R85="",Q85*8760/2000,R85*8760/2000)))))</f>
        <v>0</v>
      </c>
      <c r="T85" s="166">
        <f>IF(N85&gt;0,$P$5*O85/2000,0)</f>
        <v>0</v>
      </c>
    </row>
    <row r="86" spans="2:20" ht="14.25" customHeight="1" x14ac:dyDescent="0.2">
      <c r="D86" s="56"/>
      <c r="E86" s="124" t="str">
        <f>IF($C$4&gt;4,"AP-10 EP-3","")</f>
        <v/>
      </c>
      <c r="F86" s="124" t="str">
        <f>IF($C$4&gt;4,"AP-10 EU-3","")</f>
        <v/>
      </c>
      <c r="G86" s="222" t="str">
        <f>IF($C$4&gt;4,"Silo Filling","")</f>
        <v/>
      </c>
      <c r="H86" s="72"/>
      <c r="I86" s="144"/>
      <c r="J86" s="226"/>
      <c r="K86" s="226"/>
      <c r="M86" s="94" t="s">
        <v>224</v>
      </c>
      <c r="T86" s="171"/>
    </row>
    <row r="87" spans="2:20" ht="14.25" customHeight="1" x14ac:dyDescent="0.2">
      <c r="B87" s="83"/>
      <c r="D87" s="56"/>
      <c r="E87" s="124" t="str">
        <f>IF($C$4&gt;4,"AP-10 EP-3","")</f>
        <v/>
      </c>
      <c r="F87" s="124" t="str">
        <f>IF($C$4&gt;4,"AP-10 EU-4","")</f>
        <v/>
      </c>
      <c r="G87" s="222" t="str">
        <f>IF($C$4&gt;4,"Truck Loadout","")</f>
        <v/>
      </c>
      <c r="H87" s="72"/>
      <c r="I87" s="144"/>
      <c r="J87" s="226"/>
      <c r="K87" s="226"/>
      <c r="M87" s="95" t="str">
        <f>IF($C$5="","",$C$5)</f>
        <v/>
      </c>
      <c r="N87" s="111">
        <f>IF(C5="drum mix plant",SUM(N5:N6),0)</f>
        <v>0</v>
      </c>
      <c r="O87" s="170">
        <f>IF(N87=0,0,IF($K$85=1,0.000015,0.00054))</f>
        <v>0</v>
      </c>
      <c r="P87" s="124" t="str">
        <f>IF(O87="","","lb/ton")</f>
        <v>lb/ton</v>
      </c>
      <c r="Q87" s="166">
        <f t="shared" ref="Q87:Q92" si="2">IF($K$85=1,"",N87*O87)</f>
        <v>0</v>
      </c>
      <c r="R87" s="166" t="str">
        <f>IF($K$85=1,N87*O87,"")</f>
        <v/>
      </c>
      <c r="S87" s="166">
        <f>IF(N87=0,0,IF($C$10&gt;0,$C$10*O87/2000,IF($C$11&gt;0,$C$11*365*O87/2000,IF($C$12&gt;0,$C$12*365*O87*N87/2000,IF(R87="",Q87*8760/2000,R87*8760/2000)))))</f>
        <v>0</v>
      </c>
      <c r="T87" s="166">
        <f>IF(N87&gt;0,$P$5*O87/2000,0)</f>
        <v>0</v>
      </c>
    </row>
    <row r="88" spans="2:20" ht="14.25" customHeight="1" x14ac:dyDescent="0.2">
      <c r="B88" s="83"/>
      <c r="D88" s="56"/>
      <c r="E88" s="124" t="str">
        <f>IF($C$4&gt;4,"AP-10 EP-3","")</f>
        <v/>
      </c>
      <c r="F88" s="124" t="str">
        <f>IF($C$4&gt;4,"AP-10 EU-5","")</f>
        <v/>
      </c>
      <c r="G88" s="222" t="str">
        <f>IF($C$4&gt;4,"Cold Aggregate Bins","")</f>
        <v/>
      </c>
      <c r="H88" s="72"/>
      <c r="I88" s="144"/>
      <c r="J88" s="226"/>
      <c r="K88" s="226"/>
      <c r="M88" s="94" t="s">
        <v>225</v>
      </c>
      <c r="Q88" s="210"/>
      <c r="T88" s="171"/>
    </row>
    <row r="89" spans="2:20" ht="14.25" customHeight="1" x14ac:dyDescent="0.2">
      <c r="B89" s="83"/>
      <c r="E89" s="125"/>
      <c r="F89" s="125"/>
      <c r="G89" s="227"/>
      <c r="H89" s="228"/>
      <c r="I89" s="226"/>
      <c r="M89" s="95" t="str">
        <f>IF($C$5="","",$C$5)</f>
        <v/>
      </c>
      <c r="N89" s="111">
        <f>IF(C5="drum mix plant",SUM(N5:N6),0)</f>
        <v>0</v>
      </c>
      <c r="O89" s="170">
        <f>IF(N89=0,0,IF($K$85=1,0.0000077,0.00065))</f>
        <v>0</v>
      </c>
      <c r="P89" s="124" t="str">
        <f>IF(O89="","","lb/ton")</f>
        <v>lb/ton</v>
      </c>
      <c r="Q89" s="166">
        <f t="shared" si="2"/>
        <v>0</v>
      </c>
      <c r="R89" s="166" t="str">
        <f>IF($K$85=1,N89*O89,"")</f>
        <v/>
      </c>
      <c r="S89" s="166">
        <f>IF(N89=0,0,IF($C$10&gt;0,$C$10*O89/2000,IF($C$11&gt;0,$C$11*365*O89/2000,IF($C$12&gt;0,$C$12*365*O89*N89/2000,IF(R89="",Q89*8760/2000,R89*8760/2000)))))</f>
        <v>0</v>
      </c>
      <c r="T89" s="166">
        <f>IF(N89&gt;0,$P$5*O89/2000,0)</f>
        <v>0</v>
      </c>
    </row>
    <row r="90" spans="2:20" ht="14.25" customHeight="1" x14ac:dyDescent="0.2">
      <c r="B90" s="83"/>
      <c r="E90" s="84" t="str">
        <f>IF($C$4&gt;4,"Stock Pile Area","")</f>
        <v/>
      </c>
      <c r="F90" s="84"/>
      <c r="G90" s="85"/>
      <c r="J90" s="113"/>
      <c r="K90" s="113"/>
      <c r="M90" s="94" t="s">
        <v>222</v>
      </c>
      <c r="Q90" s="210"/>
      <c r="T90" s="171"/>
    </row>
    <row r="91" spans="2:20" ht="14.25" customHeight="1" x14ac:dyDescent="0.2">
      <c r="B91" s="56"/>
      <c r="F91" s="87" t="str">
        <f>IF($C$4&gt;4,"Emission Unit #","")</f>
        <v/>
      </c>
      <c r="G91" s="52" t="str">
        <f>IF($C$4&gt;4,"Maximum Storage Area (acres)","")</f>
        <v/>
      </c>
      <c r="H91" s="213" t="str">
        <f>IF($C$4&gt;4,"Actual Storage Area (acres)","")</f>
        <v/>
      </c>
      <c r="I91" s="52" t="str">
        <f>IF($C$4&gt;4,"Actual Days in Existence (days)","")</f>
        <v/>
      </c>
      <c r="J91" s="113"/>
      <c r="K91" s="113"/>
      <c r="M91" s="95" t="str">
        <f>$C$5 &amp; " - Fuel Oil"</f>
        <v xml:space="preserve"> - Fuel Oil</v>
      </c>
      <c r="N91" s="111">
        <f>IF(C5="drum mix plant",N5,0)</f>
        <v>0</v>
      </c>
      <c r="O91" s="170">
        <f>IF(N91=0,0,IF($K$85=1,0.000015,0.0013))</f>
        <v>0</v>
      </c>
      <c r="P91" s="124" t="str">
        <f>IF(O91="","","lb/ton")</f>
        <v>lb/ton</v>
      </c>
      <c r="Q91" s="166">
        <f t="shared" si="2"/>
        <v>0</v>
      </c>
      <c r="R91" s="166" t="str">
        <f>IF($K$85=1,N91*O91,"")</f>
        <v/>
      </c>
      <c r="S91" s="166">
        <f>IF(N91=0,0,IF($C$10&gt;0,$C$10*O91/2000,IF($C$11&gt;0,$C$11*365*O91/2000,IF($C$12&gt;0,$C$12*365*O91*N91/2000,IF(R91="",Q91*8760/2000,R91*8760/2000)))))</f>
        <v>0</v>
      </c>
      <c r="T91" s="166">
        <f>IF(N91&gt;0,$P$5*O91/2000,0)</f>
        <v>0</v>
      </c>
    </row>
    <row r="92" spans="2:20" ht="14.25" customHeight="1" x14ac:dyDescent="0.2">
      <c r="B92" s="83"/>
      <c r="E92" s="125"/>
      <c r="F92" s="74"/>
      <c r="G92" s="148"/>
      <c r="H92" s="75"/>
      <c r="I92" s="148"/>
      <c r="M92" s="95" t="str">
        <f>$C$5 &amp; " - Waste Oil"</f>
        <v xml:space="preserve"> - Waste Oil</v>
      </c>
      <c r="N92" s="111">
        <f>IF(C5="drum mix plant",N6,0)</f>
        <v>0</v>
      </c>
      <c r="O92" s="170">
        <f>IF(N92=0,0,IF($K$85=1,0.000015,0.0013))</f>
        <v>0</v>
      </c>
      <c r="P92" s="124" t="str">
        <f>IF(O92="","","lb/ton")</f>
        <v>lb/ton</v>
      </c>
      <c r="Q92" s="209">
        <f t="shared" si="2"/>
        <v>0</v>
      </c>
      <c r="R92" s="166" t="str">
        <f>IF($K$85=1,N92*O92,"")</f>
        <v/>
      </c>
      <c r="S92" s="166">
        <f>IF(N92=0,0,IF($C$10&gt;0,$C$10*O92/2000,IF($C$11&gt;0,$C$11*365*O92/2000,IF($C$12&gt;0,$C$12*365*O92*N92/2000,IF(R92="",Q92*8760/2000,R92*8760/2000)))))</f>
        <v>0</v>
      </c>
      <c r="T92" s="166">
        <f>IF(N92&gt;0,$P$6*O92/2000,0)</f>
        <v>0</v>
      </c>
    </row>
    <row r="93" spans="2:20" ht="14.25" customHeight="1" x14ac:dyDescent="0.2">
      <c r="J93" s="161"/>
      <c r="K93" s="161"/>
      <c r="M93" s="95" t="str">
        <f>$C$5 &amp; " - Natural Gas"</f>
        <v xml:space="preserve"> - Natural Gas</v>
      </c>
      <c r="N93" s="111">
        <f>IF(C5="drum mix plant",N7,0)</f>
        <v>0</v>
      </c>
      <c r="O93" s="170">
        <f>IF(N93=0,0,IF($K$85=1,0.000063,0.00063))</f>
        <v>0</v>
      </c>
      <c r="P93" s="124" t="str">
        <f>IF(O93="","","lb/ton")</f>
        <v>lb/ton</v>
      </c>
      <c r="Q93" s="166">
        <f>IF($K$85=1,"",N93*O93)</f>
        <v>0</v>
      </c>
      <c r="R93" s="166" t="str">
        <f>IF($K$85=1,N93*O93,"")</f>
        <v/>
      </c>
      <c r="S93" s="166">
        <f>IF(N93=0,0,IF($C$10&gt;0,$C$10*O93/2000,IF($C$11&gt;0,$C$11*365*O93/2000,IF($C$12&gt;0,$C$12*365*O93*N93/2000,IF(R93="",Q93*8760/2000,R93*8760/2000)))))</f>
        <v>0</v>
      </c>
      <c r="T93" s="166">
        <f>IF(N93&gt;0,$P$7*O93/2000,0)</f>
        <v>0</v>
      </c>
    </row>
    <row r="94" spans="2:20" ht="27.75" customHeight="1" x14ac:dyDescent="0.2">
      <c r="J94" s="161"/>
      <c r="K94" s="161"/>
      <c r="M94" s="322"/>
      <c r="N94" s="323"/>
      <c r="O94" s="324"/>
      <c r="P94" s="125"/>
      <c r="Q94" s="210"/>
      <c r="R94" s="210"/>
      <c r="S94" s="210"/>
      <c r="T94" s="210"/>
    </row>
    <row r="95" spans="2:20" ht="27.75" customHeight="1" x14ac:dyDescent="0.25">
      <c r="B95" s="79" t="str">
        <f>IF($C$4&gt;5,"Asphalt Plant","")</f>
        <v/>
      </c>
      <c r="C95" s="156" t="str">
        <f>IF($C$4&gt;5,"Site 6","")</f>
        <v/>
      </c>
      <c r="E95" s="259" t="str">
        <f>IF($C$4&gt;5,"Emission Point #","")</f>
        <v/>
      </c>
      <c r="F95" s="259" t="str">
        <f>IF($C$4&gt;5,"Emission    Unit #","")</f>
        <v/>
      </c>
      <c r="G95" s="259" t="str">
        <f>IF($C$4&gt;5,"Process","")</f>
        <v/>
      </c>
      <c r="H95" s="259" t="str">
        <f>IF($C$4&gt;5,"Maximum Hourly     Design Rate","")</f>
        <v/>
      </c>
      <c r="I95" s="261" t="str">
        <f>IF($C$4&gt;5,('Facility Information'!G80&amp;" Annual Throughput"),"")</f>
        <v/>
      </c>
      <c r="J95" s="162"/>
      <c r="K95" s="162"/>
    </row>
    <row r="96" spans="2:20" ht="14.25" customHeight="1" x14ac:dyDescent="0.2">
      <c r="B96" s="81"/>
      <c r="D96" s="56"/>
      <c r="E96" s="260"/>
      <c r="F96" s="260"/>
      <c r="G96" s="260"/>
      <c r="H96" s="260"/>
      <c r="I96" s="260"/>
      <c r="J96" s="163"/>
      <c r="K96" s="163"/>
    </row>
    <row r="97" spans="2:11" ht="14.25" customHeight="1" x14ac:dyDescent="0.2">
      <c r="B97" s="82" t="str">
        <f>IF($C$4&gt;5,"Site Name","")</f>
        <v/>
      </c>
      <c r="C97" s="73"/>
      <c r="D97" s="56"/>
      <c r="E97" s="325" t="str">
        <f>IF($C$4&gt;5,"Dryers, Hot Screens, Mixer","")</f>
        <v/>
      </c>
      <c r="F97" s="325"/>
      <c r="G97" s="325"/>
      <c r="H97" s="149" t="str">
        <f>IF($C$4&gt;5,"(tons/hr)","")</f>
        <v/>
      </c>
      <c r="I97" s="149" t="str">
        <f>IF($C$4&gt;5,"(tons/yr)","")</f>
        <v/>
      </c>
      <c r="J97" s="163" t="s">
        <v>109</v>
      </c>
      <c r="K97" s="163" t="s">
        <v>16</v>
      </c>
    </row>
    <row r="98" spans="2:11" ht="14.25" customHeight="1" x14ac:dyDescent="0.2">
      <c r="B98" s="82" t="str">
        <f>IF($C$4&gt;5,"County:","")</f>
        <v/>
      </c>
      <c r="C98" s="73"/>
      <c r="D98" s="56"/>
      <c r="E98" s="124" t="str">
        <f>IF(C100="","","AP-10 EP-1")</f>
        <v/>
      </c>
      <c r="F98" s="124" t="str">
        <f>IF(C100="","","AP-10 EU-1")</f>
        <v/>
      </c>
      <c r="G98" s="222" t="str">
        <f>IF(C100="","",C5 &amp; " - "&amp;C100)</f>
        <v/>
      </c>
      <c r="H98" s="72"/>
      <c r="I98" s="144"/>
      <c r="J98" s="225" t="str">
        <f>IF(C101="","",IF(C101="yes",LOOKUP(G98,'Emission Factors'!$A$12:$A$17,'Emission Factors'!$D$12:$D$17),LOOKUP(G98,'Emission Factors'!$A$5:$A$10,'Emission Factors'!$D$5:$D$10)))</f>
        <v/>
      </c>
      <c r="K98" s="225" t="str">
        <f>IF(C101="","",IF(C101="yes",LOOKUP(G98,'Emission Factors'!$A$12:$A$17,'Emission Factors'!$F$12:$F$17),LOOKUP(G98,'Emission Factors'!$A$5:$A$10,'Emission Factors'!$F$5:$F$10)))</f>
        <v/>
      </c>
    </row>
    <row r="99" spans="2:11" ht="14.25" customHeight="1" x14ac:dyDescent="0.2">
      <c r="B99" s="82" t="str">
        <f>IF($C$4&gt;5,"Production Period (Dates):","")</f>
        <v/>
      </c>
      <c r="C99" s="73"/>
      <c r="D99" s="56"/>
      <c r="E99" s="325" t="str">
        <f>IF($C$4&gt;5,"Liquid Asphalt Heater","")</f>
        <v/>
      </c>
      <c r="F99" s="325"/>
      <c r="G99" s="325"/>
      <c r="H99" s="149" t="str">
        <f>IF($C$4&gt;5,IF(C100="natural gas","(MMCF/hr)","(gallons/hr)"),"")</f>
        <v/>
      </c>
      <c r="I99" s="149" t="str">
        <f>IF($C$4&gt;5,IF(C100="natural gas","(MMCF/yr)","(gallons/yr)"),"")</f>
        <v/>
      </c>
      <c r="J99" s="225"/>
      <c r="K99" s="225"/>
    </row>
    <row r="100" spans="2:11" ht="14.25" customHeight="1" x14ac:dyDescent="0.2">
      <c r="B100" s="82" t="str">
        <f>IF($C$4&gt;5,"Type of Fuel Used:","")</f>
        <v/>
      </c>
      <c r="C100" s="230"/>
      <c r="D100" s="56"/>
      <c r="E100" s="124" t="str">
        <f>IF(C100="","","AP-10 EP-2")</f>
        <v/>
      </c>
      <c r="F100" s="124" t="str">
        <f>IF(C100="","","AP-10 EU-2")</f>
        <v/>
      </c>
      <c r="G100" s="222" t="str">
        <f>IF(C100="","",C100&amp; " Fired Heater")</f>
        <v/>
      </c>
      <c r="H100" s="72"/>
      <c r="I100" s="144"/>
      <c r="J100" s="163"/>
      <c r="K100" s="163"/>
    </row>
    <row r="101" spans="2:11" ht="14.25" customHeight="1" x14ac:dyDescent="0.2">
      <c r="B101" s="82" t="str">
        <f>IF($C$4&gt;5,"Is Your Operation Controlled?:","")</f>
        <v/>
      </c>
      <c r="C101" s="230"/>
      <c r="D101" s="56"/>
      <c r="E101" s="325" t="str">
        <f>IF($C$4&gt;5,"Silo Filling, Truck Loadout, Aggregate Transfer","")</f>
        <v/>
      </c>
      <c r="F101" s="325"/>
      <c r="G101" s="325"/>
      <c r="H101" s="149" t="str">
        <f>IF($C$4&gt;5,"(tons/hr)","")</f>
        <v/>
      </c>
      <c r="I101" s="149" t="str">
        <f>IF($C$4&gt;5,"(tons/yr)","")</f>
        <v/>
      </c>
      <c r="J101" s="226"/>
      <c r="K101" s="226"/>
    </row>
    <row r="102" spans="2:11" ht="14.25" customHeight="1" x14ac:dyDescent="0.2">
      <c r="D102" s="56"/>
      <c r="E102" s="124" t="str">
        <f>IF($C$4&gt;5,"AP-10 EP-3","")</f>
        <v/>
      </c>
      <c r="F102" s="124" t="str">
        <f>IF($C$4&gt;5,"AP-10 EU-3","")</f>
        <v/>
      </c>
      <c r="G102" s="222" t="str">
        <f>IF($C$4&gt;5,"Silo Filling","")</f>
        <v/>
      </c>
      <c r="H102" s="72"/>
      <c r="I102" s="144"/>
      <c r="J102" s="226"/>
      <c r="K102" s="226"/>
    </row>
    <row r="103" spans="2:11" ht="14.25" customHeight="1" x14ac:dyDescent="0.2">
      <c r="B103" s="83"/>
      <c r="D103" s="56"/>
      <c r="E103" s="124" t="str">
        <f>IF($C$4&gt;5,"AP-10 EP-3","")</f>
        <v/>
      </c>
      <c r="F103" s="124" t="str">
        <f>IF($C$4&gt;5,"AP-10 EU-4","")</f>
        <v/>
      </c>
      <c r="G103" s="222" t="str">
        <f>IF($C$4&gt;5,"Truck Loadout","")</f>
        <v/>
      </c>
      <c r="H103" s="72"/>
      <c r="I103" s="144"/>
      <c r="J103" s="226"/>
      <c r="K103" s="226"/>
    </row>
    <row r="104" spans="2:11" ht="14.25" customHeight="1" x14ac:dyDescent="0.2">
      <c r="B104" s="83"/>
      <c r="D104" s="56"/>
      <c r="E104" s="124" t="str">
        <f>IF($C$4&gt;5,"AP-10 EP-3","")</f>
        <v/>
      </c>
      <c r="F104" s="124" t="str">
        <f>IF($C$4&gt;5,"AP-10 EU-5","")</f>
        <v/>
      </c>
      <c r="G104" s="222" t="str">
        <f>IF($C$4&gt;5,"Cold Aggregate Bins","")</f>
        <v/>
      </c>
      <c r="H104" s="72"/>
      <c r="I104" s="144"/>
      <c r="J104" s="226"/>
      <c r="K104" s="226"/>
    </row>
    <row r="105" spans="2:11" ht="14.25" customHeight="1" x14ac:dyDescent="0.2">
      <c r="B105" s="83"/>
      <c r="E105" s="125"/>
      <c r="F105" s="125"/>
      <c r="G105" s="227"/>
      <c r="H105" s="228"/>
      <c r="I105" s="226"/>
    </row>
    <row r="106" spans="2:11" ht="14.25" customHeight="1" x14ac:dyDescent="0.2">
      <c r="B106" s="83"/>
      <c r="E106" s="84" t="str">
        <f>IF($C$4&gt;5,"Stock Pile Area","")</f>
        <v/>
      </c>
      <c r="F106" s="84"/>
      <c r="G106" s="85"/>
      <c r="J106" s="113"/>
      <c r="K106" s="113"/>
    </row>
    <row r="107" spans="2:11" ht="14.25" customHeight="1" x14ac:dyDescent="0.2">
      <c r="B107" s="56"/>
      <c r="F107" s="87" t="str">
        <f>IF($C$4&gt;5,"Emission Unit #","")</f>
        <v/>
      </c>
      <c r="G107" s="52" t="str">
        <f>IF($C$4&gt;5,"Maximum Storage Area (acres)","")</f>
        <v/>
      </c>
      <c r="H107" s="213" t="str">
        <f>IF($C$4&gt;5,"Actual Storage Area (acres)","")</f>
        <v/>
      </c>
      <c r="I107" s="52" t="str">
        <f>IF($C$4&gt;5,"Actual Days in Existence (days)","")</f>
        <v/>
      </c>
      <c r="J107" s="113"/>
      <c r="K107" s="113"/>
    </row>
    <row r="108" spans="2:11" ht="15" customHeight="1" x14ac:dyDescent="0.2">
      <c r="B108" s="83"/>
      <c r="E108" s="125"/>
      <c r="F108" s="74"/>
      <c r="G108" s="148"/>
      <c r="H108" s="75"/>
      <c r="I108" s="148"/>
    </row>
    <row r="109" spans="2:11" ht="22.5" customHeight="1" x14ac:dyDescent="0.2">
      <c r="J109" s="161"/>
      <c r="K109" s="161"/>
    </row>
    <row r="110" spans="2:11" ht="29.25" customHeight="1" x14ac:dyDescent="0.25">
      <c r="B110" s="79" t="str">
        <f>IF($C$4&gt;6,"Asphalt Plant","")</f>
        <v/>
      </c>
      <c r="C110" s="156" t="str">
        <f>IF($C$4&gt;6,"Site 7","")</f>
        <v/>
      </c>
      <c r="E110" s="259" t="str">
        <f>IF($C$4&gt;6,"Emission Point #","")</f>
        <v/>
      </c>
      <c r="F110" s="259" t="str">
        <f>IF($C$4&gt;6,"Emission    Unit #","")</f>
        <v/>
      </c>
      <c r="G110" s="259" t="str">
        <f>IF($C$4&gt;6,"Process","")</f>
        <v/>
      </c>
      <c r="H110" s="259" t="str">
        <f>IF($C$4&gt;6,"Maximum Hourly     Design Rate","")</f>
        <v/>
      </c>
      <c r="I110" s="261" t="str">
        <f>IF($C$4&gt;6,('Facility Information'!G95&amp;" Annual Throughput"),"")</f>
        <v/>
      </c>
      <c r="J110" s="162"/>
      <c r="K110" s="162"/>
    </row>
    <row r="111" spans="2:11" ht="14.25" customHeight="1" x14ac:dyDescent="0.2">
      <c r="B111" s="81"/>
      <c r="D111" s="56"/>
      <c r="E111" s="260"/>
      <c r="F111" s="260"/>
      <c r="G111" s="260"/>
      <c r="H111" s="260"/>
      <c r="I111" s="260"/>
      <c r="J111" s="163"/>
      <c r="K111" s="163"/>
    </row>
    <row r="112" spans="2:11" ht="14.25" customHeight="1" x14ac:dyDescent="0.2">
      <c r="B112" s="82" t="str">
        <f>IF($C$4&gt;6,"Site Name","")</f>
        <v/>
      </c>
      <c r="C112" s="73"/>
      <c r="D112" s="56"/>
      <c r="E112" s="325" t="str">
        <f>IF($C$4&gt;6,"Dryers, Hot Screens, Mixer","")</f>
        <v/>
      </c>
      <c r="F112" s="325"/>
      <c r="G112" s="325"/>
      <c r="H112" s="149" t="str">
        <f>IF($C$4&gt;6,"(tons/hr)","")</f>
        <v/>
      </c>
      <c r="I112" s="149" t="str">
        <f>IF($C$4&gt;6,"(tons/yr)","")</f>
        <v/>
      </c>
      <c r="J112" s="163" t="s">
        <v>109</v>
      </c>
      <c r="K112" s="163" t="s">
        <v>16</v>
      </c>
    </row>
    <row r="113" spans="2:11" ht="14.25" customHeight="1" x14ac:dyDescent="0.2">
      <c r="B113" s="82" t="str">
        <f>IF($C$4&gt;6,"County:","")</f>
        <v/>
      </c>
      <c r="C113" s="73"/>
      <c r="D113" s="56"/>
      <c r="E113" s="124" t="str">
        <f>IF(C115="","","AP-10 EP-1")</f>
        <v/>
      </c>
      <c r="F113" s="124" t="str">
        <f>IF(C115="","","AP-10 EU-1")</f>
        <v/>
      </c>
      <c r="G113" s="222" t="str">
        <f>IF(C115="","",C5 &amp; " - "&amp;C115)</f>
        <v/>
      </c>
      <c r="H113" s="72"/>
      <c r="I113" s="144"/>
      <c r="J113" s="225" t="str">
        <f>IF(C116="","",IF(C116="yes",LOOKUP(G113,'Emission Factors'!$A$12:$A$17,'Emission Factors'!$D$12:$D$17),LOOKUP(G113,'Emission Factors'!$A$5:$A$10,'Emission Factors'!$D$5:$D$10)))</f>
        <v/>
      </c>
      <c r="K113" s="225" t="str">
        <f>IF(C116="","",IF(C116="yes",LOOKUP(G113,'Emission Factors'!$A$12:$A$17,'Emission Factors'!$F$12:$F$17),LOOKUP(G113,'Emission Factors'!$A$5:$A$10,'Emission Factors'!$F$5:$F$10)))</f>
        <v/>
      </c>
    </row>
    <row r="114" spans="2:11" ht="14.25" customHeight="1" x14ac:dyDescent="0.2">
      <c r="B114" s="82" t="str">
        <f>IF($C$4&gt;6,"Production Period (Dates):","")</f>
        <v/>
      </c>
      <c r="C114" s="73"/>
      <c r="D114" s="56"/>
      <c r="E114" s="325" t="str">
        <f>IF($C$4&gt;6,"Liquid Asphalt Heater","")</f>
        <v/>
      </c>
      <c r="F114" s="325"/>
      <c r="G114" s="325"/>
      <c r="H114" s="149" t="str">
        <f>IF($C$4&gt;6,IF(C115="natural gas","(MMCF/hr)","(gallons/hr)"),"")</f>
        <v/>
      </c>
      <c r="I114" s="149" t="str">
        <f>IF($C$4&gt;6,IF(C115="natural gas","(MMCF/yr)","(gallons/yr)"),"")</f>
        <v/>
      </c>
      <c r="J114" s="226"/>
      <c r="K114" s="226"/>
    </row>
    <row r="115" spans="2:11" ht="14.25" customHeight="1" x14ac:dyDescent="0.2">
      <c r="B115" s="82" t="str">
        <f>IF($C$4&gt;6,"Type of Fuel Used:","")</f>
        <v/>
      </c>
      <c r="C115" s="230"/>
      <c r="D115" s="56"/>
      <c r="E115" s="124" t="str">
        <f>IF(C115="","","AP-10 EP-2")</f>
        <v/>
      </c>
      <c r="F115" s="124" t="str">
        <f>IF(C115="","","AP-10 EU-2")</f>
        <v/>
      </c>
      <c r="G115" s="222" t="str">
        <f>IF(C115="","",C115&amp; " Fired Heater")</f>
        <v/>
      </c>
      <c r="H115" s="72"/>
      <c r="I115" s="144"/>
      <c r="J115" s="163"/>
      <c r="K115" s="163"/>
    </row>
    <row r="116" spans="2:11" ht="14.25" customHeight="1" x14ac:dyDescent="0.2">
      <c r="B116" s="82" t="str">
        <f>IF($C$4&gt;6,"Is Your Operation Controlled?:","")</f>
        <v/>
      </c>
      <c r="C116" s="230"/>
      <c r="D116" s="56"/>
      <c r="E116" s="325" t="str">
        <f>IF($C$4&gt;6,"Silo Filling, Truck Loadout, Aggregate Transfer","")</f>
        <v/>
      </c>
      <c r="F116" s="325"/>
      <c r="G116" s="325"/>
      <c r="H116" s="149" t="str">
        <f>IF($C$4&gt;6,"(tons/hr)","")</f>
        <v/>
      </c>
      <c r="I116" s="149" t="str">
        <f>IF($C$4&gt;6,"(tons/yr)","")</f>
        <v/>
      </c>
      <c r="J116" s="226"/>
      <c r="K116" s="226"/>
    </row>
    <row r="117" spans="2:11" ht="14.25" customHeight="1" x14ac:dyDescent="0.2">
      <c r="D117" s="56"/>
      <c r="E117" s="124" t="str">
        <f>IF($C$4&gt;6,"AP-10 EP-3","")</f>
        <v/>
      </c>
      <c r="F117" s="124" t="str">
        <f>IF($C$4&gt;6,"AP-10 EU-3","")</f>
        <v/>
      </c>
      <c r="G117" s="222" t="str">
        <f>IF($C$4&gt;6,"Silo Filling","")</f>
        <v/>
      </c>
      <c r="H117" s="72"/>
      <c r="I117" s="144"/>
      <c r="J117" s="226"/>
      <c r="K117" s="226"/>
    </row>
    <row r="118" spans="2:11" ht="14.25" customHeight="1" x14ac:dyDescent="0.2">
      <c r="B118" s="83"/>
      <c r="D118" s="56"/>
      <c r="E118" s="124" t="str">
        <f>IF($C$4&gt;6,"AP-10 EP-3","")</f>
        <v/>
      </c>
      <c r="F118" s="124" t="str">
        <f>IF($C$4&gt;6,"AP-10 EU-4","")</f>
        <v/>
      </c>
      <c r="G118" s="222" t="str">
        <f>IF($C$4&gt;6,"Truck Loadout","")</f>
        <v/>
      </c>
      <c r="H118" s="72"/>
      <c r="I118" s="144"/>
      <c r="J118" s="226"/>
      <c r="K118" s="226"/>
    </row>
    <row r="119" spans="2:11" ht="14.25" customHeight="1" x14ac:dyDescent="0.2">
      <c r="B119" s="83"/>
      <c r="D119" s="56"/>
      <c r="E119" s="124" t="str">
        <f>IF($C$4&gt;6,"AP-10 EP-3","")</f>
        <v/>
      </c>
      <c r="F119" s="124" t="str">
        <f>IF($C$4&gt;6,"AP-10 EU-5","")</f>
        <v/>
      </c>
      <c r="G119" s="222" t="str">
        <f>IF($C$4&gt;6,"Cold Aggregate Bins","")</f>
        <v/>
      </c>
      <c r="H119" s="72"/>
      <c r="I119" s="144"/>
      <c r="J119" s="226"/>
      <c r="K119" s="226"/>
    </row>
    <row r="120" spans="2:11" ht="14.25" customHeight="1" x14ac:dyDescent="0.2">
      <c r="B120" s="83"/>
      <c r="E120" s="125"/>
      <c r="F120" s="125"/>
      <c r="G120" s="227"/>
      <c r="H120" s="228"/>
      <c r="I120" s="226"/>
    </row>
    <row r="121" spans="2:11" ht="14.25" customHeight="1" x14ac:dyDescent="0.2">
      <c r="B121" s="83"/>
      <c r="E121" s="84" t="str">
        <f>IF($C$4&gt;6,"Stock Pile Area","")</f>
        <v/>
      </c>
      <c r="F121" s="84"/>
      <c r="G121" s="85"/>
      <c r="J121" s="113"/>
      <c r="K121" s="113"/>
    </row>
    <row r="122" spans="2:11" ht="14.25" customHeight="1" x14ac:dyDescent="0.2">
      <c r="B122" s="56"/>
      <c r="F122" s="87" t="str">
        <f>IF($C$4&gt;6,"Emission Unit #","")</f>
        <v/>
      </c>
      <c r="G122" s="52" t="str">
        <f>IF($C$4&gt;6,"Maximum Storage Area (acres)","")</f>
        <v/>
      </c>
      <c r="H122" s="213" t="str">
        <f>IF($C$4&gt;6,"Actual Storage Area (acres)","")</f>
        <v/>
      </c>
      <c r="I122" s="52" t="str">
        <f>IF($C$4&gt;6,"Actual Days in Existence (days)","")</f>
        <v/>
      </c>
      <c r="J122" s="113"/>
      <c r="K122" s="113"/>
    </row>
    <row r="123" spans="2:11" ht="14.25" customHeight="1" x14ac:dyDescent="0.2">
      <c r="B123" s="83"/>
      <c r="E123" s="125"/>
      <c r="F123" s="74"/>
      <c r="G123" s="148"/>
      <c r="H123" s="75"/>
      <c r="I123" s="148"/>
    </row>
    <row r="124" spans="2:11" ht="24.75" customHeight="1" x14ac:dyDescent="0.2">
      <c r="J124" s="161"/>
      <c r="K124" s="161"/>
    </row>
    <row r="125" spans="2:11" ht="27.75" customHeight="1" x14ac:dyDescent="0.25">
      <c r="B125" s="79" t="str">
        <f>IF($C$4&gt;7,"Asphalt Plant","")</f>
        <v/>
      </c>
      <c r="C125" s="156" t="str">
        <f>IF($C$4&gt;7,"Site 8","")</f>
        <v/>
      </c>
      <c r="E125" s="259" t="str">
        <f>IF($C$4&gt;7,"Emission Point #","")</f>
        <v/>
      </c>
      <c r="F125" s="259" t="str">
        <f>IF($C$4&gt;7,"Emission    Unit #","")</f>
        <v/>
      </c>
      <c r="G125" s="259" t="str">
        <f>IF($C$4&gt;7,"Process","")</f>
        <v/>
      </c>
      <c r="H125" s="259" t="str">
        <f>IF($C$4&gt;7,"Maximum Hourly     Design Rate","")</f>
        <v/>
      </c>
      <c r="I125" s="261" t="str">
        <f>IF($C$4&gt;7,('Facility Information'!G110&amp;" Annual Throughput"),"")</f>
        <v/>
      </c>
      <c r="J125" s="162"/>
      <c r="K125" s="162"/>
    </row>
    <row r="126" spans="2:11" ht="14.25" customHeight="1" x14ac:dyDescent="0.2">
      <c r="B126" s="81"/>
      <c r="D126" s="56"/>
      <c r="E126" s="260"/>
      <c r="F126" s="260"/>
      <c r="G126" s="260"/>
      <c r="H126" s="260"/>
      <c r="I126" s="260"/>
      <c r="J126" s="163"/>
      <c r="K126" s="163"/>
    </row>
    <row r="127" spans="2:11" ht="14.25" customHeight="1" x14ac:dyDescent="0.2">
      <c r="B127" s="82" t="str">
        <f>IF($C$4&gt;7,"Site Name","")</f>
        <v/>
      </c>
      <c r="C127" s="73"/>
      <c r="D127" s="56"/>
      <c r="E127" s="325" t="str">
        <f>IF($C$4&gt;7,"Dryers, Hot Screens, Mixer","")</f>
        <v/>
      </c>
      <c r="F127" s="325"/>
      <c r="G127" s="325"/>
      <c r="H127" s="149" t="str">
        <f>IF($C$4&gt;7,"(tons/hr)","")</f>
        <v/>
      </c>
      <c r="I127" s="149" t="str">
        <f>IF($C$4&gt;7,"(tons/yr)","")</f>
        <v/>
      </c>
      <c r="J127" s="163" t="s">
        <v>109</v>
      </c>
      <c r="K127" s="163" t="s">
        <v>16</v>
      </c>
    </row>
    <row r="128" spans="2:11" ht="14.25" customHeight="1" x14ac:dyDescent="0.2">
      <c r="B128" s="82" t="str">
        <f>IF($C$4&gt;7,"County:","")</f>
        <v/>
      </c>
      <c r="C128" s="73"/>
      <c r="D128" s="56"/>
      <c r="E128" s="124" t="str">
        <f>IF(C130="","","AP-10 EP-1")</f>
        <v/>
      </c>
      <c r="F128" s="124" t="str">
        <f>IF(C130="","","AP-10 EU-1")</f>
        <v/>
      </c>
      <c r="G128" s="222" t="str">
        <f>IF(C130="","",C5 &amp; " - "&amp;C130)</f>
        <v/>
      </c>
      <c r="H128" s="72"/>
      <c r="I128" s="144"/>
      <c r="J128" s="225" t="str">
        <f>IF(C131="","",IF(C131="yes",LOOKUP(G128,'Emission Factors'!$A$12:$A$17,'Emission Factors'!$D$12:$D$17),LOOKUP(G128,'Emission Factors'!$A$5:$A$10,'Emission Factors'!$D$5:$D$10)))</f>
        <v/>
      </c>
      <c r="K128" s="225" t="str">
        <f>IF(C131="","",IF(C131="yes",LOOKUP(G128,'Emission Factors'!$A$12:$A$17,'Emission Factors'!$F$12:$F$17),LOOKUP(G128,'Emission Factors'!$A$5:$A$10,'Emission Factors'!$F$5:$F$10)))</f>
        <v/>
      </c>
    </row>
    <row r="129" spans="2:11" ht="14.25" customHeight="1" x14ac:dyDescent="0.2">
      <c r="B129" s="82" t="str">
        <f>IF($C$4&gt;7,"Production Period (Dates):","")</f>
        <v/>
      </c>
      <c r="C129" s="73"/>
      <c r="D129" s="56"/>
      <c r="E129" s="325" t="str">
        <f>IF($C$4&gt;7,"Liquid Asphalt Heater","")</f>
        <v/>
      </c>
      <c r="F129" s="325"/>
      <c r="G129" s="325"/>
      <c r="H129" s="149" t="str">
        <f>IF($C$4&gt;7,IF(C130="natural gas","(MMCF/hr)","(gallons/hr)"),"")</f>
        <v/>
      </c>
      <c r="I129" s="149" t="str">
        <f>IF($C$4&gt;7,IF(C130="natural gas","(MMCF/yr)","(gallons/yr)"),"")</f>
        <v/>
      </c>
      <c r="J129" s="226"/>
      <c r="K129" s="226"/>
    </row>
    <row r="130" spans="2:11" ht="14.25" customHeight="1" x14ac:dyDescent="0.2">
      <c r="B130" s="82" t="str">
        <f>IF($C$4&gt;7,"Type of Fuel Used:","")</f>
        <v/>
      </c>
      <c r="C130" s="230"/>
      <c r="D130" s="56"/>
      <c r="E130" s="124" t="str">
        <f>IF(C130="","","AP-10 EP-2")</f>
        <v/>
      </c>
      <c r="F130" s="124" t="str">
        <f>IF(C130="","","AP-10 EU-2")</f>
        <v/>
      </c>
      <c r="G130" s="222" t="str">
        <f>IF(C130="","",C130&amp; " Fired Heater")</f>
        <v/>
      </c>
      <c r="H130" s="72"/>
      <c r="I130" s="144"/>
      <c r="J130" s="163"/>
      <c r="K130" s="163"/>
    </row>
    <row r="131" spans="2:11" ht="14.25" customHeight="1" x14ac:dyDescent="0.2">
      <c r="B131" s="82" t="str">
        <f>IF($C$4&gt;7,"Is Your Operation Controlled?:","")</f>
        <v/>
      </c>
      <c r="C131" s="230"/>
      <c r="D131" s="56"/>
      <c r="E131" s="325" t="str">
        <f>IF($C$4&gt;7,"Silo Filling, Truck Loadout, Aggregate Transfer","")</f>
        <v/>
      </c>
      <c r="F131" s="325"/>
      <c r="G131" s="325"/>
      <c r="H131" s="149" t="str">
        <f>IF($C$4&gt;7,"(tons/hr)","")</f>
        <v/>
      </c>
      <c r="I131" s="149" t="str">
        <f>IF($C$4&gt;7,"(tons/yr)","")</f>
        <v/>
      </c>
      <c r="J131" s="226"/>
      <c r="K131" s="226"/>
    </row>
    <row r="132" spans="2:11" ht="14.25" customHeight="1" x14ac:dyDescent="0.2">
      <c r="D132" s="56"/>
      <c r="E132" s="124" t="str">
        <f>IF($C$4&gt;7,"AP-10 EP-3","")</f>
        <v/>
      </c>
      <c r="F132" s="124" t="str">
        <f>IF($C$4&gt;7,"AP-10 EU-3","")</f>
        <v/>
      </c>
      <c r="G132" s="222" t="str">
        <f>IF($C$4&gt;7,"Silo Filling","")</f>
        <v/>
      </c>
      <c r="H132" s="72"/>
      <c r="I132" s="144"/>
      <c r="J132" s="226"/>
      <c r="K132" s="226"/>
    </row>
    <row r="133" spans="2:11" ht="14.25" customHeight="1" x14ac:dyDescent="0.2">
      <c r="B133" s="83"/>
      <c r="D133" s="56"/>
      <c r="E133" s="124" t="str">
        <f>IF($C$4&gt;7,"AP-10 EP-3","")</f>
        <v/>
      </c>
      <c r="F133" s="124" t="str">
        <f>IF($C$4&gt;7,"AP-10 EU-4","")</f>
        <v/>
      </c>
      <c r="G133" s="222" t="str">
        <f>IF($C$4&gt;7,"Truck Loadout","")</f>
        <v/>
      </c>
      <c r="H133" s="72"/>
      <c r="I133" s="144"/>
      <c r="J133" s="226"/>
      <c r="K133" s="226"/>
    </row>
    <row r="134" spans="2:11" ht="14.25" customHeight="1" x14ac:dyDescent="0.2">
      <c r="B134" s="83"/>
      <c r="D134" s="56"/>
      <c r="E134" s="124" t="str">
        <f>IF($C$4&gt;7,"AP-10 EP-3","")</f>
        <v/>
      </c>
      <c r="F134" s="124" t="str">
        <f>IF($C$4&gt;7,"AP-10 EU-5","")</f>
        <v/>
      </c>
      <c r="G134" s="222" t="str">
        <f>IF($C$4&gt;7,"Cold Aggregate Bins","")</f>
        <v/>
      </c>
      <c r="H134" s="72"/>
      <c r="I134" s="144"/>
      <c r="J134" s="226"/>
      <c r="K134" s="226"/>
    </row>
    <row r="135" spans="2:11" ht="14.25" customHeight="1" x14ac:dyDescent="0.2">
      <c r="B135" s="83"/>
      <c r="E135" s="125"/>
      <c r="F135" s="125"/>
      <c r="G135" s="227"/>
      <c r="H135" s="228"/>
      <c r="I135" s="226"/>
    </row>
    <row r="136" spans="2:11" ht="14.25" customHeight="1" x14ac:dyDescent="0.2">
      <c r="B136" s="83"/>
      <c r="E136" s="84" t="str">
        <f>IF($C$4&gt;7,"Stock Pile Area","")</f>
        <v/>
      </c>
      <c r="F136" s="84"/>
      <c r="G136" s="85"/>
      <c r="J136" s="113"/>
      <c r="K136" s="113"/>
    </row>
    <row r="137" spans="2:11" ht="14.25" customHeight="1" x14ac:dyDescent="0.2">
      <c r="B137" s="56"/>
      <c r="F137" s="87" t="str">
        <f>IF($C$4&gt;7,"Emission Unit #","")</f>
        <v/>
      </c>
      <c r="G137" s="52" t="str">
        <f>IF($C$4&gt;7,"Maximum Storage Area (acres)","")</f>
        <v/>
      </c>
      <c r="H137" s="213" t="str">
        <f>IF($C$4&gt;7,"Actual Storage Area (acres)","")</f>
        <v/>
      </c>
      <c r="I137" s="52" t="str">
        <f>IF($C$4&gt;7,"Actual Days in Existence (days)","")</f>
        <v/>
      </c>
      <c r="J137" s="113"/>
      <c r="K137" s="113"/>
    </row>
    <row r="138" spans="2:11" ht="14.25" customHeight="1" x14ac:dyDescent="0.2">
      <c r="B138" s="83"/>
      <c r="E138" s="125"/>
      <c r="F138" s="74"/>
      <c r="G138" s="148"/>
      <c r="H138" s="75"/>
      <c r="I138" s="148"/>
    </row>
    <row r="139" spans="2:11" ht="24" customHeight="1" x14ac:dyDescent="0.2">
      <c r="J139" s="161"/>
      <c r="K139" s="161"/>
    </row>
    <row r="140" spans="2:11" ht="27.75" customHeight="1" x14ac:dyDescent="0.25">
      <c r="B140" s="79" t="str">
        <f>IF($C$4&gt;8,"Asphalt Plant","")</f>
        <v/>
      </c>
      <c r="C140" s="156" t="str">
        <f>IF($C$4&gt;8,"Site 9","")</f>
        <v/>
      </c>
      <c r="E140" s="259" t="str">
        <f>IF($C$4&gt;8,"Emission Point #","")</f>
        <v/>
      </c>
      <c r="F140" s="259" t="str">
        <f>IF($C$4&gt;8,"Emission    Unit #","")</f>
        <v/>
      </c>
      <c r="G140" s="259" t="str">
        <f>IF($C$4&gt;8,"Process","")</f>
        <v/>
      </c>
      <c r="H140" s="259" t="str">
        <f>IF($C$4&gt;8,"Maximum Hourly     Design Rate","")</f>
        <v/>
      </c>
      <c r="I140" s="261" t="str">
        <f>IF($C$4&gt;8,('Facility Information'!G125&amp;" Annual Throughput"),"")</f>
        <v/>
      </c>
      <c r="J140" s="162"/>
      <c r="K140" s="162"/>
    </row>
    <row r="141" spans="2:11" ht="14.25" customHeight="1" x14ac:dyDescent="0.2">
      <c r="B141" s="81"/>
      <c r="D141" s="56"/>
      <c r="E141" s="260"/>
      <c r="F141" s="260"/>
      <c r="G141" s="260"/>
      <c r="H141" s="260"/>
      <c r="I141" s="260"/>
      <c r="J141" s="163"/>
      <c r="K141" s="163"/>
    </row>
    <row r="142" spans="2:11" ht="14.25" customHeight="1" x14ac:dyDescent="0.2">
      <c r="B142" s="82" t="str">
        <f>IF($C$4&gt;8,"Site Name","")</f>
        <v/>
      </c>
      <c r="C142" s="73"/>
      <c r="D142" s="56"/>
      <c r="E142" s="325" t="str">
        <f>IF($C$4&gt;8,"Dryers, Hot Screens, Mixer","")</f>
        <v/>
      </c>
      <c r="F142" s="325"/>
      <c r="G142" s="325"/>
      <c r="H142" s="149" t="str">
        <f>IF($C$4&gt;8,"(tons/hr)","")</f>
        <v/>
      </c>
      <c r="I142" s="149" t="str">
        <f>IF($C$4&gt;8,"(tons/yr)","")</f>
        <v/>
      </c>
      <c r="J142" s="163" t="s">
        <v>109</v>
      </c>
      <c r="K142" s="163" t="s">
        <v>16</v>
      </c>
    </row>
    <row r="143" spans="2:11" ht="14.25" customHeight="1" x14ac:dyDescent="0.2">
      <c r="B143" s="82" t="str">
        <f>IF($C$4&gt;8,"County:","")</f>
        <v/>
      </c>
      <c r="C143" s="73"/>
      <c r="D143" s="56"/>
      <c r="E143" s="124" t="str">
        <f>IF(C145="","","AP-10 EP-1")</f>
        <v/>
      </c>
      <c r="F143" s="124" t="str">
        <f>IF(C145="","","AP-10 EU-1")</f>
        <v/>
      </c>
      <c r="G143" s="222" t="str">
        <f>IF(C145="","",C5 &amp; " - "&amp;C145)</f>
        <v/>
      </c>
      <c r="H143" s="72"/>
      <c r="I143" s="144"/>
      <c r="J143" s="225" t="str">
        <f>IF(C146="","",IF(C146="yes",LOOKUP(G143,'Emission Factors'!$A$12:$A$17,'Emission Factors'!$D$12:$D$17),LOOKUP(G143,'Emission Factors'!$A$5:$A$10,'Emission Factors'!$D$5:$D$10)))</f>
        <v/>
      </c>
      <c r="K143" s="225" t="str">
        <f>IF(C146="","",IF(C146="yes",LOOKUP(G143,'Emission Factors'!$A$12:$A$17,'Emission Factors'!$F$12:$F$17),LOOKUP(G143,'Emission Factors'!$A$5:$A$10,'Emission Factors'!$F$5:$F$10)))</f>
        <v/>
      </c>
    </row>
    <row r="144" spans="2:11" ht="14.25" customHeight="1" x14ac:dyDescent="0.2">
      <c r="B144" s="82" t="str">
        <f>IF($C$4&gt;8,"Production Period (Dates):","")</f>
        <v/>
      </c>
      <c r="C144" s="73"/>
      <c r="D144" s="56"/>
      <c r="E144" s="325" t="str">
        <f>IF($C$4&gt;8,"Liquid Asphalt Heater","")</f>
        <v/>
      </c>
      <c r="F144" s="325"/>
      <c r="G144" s="325"/>
      <c r="H144" s="149" t="str">
        <f>IF($C$4&gt;8,IF(C145="natural gas","(MMCF/hr)","(gallons/hr)"),"")</f>
        <v/>
      </c>
      <c r="I144" s="149" t="str">
        <f>IF($C$4&gt;8,IF(C145="natural gas","(MMCF/yr)","(gallons/yr)"),"")</f>
        <v/>
      </c>
      <c r="J144" s="226"/>
      <c r="K144" s="226"/>
    </row>
    <row r="145" spans="2:11" ht="14.25" customHeight="1" x14ac:dyDescent="0.2">
      <c r="B145" s="82" t="str">
        <f>IF($C$4&gt;8,"Type of Fuel Used:","")</f>
        <v/>
      </c>
      <c r="C145" s="230"/>
      <c r="D145" s="56"/>
      <c r="E145" s="124" t="str">
        <f>IF(C145="","","AP-10 EP-2")</f>
        <v/>
      </c>
      <c r="F145" s="124" t="str">
        <f>IF(C145="","","AP-10 EU-2")</f>
        <v/>
      </c>
      <c r="G145" s="222" t="str">
        <f>IF(C145="","",C145&amp; " Fired Heater")</f>
        <v/>
      </c>
      <c r="H145" s="72"/>
      <c r="I145" s="144"/>
      <c r="J145" s="163"/>
      <c r="K145" s="163"/>
    </row>
    <row r="146" spans="2:11" ht="14.25" customHeight="1" x14ac:dyDescent="0.2">
      <c r="B146" s="82" t="str">
        <f>IF($C$4&gt;8,"Is Your Operation Controlled?:","")</f>
        <v/>
      </c>
      <c r="C146" s="230"/>
      <c r="D146" s="56"/>
      <c r="E146" s="325" t="str">
        <f>IF($C$4&gt;8,"Silo Filling, Truck Loadout, Aggregate Transfer","")</f>
        <v/>
      </c>
      <c r="F146" s="325"/>
      <c r="G146" s="325"/>
      <c r="H146" s="149" t="str">
        <f>IF($C$4&gt;8,"(tons/hr)","")</f>
        <v/>
      </c>
      <c r="I146" s="149" t="str">
        <f>IF($C$4&gt;8,"(tons/yr)","")</f>
        <v/>
      </c>
      <c r="J146" s="226"/>
      <c r="K146" s="226"/>
    </row>
    <row r="147" spans="2:11" ht="14.25" customHeight="1" x14ac:dyDescent="0.2">
      <c r="D147" s="56"/>
      <c r="E147" s="124" t="str">
        <f>IF($C$4&gt;8,"AP-10 EP-3","")</f>
        <v/>
      </c>
      <c r="F147" s="124" t="str">
        <f>IF($C$4&gt;8,"AP-10 EU-3","")</f>
        <v/>
      </c>
      <c r="G147" s="222" t="str">
        <f>IF($C$4&gt;8,"Silo Filling","")</f>
        <v/>
      </c>
      <c r="H147" s="72"/>
      <c r="I147" s="144"/>
      <c r="J147" s="226"/>
      <c r="K147" s="226"/>
    </row>
    <row r="148" spans="2:11" ht="14.25" customHeight="1" x14ac:dyDescent="0.2">
      <c r="B148" s="83"/>
      <c r="D148" s="56"/>
      <c r="E148" s="124" t="str">
        <f>IF($C$4&gt;8,"AP-10 EP-3","")</f>
        <v/>
      </c>
      <c r="F148" s="124" t="str">
        <f>IF($C$4&gt;8,"AP-10 EU-4","")</f>
        <v/>
      </c>
      <c r="G148" s="222" t="str">
        <f>IF($C$4&gt;8,"Truck Loadout","")</f>
        <v/>
      </c>
      <c r="H148" s="72"/>
      <c r="I148" s="144"/>
      <c r="J148" s="226"/>
      <c r="K148" s="226"/>
    </row>
    <row r="149" spans="2:11" ht="14.25" customHeight="1" x14ac:dyDescent="0.2">
      <c r="B149" s="83"/>
      <c r="D149" s="56"/>
      <c r="E149" s="124" t="str">
        <f>IF($C$4&gt;8,"AP-10 EP-3","")</f>
        <v/>
      </c>
      <c r="F149" s="124" t="str">
        <f>IF($C$4&gt;8,"AP-10 EU-5","")</f>
        <v/>
      </c>
      <c r="G149" s="222" t="str">
        <f>IF($C$4&gt;8,"Cold Aggregate Bins","")</f>
        <v/>
      </c>
      <c r="H149" s="72"/>
      <c r="I149" s="144"/>
      <c r="J149" s="226"/>
      <c r="K149" s="226"/>
    </row>
    <row r="150" spans="2:11" ht="14.25" customHeight="1" x14ac:dyDescent="0.2">
      <c r="B150" s="83"/>
      <c r="E150" s="125"/>
      <c r="F150" s="125"/>
      <c r="G150" s="227"/>
      <c r="H150" s="228"/>
      <c r="I150" s="226"/>
    </row>
    <row r="151" spans="2:11" ht="14.25" customHeight="1" x14ac:dyDescent="0.2">
      <c r="B151" s="83"/>
      <c r="E151" s="84" t="str">
        <f>IF($C$4&gt;8,"Stock Pile Area","")</f>
        <v/>
      </c>
      <c r="F151" s="84"/>
      <c r="G151" s="85"/>
      <c r="J151" s="113"/>
      <c r="K151" s="113"/>
    </row>
    <row r="152" spans="2:11" ht="14.25" customHeight="1" x14ac:dyDescent="0.2">
      <c r="B152" s="56"/>
      <c r="F152" s="87" t="str">
        <f>IF($C$4&gt;8,"Emission Unit #","")</f>
        <v/>
      </c>
      <c r="G152" s="52" t="str">
        <f>IF($C$4&gt;8,"Maximum Storage Area (acres)","")</f>
        <v/>
      </c>
      <c r="H152" s="213" t="str">
        <f>IF($C$4&gt;8,"Actual Storage Area (acres)","")</f>
        <v/>
      </c>
      <c r="I152" s="52" t="str">
        <f>IF($C$4&gt;8,"Actual Days in Existence (days)","")</f>
        <v/>
      </c>
      <c r="J152" s="113"/>
      <c r="K152" s="113"/>
    </row>
    <row r="153" spans="2:11" ht="14.25" customHeight="1" x14ac:dyDescent="0.2">
      <c r="B153" s="83"/>
      <c r="E153" s="125"/>
      <c r="F153" s="74"/>
      <c r="G153" s="148"/>
      <c r="H153" s="75"/>
      <c r="I153" s="148"/>
    </row>
    <row r="154" spans="2:11" ht="14.25" customHeight="1" x14ac:dyDescent="0.2">
      <c r="J154" s="161"/>
      <c r="K154" s="161"/>
    </row>
    <row r="155" spans="2:11" ht="27.75" customHeight="1" x14ac:dyDescent="0.25">
      <c r="B155" s="79" t="str">
        <f>IF($C$4&gt;9,"Asphalt Plant","")</f>
        <v/>
      </c>
      <c r="C155" s="156" t="str">
        <f>IF($C$4&gt;9,"Site 10","")</f>
        <v/>
      </c>
      <c r="E155" s="259" t="str">
        <f>IF($C$4&gt;9,"Emission Point #","")</f>
        <v/>
      </c>
      <c r="F155" s="259" t="str">
        <f>IF($C$4&gt;9,"Emission    Unit #","")</f>
        <v/>
      </c>
      <c r="G155" s="259" t="str">
        <f>IF($C$4&gt;9,"Process","")</f>
        <v/>
      </c>
      <c r="H155" s="259" t="str">
        <f>IF($C$4&gt;9,"Maximum Hourly     Design Rate","")</f>
        <v/>
      </c>
      <c r="I155" s="261" t="str">
        <f>IF($C$4&gt;9,('Facility Information'!G140&amp;" Annual Throughput"),"")</f>
        <v/>
      </c>
      <c r="J155" s="162"/>
      <c r="K155" s="162"/>
    </row>
    <row r="156" spans="2:11" ht="14.25" customHeight="1" x14ac:dyDescent="0.2">
      <c r="B156" s="81"/>
      <c r="D156" s="56"/>
      <c r="E156" s="260"/>
      <c r="F156" s="260"/>
      <c r="G156" s="260"/>
      <c r="H156" s="260"/>
      <c r="I156" s="260"/>
      <c r="J156" s="163"/>
      <c r="K156" s="163"/>
    </row>
    <row r="157" spans="2:11" ht="14.25" customHeight="1" x14ac:dyDescent="0.2">
      <c r="B157" s="82" t="str">
        <f>IF($C$4&gt;9,"Site Name","")</f>
        <v/>
      </c>
      <c r="C157" s="73"/>
      <c r="D157" s="56"/>
      <c r="E157" s="326" t="str">
        <f>IF($C$4&gt;9,"Dryers, Hot Screens, Mixer","")</f>
        <v/>
      </c>
      <c r="F157" s="325"/>
      <c r="G157" s="327"/>
      <c r="H157" s="149" t="str">
        <f>IF($C$4&gt;9,"(tons/hr)","")</f>
        <v/>
      </c>
      <c r="I157" s="149" t="str">
        <f>IF($C$4&gt;9,"(tons/yr)","")</f>
        <v/>
      </c>
      <c r="J157" s="163" t="s">
        <v>109</v>
      </c>
      <c r="K157" s="163" t="s">
        <v>16</v>
      </c>
    </row>
    <row r="158" spans="2:11" ht="14.25" customHeight="1" x14ac:dyDescent="0.2">
      <c r="B158" s="82" t="str">
        <f>IF($C$4&gt;9,"County:","")</f>
        <v/>
      </c>
      <c r="C158" s="73"/>
      <c r="D158" s="56"/>
      <c r="E158" s="124" t="str">
        <f>IF(C160="","","AP-10 EP-1")</f>
        <v/>
      </c>
      <c r="F158" s="124" t="str">
        <f>IF(C160="","","AP-10 EU-1")</f>
        <v/>
      </c>
      <c r="G158" s="222" t="str">
        <f>IF(C160="","",C5 &amp; " - "&amp;C160)</f>
        <v/>
      </c>
      <c r="H158" s="72"/>
      <c r="I158" s="144"/>
      <c r="J158" s="225" t="str">
        <f>IF(C161="","",IF(C161="yes",LOOKUP(G158,'Emission Factors'!$A$12:$A$17,'Emission Factors'!$D$12:$D$17),LOOKUP(G158,'Emission Factors'!$A$5:$A$10,'Emission Factors'!$D$5:$D$10)))</f>
        <v/>
      </c>
      <c r="K158" s="225" t="str">
        <f>IF(C161="","",IF(C161="yes",LOOKUP(G158,'Emission Factors'!$A$12:$A$17,'Emission Factors'!$F$12:$F$17),LOOKUP(G158,'Emission Factors'!$A$5:$A$10,'Emission Factors'!$F$5:$F$10)))</f>
        <v/>
      </c>
    </row>
    <row r="159" spans="2:11" ht="14.25" customHeight="1" x14ac:dyDescent="0.2">
      <c r="B159" s="82" t="str">
        <f>IF($C$4&gt;9,"Production Period (Dates):","")</f>
        <v/>
      </c>
      <c r="C159" s="73"/>
      <c r="D159" s="56"/>
      <c r="E159" s="326" t="str">
        <f>IF($C$4&gt;9,"Liquid Asphalt Heater","")</f>
        <v/>
      </c>
      <c r="F159" s="325"/>
      <c r="G159" s="327"/>
      <c r="H159" s="149" t="str">
        <f>IF($C$4&gt;9,IF(C160="natural gas","(MMCF/hr)","(gallons/hr)"),"")</f>
        <v/>
      </c>
      <c r="I159" s="149" t="str">
        <f>IF($C$4&gt;9,IF(C160="natural gas","(MMCF/yr)","(gallons/yr)"),"")</f>
        <v/>
      </c>
      <c r="J159" s="226"/>
      <c r="K159" s="226"/>
    </row>
    <row r="160" spans="2:11" ht="14.25" customHeight="1" x14ac:dyDescent="0.2">
      <c r="B160" s="82" t="str">
        <f>IF($C$4&gt;9,"Type of Fuel Used:","")</f>
        <v/>
      </c>
      <c r="C160" s="230"/>
      <c r="D160" s="56"/>
      <c r="E160" s="124" t="str">
        <f>IF(C160="","","AP-10 EP-2")</f>
        <v/>
      </c>
      <c r="F160" s="124" t="str">
        <f>IF(C160="","","AP-10 EU-2")</f>
        <v/>
      </c>
      <c r="G160" s="222" t="str">
        <f>IF(C160="","",C160&amp; " Fired Heater")</f>
        <v/>
      </c>
      <c r="H160" s="72"/>
      <c r="I160" s="144"/>
      <c r="J160" s="163"/>
      <c r="K160" s="163"/>
    </row>
    <row r="161" spans="2:11" ht="14.25" customHeight="1" x14ac:dyDescent="0.2">
      <c r="B161" s="82" t="str">
        <f>IF($C$4&gt;9,"Is Your Operation Controlled?:","")</f>
        <v/>
      </c>
      <c r="C161" s="230"/>
      <c r="D161" s="56"/>
      <c r="E161" s="326" t="str">
        <f>IF($C$4&gt;9,"Silo Filling, Truck Loadout, Aggregate Transfer","")</f>
        <v/>
      </c>
      <c r="F161" s="325"/>
      <c r="G161" s="327"/>
      <c r="H161" s="149" t="str">
        <f>IF($C$4&gt;9,"(tons/hr)","")</f>
        <v/>
      </c>
      <c r="I161" s="149" t="str">
        <f>IF($C$4&gt;9,"(tons/yr)","")</f>
        <v/>
      </c>
      <c r="J161" s="226"/>
      <c r="K161" s="226"/>
    </row>
    <row r="162" spans="2:11" ht="14.25" customHeight="1" x14ac:dyDescent="0.2">
      <c r="D162" s="56"/>
      <c r="E162" s="124" t="str">
        <f>IF($C$4&gt;9,"AP-10 EP-3","")</f>
        <v/>
      </c>
      <c r="F162" s="124" t="str">
        <f>IF($C$4&gt;9,"AP-10 EU-3","")</f>
        <v/>
      </c>
      <c r="G162" s="222" t="str">
        <f>IF($C$4&gt;9,"Silo Filling","")</f>
        <v/>
      </c>
      <c r="H162" s="72"/>
      <c r="I162" s="144"/>
      <c r="J162" s="226"/>
      <c r="K162" s="226"/>
    </row>
    <row r="163" spans="2:11" ht="14.25" customHeight="1" x14ac:dyDescent="0.2">
      <c r="B163" s="83"/>
      <c r="D163" s="56"/>
      <c r="E163" s="124" t="str">
        <f>IF($C$4&gt;9,"AP-10 EP-3","")</f>
        <v/>
      </c>
      <c r="F163" s="124" t="str">
        <f>IF($C$4&gt;9,"AP-10 EU-4","")</f>
        <v/>
      </c>
      <c r="G163" s="222" t="str">
        <f>IF($C$4&gt;9,"Truck Loadout","")</f>
        <v/>
      </c>
      <c r="H163" s="72"/>
      <c r="I163" s="144"/>
      <c r="J163" s="226"/>
      <c r="K163" s="226"/>
    </row>
    <row r="164" spans="2:11" ht="14.25" customHeight="1" x14ac:dyDescent="0.2">
      <c r="B164" s="83"/>
      <c r="D164" s="56"/>
      <c r="E164" s="124" t="str">
        <f>IF($C$4&gt;9,"AP-10 EP-3","")</f>
        <v/>
      </c>
      <c r="F164" s="124" t="str">
        <f>IF($C$4&gt;9,"AP-10 EU-5","")</f>
        <v/>
      </c>
      <c r="G164" s="222" t="str">
        <f>IF($C$4&gt;9,"Cold Aggregate Bins","")</f>
        <v/>
      </c>
      <c r="H164" s="72"/>
      <c r="I164" s="144"/>
      <c r="J164" s="226"/>
      <c r="K164" s="226"/>
    </row>
    <row r="165" spans="2:11" ht="14.25" customHeight="1" x14ac:dyDescent="0.2">
      <c r="B165" s="83"/>
      <c r="E165" s="125"/>
      <c r="F165" s="125"/>
      <c r="G165" s="227"/>
      <c r="H165" s="228"/>
      <c r="I165" s="226"/>
    </row>
    <row r="166" spans="2:11" ht="14.25" customHeight="1" x14ac:dyDescent="0.2">
      <c r="B166" s="83"/>
      <c r="E166" s="84" t="str">
        <f>IF($C$4&gt;9,"Stock Pile Area","")</f>
        <v/>
      </c>
      <c r="F166" s="84"/>
      <c r="G166" s="85"/>
      <c r="J166" s="113"/>
      <c r="K166" s="113"/>
    </row>
    <row r="167" spans="2:11" ht="14.25" customHeight="1" x14ac:dyDescent="0.2">
      <c r="B167" s="56"/>
      <c r="F167" s="87" t="str">
        <f>IF($C$4&gt;9,"Emission Unit #","")</f>
        <v/>
      </c>
      <c r="G167" s="52" t="str">
        <f>IF($C$4&gt;9,"Maximum Storage Area (acres)","")</f>
        <v/>
      </c>
      <c r="H167" s="213" t="str">
        <f>IF($C$4&gt;9,"Actual Storage Area (acres)","")</f>
        <v/>
      </c>
      <c r="I167" s="52" t="str">
        <f>IF($C$4&gt;9,"Actual Days in Existence (days)","")</f>
        <v/>
      </c>
      <c r="J167" s="113"/>
      <c r="K167" s="113"/>
    </row>
    <row r="168" spans="2:11" ht="14.25" customHeight="1" x14ac:dyDescent="0.2">
      <c r="B168" s="83"/>
      <c r="E168" s="125"/>
      <c r="F168" s="74"/>
      <c r="G168" s="148"/>
      <c r="H168" s="75"/>
      <c r="I168" s="148"/>
    </row>
  </sheetData>
  <sheetProtection algorithmName="SHA-512" hashValue="OIv0SWL+wVw8taIX5WahBv132QK07qW4+NBJTaCCCSccYIKxnU7F9iWgYsfdUsSkgBYdcVuVK1nUabNSvA772Q==" saltValue="9kT7lQlsAb39tQZF4dEt9w==" spinCount="100000" sheet="1" objects="1" scenarios="1"/>
  <conditionalFormatting sqref="E23:F23 E25:F25 E27:F30">
    <cfRule type="notContainsBlanks" dxfId="129" priority="39">
      <formula>LEN(TRIM(E23))&gt;0</formula>
    </cfRule>
  </conditionalFormatting>
  <conditionalFormatting sqref="H36:I36 H38:I38 J39:K39 H40:I40 J45:K45 F46:I46 J50:K50 H51:I51 H53:I53 J54:K54 H55:I55 J60:K60 F61:I61 J65:K65 H66:I66 H68:I68 J69:K69 H70:I70 J75:K75 F76:I76 J80:K80 H81:I81 H83:I83 J84 H85:I85 J90:K90 F91:I91 J96:K96 H97:I97 H99:I99 J100:K100 H101:I101 J106:K106 F107:I107 J111:K111 H112:I112 H114:I114 J115:K115 H116:I116 J121:K121 F122:I122 J126:K126 H127:I127 H129:I129 J130:K130 H131:I131 J136:K136 F137:I137 J141:K141 H142:I142 H144:I144 J145:K145 H146:I146 J151:K151 F152:I152 J156:K156 H157:I157 H159:I159 J160:K160 H161:I161 J166:K166 F167:I167 B28:B31 B26">
    <cfRule type="notContainsBlanks" dxfId="128" priority="4">
      <formula>LEN(TRIM(B26))&gt;0</formula>
    </cfRule>
  </conditionalFormatting>
  <conditionalFormatting sqref="E33">
    <cfRule type="notContainsBlanks" dxfId="127" priority="37">
      <formula>LEN(TRIM(E33))&gt;0</formula>
    </cfRule>
  </conditionalFormatting>
  <conditionalFormatting sqref="B33">
    <cfRule type="notContainsBlanks" dxfId="126" priority="36">
      <formula>LEN(TRIM(B33))&gt;0</formula>
    </cfRule>
  </conditionalFormatting>
  <conditionalFormatting sqref="B36:E36 B35:I35 B37:I37 H36:I36 D39:I39 B38:E38 H38:I38 J34:K35 H40:I40 B42:I47 D41:I41 D40:E40 B39:C40 J38:K46">
    <cfRule type="cellIs" dxfId="125" priority="40" operator="notEqual">
      <formula>$B$35=""</formula>
    </cfRule>
  </conditionalFormatting>
  <conditionalFormatting sqref="E36:G43 B36:B40">
    <cfRule type="notContainsBlanks" dxfId="124" priority="34">
      <formula>LEN(TRIM(B36))&gt;0</formula>
    </cfRule>
  </conditionalFormatting>
  <conditionalFormatting sqref="J46:K46 F47:I47 J40:K42 H41:I43 H37:I37 J38:K38 H39:I39 J61:K61 F62:I62 J55:K57 H56:I58 H52:I52 J53:K53 H54:I54 J76:K76 F77:I77 J70:K72 H71:I73 H67:I67 J68:K68 H69:I69 J91:K91 F92:I92 J86:K87 H86:I88 H82:I82 J83:K83 H84:I84 J107:K107 F108:I108 J101:K103 H102:I104 H98:I98 J99:K99 H100:I100 J122:K122 F123:I123 J116:K118 H117:I119 H113:I113 J114:K114 H115:I115 J137:K137 F138:I138 J131:K133 H132:I134 H128:I128 J129:K129 H130:I130 J152:K152 F153:I153 J146:K148 H147:I149 H143:I143 J144:K144 H145:I145 J167:K167 F168:I168 J161:K163 H162:I164 H158:I158 J159:K159 H160:I160 C36:C40 J85">
    <cfRule type="notContainsBlanks" dxfId="123" priority="28">
      <formula>LEN(TRIM(C36))&gt;0</formula>
    </cfRule>
  </conditionalFormatting>
  <conditionalFormatting sqref="B51:E51 B49:I50 B52:I52 H51:I51 D54:I54 B53:E53 H53:I53 J48:K50 H55:I55 B57:I62 D56:I56 D55:E55 B54:C55 J53:K61">
    <cfRule type="cellIs" dxfId="122" priority="38" operator="notEqual">
      <formula>$B$49=""</formula>
    </cfRule>
  </conditionalFormatting>
  <conditionalFormatting sqref="E51:G58 B51:B55">
    <cfRule type="notContainsBlanks" dxfId="121" priority="32">
      <formula>LEN(TRIM(B51))&gt;0</formula>
    </cfRule>
  </conditionalFormatting>
  <conditionalFormatting sqref="C51:C55">
    <cfRule type="notContainsBlanks" dxfId="120" priority="31">
      <formula>LEN(TRIM(C51))&gt;0</formula>
    </cfRule>
  </conditionalFormatting>
  <conditionalFormatting sqref="B35:C35">
    <cfRule type="notContainsBlanks" dxfId="119" priority="30">
      <formula>LEN(TRIM(B35))&gt;0</formula>
    </cfRule>
  </conditionalFormatting>
  <conditionalFormatting sqref="B49:C49">
    <cfRule type="notContainsBlanks" dxfId="118" priority="29">
      <formula>LEN(TRIM(B49))&gt;0</formula>
    </cfRule>
  </conditionalFormatting>
  <conditionalFormatting sqref="B66:E66 B64:I65 B67:I67 H66:I66 D69:I69 B68:E68 H68:I68 J63:K65 H70:I70 B72:I77 D71:I71 D70:E70 B69:C70 J68:K76">
    <cfRule type="cellIs" dxfId="117" priority="35" operator="notEqual">
      <formula>$B$64=""</formula>
    </cfRule>
  </conditionalFormatting>
  <conditionalFormatting sqref="E66:G73 B66:B70">
    <cfRule type="notContainsBlanks" dxfId="116" priority="27">
      <formula>LEN(TRIM(B66))&gt;0</formula>
    </cfRule>
  </conditionalFormatting>
  <conditionalFormatting sqref="C66:C70">
    <cfRule type="notContainsBlanks" dxfId="115" priority="26">
      <formula>LEN(TRIM(C66))&gt;0</formula>
    </cfRule>
  </conditionalFormatting>
  <conditionalFormatting sqref="B64:C64">
    <cfRule type="notContainsBlanks" dxfId="114" priority="25">
      <formula>LEN(TRIM(B64))&gt;0</formula>
    </cfRule>
  </conditionalFormatting>
  <conditionalFormatting sqref="B81:E81 B79:I80 B82:I82 H81:I81 B83:E83 J78:K80 B87:I92 D86:I86 D85:E85 B84:C85 H83:K83 J86:K91 H85:J85 D84:J84">
    <cfRule type="cellIs" dxfId="113" priority="33" operator="notEqual">
      <formula>$B$79=""</formula>
    </cfRule>
  </conditionalFormatting>
  <conditionalFormatting sqref="E81:G88 B81:B85">
    <cfRule type="notContainsBlanks" dxfId="112" priority="23">
      <formula>LEN(TRIM(B81))&gt;0</formula>
    </cfRule>
  </conditionalFormatting>
  <conditionalFormatting sqref="C81:C85">
    <cfRule type="notContainsBlanks" dxfId="111" priority="22">
      <formula>LEN(TRIM(C81))&gt;0</formula>
    </cfRule>
  </conditionalFormatting>
  <conditionalFormatting sqref="B79:C79">
    <cfRule type="notContainsBlanks" dxfId="110" priority="21">
      <formula>LEN(TRIM(B79))&gt;0</formula>
    </cfRule>
  </conditionalFormatting>
  <conditionalFormatting sqref="B97:E97 B95:I96 B98:I98 H97:I97 D100:I100 B99:E99 H99:I99 J93:K96 H101:I101 B103:I108 D102:I102 D101:E101 B100:C101 J99:K107">
    <cfRule type="cellIs" dxfId="109" priority="24" operator="notEqual">
      <formula>$B$95=""</formula>
    </cfRule>
  </conditionalFormatting>
  <conditionalFormatting sqref="E97:G104 B97:B101">
    <cfRule type="notContainsBlanks" dxfId="108" priority="19">
      <formula>LEN(TRIM(B97))&gt;0</formula>
    </cfRule>
  </conditionalFormatting>
  <conditionalFormatting sqref="C97:C101">
    <cfRule type="notContainsBlanks" dxfId="107" priority="18">
      <formula>LEN(TRIM(C97))&gt;0</formula>
    </cfRule>
  </conditionalFormatting>
  <conditionalFormatting sqref="B95:C95">
    <cfRule type="notContainsBlanks" dxfId="106" priority="17">
      <formula>LEN(TRIM(B95))&gt;0</formula>
    </cfRule>
  </conditionalFormatting>
  <conditionalFormatting sqref="B112:E112 B110:I111 B113:I113 H112:I112 D115:I115 B114:E114 H114:I114 J109:K111 H116:I116 B118:I123 D117:I117 D116:E116 B115:C116 J114:K122">
    <cfRule type="cellIs" dxfId="105" priority="20" operator="notEqual">
      <formula>$B$110=""</formula>
    </cfRule>
  </conditionalFormatting>
  <conditionalFormatting sqref="E112:G119 B112:B116">
    <cfRule type="notContainsBlanks" dxfId="104" priority="15">
      <formula>LEN(TRIM(B112))&gt;0</formula>
    </cfRule>
  </conditionalFormatting>
  <conditionalFormatting sqref="C112:C116">
    <cfRule type="notContainsBlanks" dxfId="103" priority="14">
      <formula>LEN(TRIM(C112))&gt;0</formula>
    </cfRule>
  </conditionalFormatting>
  <conditionalFormatting sqref="B110:C110">
    <cfRule type="notContainsBlanks" dxfId="102" priority="13">
      <formula>LEN(TRIM(B110))&gt;0</formula>
    </cfRule>
  </conditionalFormatting>
  <conditionalFormatting sqref="B127:E127 B125:I126 B128:I128 H127:I127 D130:I130 B129:E129 H129:I129 J124:K126 H131:I131 B133:I138 D132:I132 D131:E131 B130:C131 J129:K137">
    <cfRule type="cellIs" dxfId="101" priority="16" operator="notEqual">
      <formula>$B$125=""</formula>
    </cfRule>
  </conditionalFormatting>
  <conditionalFormatting sqref="E127:G134 B127:B131">
    <cfRule type="notContainsBlanks" dxfId="100" priority="11">
      <formula>LEN(TRIM(B127))&gt;0</formula>
    </cfRule>
  </conditionalFormatting>
  <conditionalFormatting sqref="C127:C131">
    <cfRule type="notContainsBlanks" dxfId="99" priority="10">
      <formula>LEN(TRIM(C127))&gt;0</formula>
    </cfRule>
  </conditionalFormatting>
  <conditionalFormatting sqref="B125:C125">
    <cfRule type="notContainsBlanks" dxfId="98" priority="9">
      <formula>LEN(TRIM(B125))&gt;0</formula>
    </cfRule>
  </conditionalFormatting>
  <conditionalFormatting sqref="B142:E142 B140:I141 B143:I143 H142:I142 D145:I145 B144:E144 H144:I144 J139:K141 H146:I146 B148:I153 D147:I147 D146:E146 B145:C146 J144:K152">
    <cfRule type="cellIs" dxfId="97" priority="12" operator="notEqual">
      <formula>$B$140=""</formula>
    </cfRule>
  </conditionalFormatting>
  <conditionalFormatting sqref="E142:G149 B142:B146">
    <cfRule type="notContainsBlanks" dxfId="96" priority="7">
      <formula>LEN(TRIM(B142))&gt;0</formula>
    </cfRule>
  </conditionalFormatting>
  <conditionalFormatting sqref="C142:C146">
    <cfRule type="notContainsBlanks" dxfId="95" priority="6">
      <formula>LEN(TRIM(C142))&gt;0</formula>
    </cfRule>
  </conditionalFormatting>
  <conditionalFormatting sqref="B140:C140">
    <cfRule type="notContainsBlanks" dxfId="94" priority="5">
      <formula>LEN(TRIM(B140))&gt;0</formula>
    </cfRule>
  </conditionalFormatting>
  <conditionalFormatting sqref="B157:E157 B155:I156 B158:I158 H157:I157 D160:I160 B159:E159 H159:I159 J154:K156 H161:I161 B163:I168 D162:I162 D161:E161 B160:C161 J159:K167">
    <cfRule type="cellIs" dxfId="93" priority="8" operator="notEqual">
      <formula>$B$155=""</formula>
    </cfRule>
  </conditionalFormatting>
  <conditionalFormatting sqref="E157:G164 B157:B161">
    <cfRule type="notContainsBlanks" dxfId="92" priority="3">
      <formula>LEN(TRIM(B157))&gt;0</formula>
    </cfRule>
  </conditionalFormatting>
  <conditionalFormatting sqref="C157:C161">
    <cfRule type="notContainsBlanks" dxfId="91" priority="2">
      <formula>LEN(TRIM(C157))&gt;0</formula>
    </cfRule>
  </conditionalFormatting>
  <conditionalFormatting sqref="B155:C155">
    <cfRule type="notContainsBlanks" dxfId="90" priority="1">
      <formula>LEN(TRIM(B155))&gt;0</formula>
    </cfRule>
  </conditionalFormatting>
  <dataValidations count="4">
    <dataValidation type="list" allowBlank="1" showInputMessage="1" showErrorMessage="1" sqref="C26 C40 C55 C70 C85 C101 C116 C131 C146 C161" xr:uid="{00000000-0002-0000-0A00-000000000000}">
      <formula1>CHECK</formula1>
    </dataValidation>
    <dataValidation type="list" allowBlank="1" showInputMessage="1" showErrorMessage="1" sqref="C25 A13 A15 C39 C54 C69 C84 C100 C115 C130 C145 C160" xr:uid="{00000000-0002-0000-0A00-000001000000}">
      <formula1>Fuel</formula1>
    </dataValidation>
    <dataValidation type="list" allowBlank="1" showInputMessage="1" showErrorMessage="1" sqref="C5" xr:uid="{00000000-0002-0000-0A00-000002000000}">
      <formula1>PlantType</formula1>
    </dataValidation>
    <dataValidation type="whole" allowBlank="1" showInputMessage="1" showErrorMessage="1" sqref="C19 C4 D6" xr:uid="{00000000-0002-0000-0A00-000003000000}">
      <formula1>0</formula1>
      <formula2>100</formula2>
    </dataValidation>
  </dataValidations>
  <pageMargins left="0.7" right="0.7" top="0.75" bottom="0.75" header="0.3" footer="0.3"/>
  <pageSetup scale="70" fitToHeight="0" orientation="landscape"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O47"/>
  <sheetViews>
    <sheetView topLeftCell="B1" workbookViewId="0">
      <selection activeCell="B1" sqref="B1"/>
    </sheetView>
  </sheetViews>
  <sheetFormatPr defaultRowHeight="15" x14ac:dyDescent="0.25"/>
  <cols>
    <col min="1" max="1" width="14" style="6" hidden="1" customWidth="1"/>
    <col min="2" max="2" width="18.42578125" style="6" customWidth="1"/>
    <col min="3" max="3" width="9.85546875" style="6" customWidth="1"/>
    <col min="4" max="4" width="8.7109375" style="6" customWidth="1"/>
    <col min="5" max="5" width="10.42578125" style="6" customWidth="1"/>
    <col min="6" max="6" width="21.42578125" style="6" customWidth="1"/>
    <col min="7" max="7" width="11.7109375" style="6" customWidth="1"/>
    <col min="8" max="8" width="12" style="6" customWidth="1"/>
    <col min="9" max="9" width="13.7109375" style="6" customWidth="1"/>
    <col min="10" max="10" width="10" style="6" customWidth="1"/>
    <col min="11" max="11" width="9.28515625" style="6" customWidth="1"/>
    <col min="12" max="12" width="10.42578125" style="6" customWidth="1"/>
    <col min="13" max="13" width="12.42578125" style="6" customWidth="1"/>
    <col min="14" max="14" width="13.7109375" style="6" customWidth="1"/>
    <col min="15" max="15" width="14.28515625" style="6" customWidth="1"/>
    <col min="16" max="16" width="11.7109375" style="6" customWidth="1"/>
    <col min="17" max="17" width="9.5703125" style="6" customWidth="1"/>
    <col min="18" max="18" width="10.5703125" style="6" customWidth="1"/>
    <col min="19" max="19" width="13.7109375" style="6" customWidth="1"/>
    <col min="20" max="20" width="14" style="6" customWidth="1"/>
    <col min="21" max="21" width="9.140625" style="6"/>
    <col min="22" max="22" width="9.85546875" style="6" hidden="1" customWidth="1"/>
    <col min="23" max="23" width="10.5703125" style="6" hidden="1" customWidth="1"/>
    <col min="24" max="24" width="9.5703125" style="6" hidden="1" customWidth="1"/>
    <col min="25" max="25" width="9.5703125" style="6" customWidth="1"/>
    <col min="26" max="26" width="9.140625" style="6"/>
    <col min="27" max="27" width="9.5703125" style="6" hidden="1" customWidth="1"/>
    <col min="28" max="28" width="10.28515625" style="6" hidden="1" customWidth="1"/>
    <col min="29" max="29" width="9.85546875" style="6" hidden="1" customWidth="1"/>
    <col min="30" max="30" width="9.42578125" style="6" customWidth="1"/>
    <col min="31" max="31" width="5.42578125" style="6" customWidth="1"/>
    <col min="32" max="32" width="9.5703125" style="6" hidden="1" customWidth="1"/>
    <col min="33" max="33" width="13" style="6" hidden="1" customWidth="1"/>
    <col min="34" max="34" width="13.5703125" style="6" hidden="1" customWidth="1"/>
    <col min="35" max="35" width="14.5703125" style="6" hidden="1" customWidth="1"/>
    <col min="36" max="36" width="8.42578125" style="6" hidden="1" customWidth="1"/>
    <col min="37" max="37" width="5.7109375" style="6" bestFit="1" customWidth="1"/>
    <col min="38" max="38" width="12.42578125" style="6" hidden="1" customWidth="1"/>
    <col min="39" max="39" width="9.85546875" style="6" bestFit="1" customWidth="1"/>
    <col min="40" max="40" width="12.42578125" style="6" hidden="1" customWidth="1"/>
    <col min="41" max="41" width="9.85546875" style="6" bestFit="1" customWidth="1"/>
    <col min="42" max="16384" width="9.140625" style="6"/>
  </cols>
  <sheetData>
    <row r="1" spans="1:41" ht="18.75" x14ac:dyDescent="0.3">
      <c r="B1" s="24" t="s">
        <v>112</v>
      </c>
      <c r="C1" s="24"/>
    </row>
    <row r="2" spans="1:41" x14ac:dyDescent="0.25">
      <c r="B2" s="311" t="s">
        <v>36</v>
      </c>
      <c r="C2" s="312"/>
      <c r="D2" s="312"/>
      <c r="E2" s="312"/>
      <c r="F2" s="312"/>
      <c r="G2" s="37"/>
      <c r="H2" s="37"/>
    </row>
    <row r="3" spans="1:41" s="177" customFormat="1" hidden="1" x14ac:dyDescent="0.25">
      <c r="A3" s="177" t="s">
        <v>297</v>
      </c>
      <c r="B3" s="238" t="s">
        <v>297</v>
      </c>
      <c r="C3" s="237"/>
      <c r="D3" s="237"/>
      <c r="E3" s="237"/>
      <c r="F3" s="237"/>
      <c r="G3" s="37"/>
      <c r="H3" s="37"/>
    </row>
    <row r="4" spans="1:41" ht="15.75" customHeight="1" x14ac:dyDescent="0.25"/>
    <row r="5" spans="1:41" ht="60.75" customHeight="1" x14ac:dyDescent="0.25">
      <c r="B5" s="267" t="s">
        <v>115</v>
      </c>
      <c r="C5" s="267" t="s">
        <v>188</v>
      </c>
      <c r="D5" s="267" t="s">
        <v>90</v>
      </c>
      <c r="E5" s="267" t="s">
        <v>269</v>
      </c>
      <c r="F5" s="310" t="s">
        <v>184</v>
      </c>
      <c r="G5" s="267" t="s">
        <v>315</v>
      </c>
      <c r="H5" s="267" t="s">
        <v>316</v>
      </c>
      <c r="I5" s="272" t="s">
        <v>116</v>
      </c>
      <c r="J5" s="270" t="s">
        <v>118</v>
      </c>
      <c r="K5" s="270" t="s">
        <v>119</v>
      </c>
      <c r="L5" s="270" t="s">
        <v>111</v>
      </c>
      <c r="M5" s="270" t="s">
        <v>312</v>
      </c>
      <c r="N5" s="270" t="s">
        <v>313</v>
      </c>
      <c r="O5" s="270" t="s">
        <v>314</v>
      </c>
      <c r="P5" s="270" t="s">
        <v>121</v>
      </c>
      <c r="Q5" s="270" t="s">
        <v>120</v>
      </c>
      <c r="R5" s="270" t="s">
        <v>123</v>
      </c>
      <c r="S5" s="270" t="s">
        <v>122</v>
      </c>
      <c r="T5" s="270" t="s">
        <v>117</v>
      </c>
      <c r="U5" s="271" t="s">
        <v>127</v>
      </c>
      <c r="V5" s="270" t="s">
        <v>129</v>
      </c>
      <c r="W5" s="270" t="s">
        <v>128</v>
      </c>
      <c r="X5" s="270" t="s">
        <v>130</v>
      </c>
      <c r="Y5" s="270" t="s">
        <v>17</v>
      </c>
      <c r="Z5" s="272" t="s">
        <v>126</v>
      </c>
      <c r="AA5" s="270" t="s">
        <v>129</v>
      </c>
      <c r="AB5" s="270" t="s">
        <v>128</v>
      </c>
      <c r="AC5" s="270" t="s">
        <v>130</v>
      </c>
      <c r="AD5" s="270" t="s">
        <v>17</v>
      </c>
    </row>
    <row r="6" spans="1:41" ht="15" customHeight="1" x14ac:dyDescent="0.25">
      <c r="A6" s="6" t="s">
        <v>114</v>
      </c>
      <c r="B6" s="66"/>
      <c r="C6" s="66"/>
      <c r="D6" s="14"/>
      <c r="E6" s="14"/>
      <c r="F6" s="14"/>
      <c r="G6" s="132"/>
      <c r="H6" s="132"/>
      <c r="I6" s="14"/>
      <c r="J6" s="130" t="str">
        <f>IF(G6="","",(G6*(I6/100)+H6*(1-(I6/100))))</f>
        <v/>
      </c>
      <c r="K6" s="130" t="str">
        <f>IF(G6="","",H6-G6)</f>
        <v/>
      </c>
      <c r="L6" s="132"/>
      <c r="M6" s="119" t="str">
        <f>IF(E6="","",IF(E6="AP-1",IF('Asphalt Plant (AP-1)'!$C$10&gt;0,'Asphalt Plant (AP-1)'!$C$10,IF('Asphalt Plant (AP-1)'!$C$11&gt;0,'Asphalt Plant (AP-1)'!$C$11*365,"")),IF(E6="AP-2",IF(E6="AP-2",IF('Asphalt Plant (AP-2)'!$C$10&gt;0,'Asphalt Plant (AP-2)'!$C$10,IF('Asphalt Plant (AP-2)'!$C$11&gt;0,'Asphalt Plant (AP-2)'!$C$11*365,""))),IF(E6="AP-3",IF(E6="AP-3",IF('Asphalt Plant (AP-3)'!$C$10&gt;0,'Asphalt Plant (AP-3)'!$C$10,IF('Asphalt Plant (AP-3)'!$C$11&gt;0,'Asphalt Plant (AP-3)'!$C$11*365,""))),IF(E6="AP-4",IF(E6="AP-4",IF('Asphalt Plant (AP-4)'!$C$10&gt;0,'Asphalt Plant (AP-4)'!$C$10,IF('Asphalt Plant (AP-4)'!$C$11&gt;0,'Asphalt Plant (AP-4)'!$C$11*365,""))),IF(E6="AP-5",IF(E6="AP-5",IF('Asphalt Plant (AP-5)'!$C$10&gt;0,'Asphalt Plant (AP-5)'!$C$10,IF('Asphalt Plant (AP-5)'!$C$11&gt;0,'Asphalt Plant (AP-5)'!$C$11*365,""))),IF(E6="AP-6",IF(E6="AP-6",IF('Asphalt Plant (AP-6)'!$C$10&gt;0,'Asphalt Plant (AP-6)'!$C$10,IF('Asphalt Plant (AP-6)'!$C$11&gt;0,'Asphalt Plant (AP-6)'!$C$11*365,""))),IF(E6="AP-7",IF(E6="AP-7",IF('Asphalt Plant (AP-7)'!$C$10&gt;0,'Asphalt Plant (AP-7)'!$C$10,IF('Asphalt Plant (AP-7)'!$C$11&gt;0,'Asphalt Plant (AP-7)'!$C$11*365,""))),IF(E6="AP-8",IF(E6="AP-8",IF('Asphalt Plant (AP-8)'!$C$10&gt;0,'Asphalt Plant (AP-8)'!$C$10,IF('Asphalt Plant (AP-8)'!$C$11&gt;0,'Asphalt Plant (AP-8)'!$C$11*365,""))),IF(E6="AP-9",IF(E6="AP-9",IF('Asphalt Plant (AP-9)'!$C$10&gt;0,'Asphalt Plant (AP-9)'!$C$10,IF('Asphalt Plant (AP-9)'!$C$11&gt;0,'Asphalt Plant (AP-9)'!$C$11*365,""))),IF(E6="AP-10",IF(E6="AP-10",IF('Asphalt Plant (AP-10)'!$C$10&gt;0,'Asphalt Plant (AP-10)'!$C$10,IF('Asphalt Plant (AP-10)'!$C$11&gt;0,'Asphalt Plant (AP-10)'!$C$11*365,""))))))))))))))</f>
        <v/>
      </c>
      <c r="N6" s="132"/>
      <c r="O6" s="132"/>
      <c r="P6" s="119" t="str">
        <f t="shared" ref="P6:P35" si="0">IF(B6="","",IF(M6="",N6/K6,M6/K6))</f>
        <v/>
      </c>
      <c r="Q6" s="119" t="str">
        <f>IF(O6="","",O6/K6)</f>
        <v/>
      </c>
      <c r="R6" s="14" t="str">
        <f>IF(B6="","",IF(B6="Unpaved Haul Road",10,8.2))</f>
        <v/>
      </c>
      <c r="S6" s="14" t="str">
        <f t="shared" ref="S6:S35" si="1">IF(B6="","",100)</f>
        <v/>
      </c>
      <c r="T6" s="139"/>
      <c r="U6" s="130" t="str">
        <f t="shared" ref="U6:U35" si="2">IF(B6="","",IF(B6="unpaved haul road",(0.15*((R6/12)^0.9)*((J6/3)^0.45)*((365-S6)/365)),((0.00054*(R6^0.91)*(J6^1.02))*(1-S6/1460))))</f>
        <v/>
      </c>
      <c r="V6" s="130" t="str">
        <f t="shared" ref="V6:V35" si="3">IF(B6="","",U6*P6*L6/8760)</f>
        <v/>
      </c>
      <c r="W6" s="130" t="str">
        <f t="shared" ref="W6:W35" si="4">IF(B6="","",IF(T6="yes",V6*((100-40)/100),""))</f>
        <v/>
      </c>
      <c r="X6" s="130" t="str">
        <f t="shared" ref="X6:X36" si="5">IF(B6="","",IF(W6="",V6*8760/2000,W6*8760/2000))</f>
        <v/>
      </c>
      <c r="Y6" s="130" t="str">
        <f t="shared" ref="Y6:Y35" si="6">IF(B6="","",IF(T6="yes",Q6*L6*U6/2000*((100-40)/100),Q6*L6*U6/2000))</f>
        <v/>
      </c>
      <c r="Z6" s="130" t="str">
        <f t="shared" ref="Z6:Z35" si="7">IF(B6="","",IF(B6="unpaved haul road",(1.5*((R6/12)^0.9)*((J6/3)^0.45)*((365-S6)/365)),((0.0022*(R6^0.91)*(J6^1.02))*(1-S6/1460))))</f>
        <v/>
      </c>
      <c r="AA6" s="130" t="str">
        <f t="shared" ref="AA6:AA35" si="8">IF(B6="","",Z6*P6*L6/8760)</f>
        <v/>
      </c>
      <c r="AB6" s="130" t="str">
        <f t="shared" ref="AB6:AB35" si="9">IF(B6="","",IF(T6="yes",AA6*((100-40)/100),""))</f>
        <v/>
      </c>
      <c r="AC6" s="130" t="str">
        <f t="shared" ref="AC6:AC36" si="10">IF(B6="","",IF(AB6="",AA6*8760/2000,AB6*8760/2000))</f>
        <v/>
      </c>
      <c r="AD6" s="130" t="str">
        <f t="shared" ref="AD6:AD35" si="11">IF(B6="","",IF(T6="yes",Q6*L6*Z6/2000*((100-40)/100),Q6*L6*Z6/2000))</f>
        <v/>
      </c>
      <c r="AE6" s="6" t="str">
        <f t="shared" ref="AE6:AE15" si="12">IF(B6="unpaved haul road","x","")</f>
        <v/>
      </c>
      <c r="AF6" s="141" t="s">
        <v>109</v>
      </c>
      <c r="AG6" s="141"/>
      <c r="AH6" s="141" t="s">
        <v>16</v>
      </c>
      <c r="AI6" s="141"/>
      <c r="AM6" s="245" t="s">
        <v>109</v>
      </c>
      <c r="AN6" s="7"/>
      <c r="AO6" s="245" t="s">
        <v>16</v>
      </c>
    </row>
    <row r="7" spans="1:41" x14ac:dyDescent="0.25">
      <c r="A7" s="6" t="s">
        <v>32</v>
      </c>
      <c r="B7" s="66"/>
      <c r="C7" s="66"/>
      <c r="D7" s="14"/>
      <c r="E7" s="14"/>
      <c r="F7" s="14"/>
      <c r="G7" s="132"/>
      <c r="H7" s="132"/>
      <c r="I7" s="14"/>
      <c r="J7" s="130" t="str">
        <f t="shared" ref="J7:J35" si="13">IF(G7="","",(G7*(I7/100)+H7*(1-(I7/100))))</f>
        <v/>
      </c>
      <c r="K7" s="130" t="str">
        <f t="shared" ref="K7:K35" si="14">IF(G7="","",H7-G7)</f>
        <v/>
      </c>
      <c r="L7" s="132"/>
      <c r="M7" s="119" t="str">
        <f>IF(E7="","",IF(E7="AP-1",IF('Asphalt Plant (AP-1)'!$C$10&gt;0,'Asphalt Plant (AP-1)'!$C$10,IF('Asphalt Plant (AP-1)'!$C$11&gt;0,'Asphalt Plant (AP-1)'!$C$11*365,"")),IF(E7="AP-2",IF(E7="AP-2",IF('Asphalt Plant (AP-2)'!$C$10&gt;0,'Asphalt Plant (AP-2)'!$C$10,IF('Asphalt Plant (AP-2)'!$C$11&gt;0,'Asphalt Plant (AP-2)'!$C$11*365,""))),IF(E7="AP-3",IF(E7="AP-3",IF('Asphalt Plant (AP-3)'!$C$10&gt;0,'Asphalt Plant (AP-3)'!$C$10,IF('Asphalt Plant (AP-3)'!$C$11&gt;0,'Asphalt Plant (AP-3)'!$C$11*365,""))),IF(E7="AP-4",IF(E7="AP-4",IF('Asphalt Plant (AP-4)'!$C$10&gt;0,'Asphalt Plant (AP-4)'!$C$10,IF('Asphalt Plant (AP-4)'!$C$11&gt;0,'Asphalt Plant (AP-4)'!$C$11*365,""))),IF(E7="AP-5",IF(E7="AP-5",IF('Asphalt Plant (AP-5)'!$C$10&gt;0,'Asphalt Plant (AP-5)'!$C$10,IF('Asphalt Plant (AP-5)'!$C$11&gt;0,'Asphalt Plant (AP-5)'!$C$11*365,""))),IF(E7="AP-6",IF(E7="AP-6",IF('Asphalt Plant (AP-6)'!$C$10&gt;0,'Asphalt Plant (AP-6)'!$C$10,IF('Asphalt Plant (AP-6)'!$C$11&gt;0,'Asphalt Plant (AP-6)'!$C$11*365,""))),IF(E7="AP-7",IF(E7="AP-7",IF('Asphalt Plant (AP-7)'!$C$10&gt;0,'Asphalt Plant (AP-7)'!$C$10,IF('Asphalt Plant (AP-7)'!$C$11&gt;0,'Asphalt Plant (AP-7)'!$C$11*365,""))),IF(E7="AP-8",IF(E7="AP-8",IF('Asphalt Plant (AP-8)'!$C$10&gt;0,'Asphalt Plant (AP-8)'!$C$10,IF('Asphalt Plant (AP-8)'!$C$11&gt;0,'Asphalt Plant (AP-8)'!$C$11*365,""))),IF(E7="AP-9",IF(E7="AP-9",IF('Asphalt Plant (AP-9)'!$C$10&gt;0,'Asphalt Plant (AP-9)'!$C$10,IF('Asphalt Plant (AP-9)'!$C$11&gt;0,'Asphalt Plant (AP-9)'!$C$11*365,""))),IF(E7="AP-10",IF(E7="AP-10",IF('Asphalt Plant (AP-10)'!$C$10&gt;0,'Asphalt Plant (AP-10)'!$C$10,IF('Asphalt Plant (AP-10)'!$C$11&gt;0,'Asphalt Plant (AP-10)'!$C$11*365,""))))))))))))))</f>
        <v/>
      </c>
      <c r="N7" s="132"/>
      <c r="O7" s="132"/>
      <c r="P7" s="119" t="str">
        <f t="shared" si="0"/>
        <v/>
      </c>
      <c r="Q7" s="119" t="str">
        <f t="shared" ref="Q7:Q35" si="15">IF(O7="","",O7/K7)</f>
        <v/>
      </c>
      <c r="R7" s="14" t="str">
        <f t="shared" ref="R7:R35" si="16">IF(B7="","",IF(B7="Unpaved Haul Road",10,8.2))</f>
        <v/>
      </c>
      <c r="S7" s="14" t="str">
        <f t="shared" si="1"/>
        <v/>
      </c>
      <c r="T7" s="139"/>
      <c r="U7" s="130" t="str">
        <f t="shared" si="2"/>
        <v/>
      </c>
      <c r="V7" s="130" t="str">
        <f t="shared" si="3"/>
        <v/>
      </c>
      <c r="W7" s="130" t="str">
        <f t="shared" si="4"/>
        <v/>
      </c>
      <c r="X7" s="130" t="str">
        <f t="shared" si="5"/>
        <v/>
      </c>
      <c r="Y7" s="130" t="str">
        <f t="shared" si="6"/>
        <v/>
      </c>
      <c r="Z7" s="130" t="str">
        <f t="shared" si="7"/>
        <v/>
      </c>
      <c r="AA7" s="130" t="str">
        <f t="shared" si="8"/>
        <v/>
      </c>
      <c r="AB7" s="130" t="str">
        <f t="shared" si="9"/>
        <v/>
      </c>
      <c r="AC7" s="130" t="str">
        <f t="shared" si="10"/>
        <v/>
      </c>
      <c r="AD7" s="130" t="str">
        <f t="shared" si="11"/>
        <v/>
      </c>
      <c r="AE7" s="6" t="str">
        <f t="shared" si="12"/>
        <v/>
      </c>
      <c r="AF7" s="141" t="s">
        <v>135</v>
      </c>
      <c r="AG7" s="141" t="s">
        <v>136</v>
      </c>
      <c r="AH7" s="141" t="s">
        <v>135</v>
      </c>
      <c r="AI7" s="141" t="s">
        <v>136</v>
      </c>
      <c r="AL7" s="118" t="s">
        <v>157</v>
      </c>
      <c r="AM7" s="118" t="s">
        <v>158</v>
      </c>
      <c r="AN7" s="118" t="s">
        <v>157</v>
      </c>
      <c r="AO7" s="118" t="s">
        <v>158</v>
      </c>
    </row>
    <row r="8" spans="1:41" x14ac:dyDescent="0.25">
      <c r="B8" s="66"/>
      <c r="C8" s="66"/>
      <c r="D8" s="14"/>
      <c r="E8" s="14"/>
      <c r="F8" s="14"/>
      <c r="G8" s="132"/>
      <c r="H8" s="132"/>
      <c r="I8" s="14"/>
      <c r="J8" s="130" t="str">
        <f t="shared" si="13"/>
        <v/>
      </c>
      <c r="K8" s="130" t="str">
        <f t="shared" si="14"/>
        <v/>
      </c>
      <c r="L8" s="132"/>
      <c r="M8" s="119" t="str">
        <f>IF(E8="","",IF(E8="AP-1",IF('Asphalt Plant (AP-1)'!$C$10&gt;0,'Asphalt Plant (AP-1)'!$C$10,IF('Asphalt Plant (AP-1)'!$C$11&gt;0,'Asphalt Plant (AP-1)'!$C$11*365,"")),IF(E8="AP-2",IF(E8="AP-2",IF('Asphalt Plant (AP-2)'!$C$10&gt;0,'Asphalt Plant (AP-2)'!$C$10,IF('Asphalt Plant (AP-2)'!$C$11&gt;0,'Asphalt Plant (AP-2)'!$C$11*365,""))),IF(E8="AP-3",IF(E8="AP-3",IF('Asphalt Plant (AP-3)'!$C$10&gt;0,'Asphalt Plant (AP-3)'!$C$10,IF('Asphalt Plant (AP-3)'!$C$11&gt;0,'Asphalt Plant (AP-3)'!$C$11*365,""))),IF(E8="AP-4",IF(E8="AP-4",IF('Asphalt Plant (AP-4)'!$C$10&gt;0,'Asphalt Plant (AP-4)'!$C$10,IF('Asphalt Plant (AP-4)'!$C$11&gt;0,'Asphalt Plant (AP-4)'!$C$11*365,""))),IF(E8="AP-5",IF(E8="AP-5",IF('Asphalt Plant (AP-5)'!$C$10&gt;0,'Asphalt Plant (AP-5)'!$C$10,IF('Asphalt Plant (AP-5)'!$C$11&gt;0,'Asphalt Plant (AP-5)'!$C$11*365,""))),IF(E8="AP-6",IF(E8="AP-6",IF('Asphalt Plant (AP-6)'!$C$10&gt;0,'Asphalt Plant (AP-6)'!$C$10,IF('Asphalt Plant (AP-6)'!$C$11&gt;0,'Asphalt Plant (AP-6)'!$C$11*365,""))),IF(E8="AP-7",IF(E8="AP-7",IF('Asphalt Plant (AP-7)'!$C$10&gt;0,'Asphalt Plant (AP-7)'!$C$10,IF('Asphalt Plant (AP-7)'!$C$11&gt;0,'Asphalt Plant (AP-7)'!$C$11*365,""))),IF(E8="AP-8",IF(E8="AP-8",IF('Asphalt Plant (AP-8)'!$C$10&gt;0,'Asphalt Plant (AP-8)'!$C$10,IF('Asphalt Plant (AP-8)'!$C$11&gt;0,'Asphalt Plant (AP-8)'!$C$11*365,""))),IF(E8="AP-9",IF(E8="AP-9",IF('Asphalt Plant (AP-9)'!$C$10&gt;0,'Asphalt Plant (AP-9)'!$C$10,IF('Asphalt Plant (AP-9)'!$C$11&gt;0,'Asphalt Plant (AP-9)'!$C$11*365,""))),IF(E8="AP-10",IF(E8="AP-10",IF('Asphalt Plant (AP-10)'!$C$10&gt;0,'Asphalt Plant (AP-10)'!$C$10,IF('Asphalt Plant (AP-10)'!$C$11&gt;0,'Asphalt Plant (AP-10)'!$C$11*365,""))))))))))))))</f>
        <v/>
      </c>
      <c r="N8" s="132"/>
      <c r="O8" s="132"/>
      <c r="P8" s="119" t="str">
        <f t="shared" si="0"/>
        <v/>
      </c>
      <c r="Q8" s="119" t="str">
        <f t="shared" si="15"/>
        <v/>
      </c>
      <c r="R8" s="14" t="str">
        <f t="shared" si="16"/>
        <v/>
      </c>
      <c r="S8" s="14" t="str">
        <f t="shared" si="1"/>
        <v/>
      </c>
      <c r="T8" s="139"/>
      <c r="U8" s="130" t="str">
        <f t="shared" si="2"/>
        <v/>
      </c>
      <c r="V8" s="130" t="str">
        <f t="shared" si="3"/>
        <v/>
      </c>
      <c r="W8" s="130" t="str">
        <f t="shared" si="4"/>
        <v/>
      </c>
      <c r="X8" s="130" t="str">
        <f t="shared" si="5"/>
        <v/>
      </c>
      <c r="Y8" s="130" t="str">
        <f t="shared" si="6"/>
        <v/>
      </c>
      <c r="Z8" s="130" t="str">
        <f t="shared" si="7"/>
        <v/>
      </c>
      <c r="AA8" s="130" t="str">
        <f t="shared" si="8"/>
        <v/>
      </c>
      <c r="AB8" s="130" t="str">
        <f t="shared" si="9"/>
        <v/>
      </c>
      <c r="AC8" s="130" t="str">
        <f t="shared" si="10"/>
        <v/>
      </c>
      <c r="AD8" s="130" t="str">
        <f t="shared" si="11"/>
        <v/>
      </c>
      <c r="AE8" s="6" t="str">
        <f t="shared" si="12"/>
        <v/>
      </c>
      <c r="AF8" s="142">
        <f t="array" ref="AF8">IF(AND('Asphalt Plant (AP-1)'!$C$11="",'Asphalt Plant (AP-1)'!$C$10=""),SUMIFS($X$6:$X$35,$E$6:$E$35,"AP-1",$AE$6:$AE$35,"x"),MAX(IF($E$6:$E$35="AP-1",IF($AE$6:$AE$35="x",$X$6:$X$35))))</f>
        <v>0</v>
      </c>
      <c r="AG8" s="142">
        <f t="array" ref="AG8">IF(AND('Asphalt Plant (AP-1)'!$C$11="",'Asphalt Plant (AP-1)'!$C$10=""),SUMIFS($X$6:$X$35,$E$6:$E$35,"AP-1",AE6:AE35,""),MAX(IF($E$6:$E$35="AP-1",IF($AE$6:$AE$35="",$X$6:$X$35))))</f>
        <v>0</v>
      </c>
      <c r="AH8" s="142">
        <f t="array" ref="AH8">IF(AND('Asphalt Plant (AP-1)'!$C$11="",'Asphalt Plant (AP-1)'!$C$10=""),SUMIFS($AC$6:$AC$35,$E$6:$E$35,"AP-1",$AE$6:$AE$35,"x"),MAX(IF($E$6:$E$35="AP-1",IF($AE$6:$AE$35="x",$AC$6:$AC$35))))</f>
        <v>0</v>
      </c>
      <c r="AI8" s="142">
        <f t="array" ref="AI8">IF(AND('Asphalt Plant (AP-1)'!$C$11="",'Asphalt Plant (AP-1)'!$C$10=""),SUMIFS($AC$6:$AC$35,$E$6:$E$35,"AP-1",$AE$6:$AE$35,""),MAX(IF($E$6:$E$35="AP-1",IF($AE$6:$AE$35="",$AC$6:$AC$35))))</f>
        <v>0</v>
      </c>
      <c r="AK8" s="118" t="s">
        <v>259</v>
      </c>
      <c r="AL8" s="130">
        <f t="array" ref="AL8">IF(AND('Asphalt Plant (AP-1)'!$C$11="",'Asphalt Plant (AP-1)'!$C$10=""),SUMIF($E$6:$E$35,"AP-1",$X$6:$X$35),MAX(IF($E$6:$E$35="AP-1",$X$6:$X$35)))</f>
        <v>0</v>
      </c>
      <c r="AM8" s="130">
        <f>SUMIF($E$6:$E$35,"AP-1",$Y$6:$Y$35)</f>
        <v>0</v>
      </c>
      <c r="AN8" s="130">
        <f t="array" ref="AN8">IF(AND('Asphalt Plant (AP-1)'!$C$11="",'Asphalt Plant (AP-1)'!$C$10=""),SUMIF($E$6:$E$35,"AP-1",$AC$6:$AC$35),MAX(IF($E$6:$E$35="AP-1",$AC$6:$AC$35)))</f>
        <v>0</v>
      </c>
      <c r="AO8" s="130">
        <f ca="1">SUMIF($E$6:$E435,"AP-1",$AD$6:$AD$35)</f>
        <v>0</v>
      </c>
    </row>
    <row r="9" spans="1:41" x14ac:dyDescent="0.25">
      <c r="A9" s="6" t="s">
        <v>124</v>
      </c>
      <c r="B9" s="66"/>
      <c r="C9" s="66"/>
      <c r="D9" s="14"/>
      <c r="E9" s="14"/>
      <c r="F9" s="14"/>
      <c r="G9" s="132"/>
      <c r="H9" s="132"/>
      <c r="I9" s="14"/>
      <c r="J9" s="130" t="str">
        <f t="shared" si="13"/>
        <v/>
      </c>
      <c r="K9" s="130" t="str">
        <f t="shared" si="14"/>
        <v/>
      </c>
      <c r="L9" s="132"/>
      <c r="M9" s="119" t="str">
        <f>IF(E9="","",IF(E9="AP-1",IF('Asphalt Plant (AP-1)'!$C$10&gt;0,'Asphalt Plant (AP-1)'!$C$10,IF('Asphalt Plant (AP-1)'!$C$11&gt;0,'Asphalt Plant (AP-1)'!$C$11*365,"")),IF(E9="AP-2",IF(E9="AP-2",IF('Asphalt Plant (AP-2)'!$C$10&gt;0,'Asphalt Plant (AP-2)'!$C$10,IF('Asphalt Plant (AP-2)'!$C$11&gt;0,'Asphalt Plant (AP-2)'!$C$11*365,""))),IF(E9="AP-3",IF(E9="AP-3",IF('Asphalt Plant (AP-3)'!$C$10&gt;0,'Asphalt Plant (AP-3)'!$C$10,IF('Asphalt Plant (AP-3)'!$C$11&gt;0,'Asphalt Plant (AP-3)'!$C$11*365,""))),IF(E9="AP-4",IF(E9="AP-4",IF('Asphalt Plant (AP-4)'!$C$10&gt;0,'Asphalt Plant (AP-4)'!$C$10,IF('Asphalt Plant (AP-4)'!$C$11&gt;0,'Asphalt Plant (AP-4)'!$C$11*365,""))),IF(E9="AP-5",IF(E9="AP-5",IF('Asphalt Plant (AP-5)'!$C$10&gt;0,'Asphalt Plant (AP-5)'!$C$10,IF('Asphalt Plant (AP-5)'!$C$11&gt;0,'Asphalt Plant (AP-5)'!$C$11*365,""))),IF(E9="AP-6",IF(E9="AP-6",IF('Asphalt Plant (AP-6)'!$C$10&gt;0,'Asphalt Plant (AP-6)'!$C$10,IF('Asphalt Plant (AP-6)'!$C$11&gt;0,'Asphalt Plant (AP-6)'!$C$11*365,""))),IF(E9="AP-7",IF(E9="AP-7",IF('Asphalt Plant (AP-7)'!$C$10&gt;0,'Asphalt Plant (AP-7)'!$C$10,IF('Asphalt Plant (AP-7)'!$C$11&gt;0,'Asphalt Plant (AP-7)'!$C$11*365,""))),IF(E9="AP-8",IF(E9="AP-8",IF('Asphalt Plant (AP-8)'!$C$10&gt;0,'Asphalt Plant (AP-8)'!$C$10,IF('Asphalt Plant (AP-8)'!$C$11&gt;0,'Asphalt Plant (AP-8)'!$C$11*365,""))),IF(E9="AP-9",IF(E9="AP-9",IF('Asphalt Plant (AP-9)'!$C$10&gt;0,'Asphalt Plant (AP-9)'!$C$10,IF('Asphalt Plant (AP-9)'!$C$11&gt;0,'Asphalt Plant (AP-9)'!$C$11*365,""))),IF(E9="AP-10",IF(E9="AP-10",IF('Asphalt Plant (AP-10)'!$C$10&gt;0,'Asphalt Plant (AP-10)'!$C$10,IF('Asphalt Plant (AP-10)'!$C$11&gt;0,'Asphalt Plant (AP-10)'!$C$11*365,""))))))))))))))</f>
        <v/>
      </c>
      <c r="N9" s="132"/>
      <c r="O9" s="132"/>
      <c r="P9" s="119" t="str">
        <f t="shared" si="0"/>
        <v/>
      </c>
      <c r="Q9" s="119" t="str">
        <f t="shared" si="15"/>
        <v/>
      </c>
      <c r="R9" s="14" t="str">
        <f t="shared" si="16"/>
        <v/>
      </c>
      <c r="S9" s="14" t="str">
        <f t="shared" si="1"/>
        <v/>
      </c>
      <c r="T9" s="139"/>
      <c r="U9" s="130" t="str">
        <f t="shared" si="2"/>
        <v/>
      </c>
      <c r="V9" s="130" t="str">
        <f t="shared" si="3"/>
        <v/>
      </c>
      <c r="W9" s="130" t="str">
        <f t="shared" si="4"/>
        <v/>
      </c>
      <c r="X9" s="130" t="str">
        <f t="shared" si="5"/>
        <v/>
      </c>
      <c r="Y9" s="130" t="str">
        <f t="shared" si="6"/>
        <v/>
      </c>
      <c r="Z9" s="130" t="str">
        <f t="shared" si="7"/>
        <v/>
      </c>
      <c r="AA9" s="130" t="str">
        <f t="shared" si="8"/>
        <v/>
      </c>
      <c r="AB9" s="130" t="str">
        <f t="shared" si="9"/>
        <v/>
      </c>
      <c r="AC9" s="130" t="str">
        <f t="shared" si="10"/>
        <v/>
      </c>
      <c r="AD9" s="130" t="str">
        <f t="shared" si="11"/>
        <v/>
      </c>
      <c r="AE9" s="6" t="str">
        <f t="shared" si="12"/>
        <v/>
      </c>
      <c r="AF9" s="142">
        <f>IF(AND('Asphalt Plant (AP-2)'!$C$11="",'Asphalt Plant (AP-2)'!$C$10=""),SUMIFS($X$6:$X$35,$E$6:$E$35,"AP-2",$AE$6:$AE$35,"x"),MAX(IF($E$6:$E$35="AP-2",IF($AE$6:$AE$35="x",$X$6:$X$35))))</f>
        <v>0</v>
      </c>
      <c r="AG9" s="142">
        <f t="array" ref="AG9">IF(AND('Asphalt Plant (AP-2)'!$C$11="",'Asphalt Plant (AP-2)'!$C$10=""),SUMIFS($X$6:$X$35,$E$6:$E$35,"AP-2",AE7:AE36,""),MAX(IF($E$6:$E$35="AP-2",IF($AE$6:$AE$35="",$X$6:$X$35))))</f>
        <v>0</v>
      </c>
      <c r="AH9" s="142">
        <f t="array" ref="AH9">IF(AND('Asphalt Plant (AP-2)'!$C$11="",'Asphalt Plant (AP-2)'!$C$10=""),SUMIFS($AC$6:$AC$35,$E$6:$E$35,"AP-2",$AE$6:$AE$35,"x"),MAX(IF($E$6:$E$35="AP-2",IF($AE$6:$AE$35="x",$AC$6:$AC$35))))</f>
        <v>0</v>
      </c>
      <c r="AI9" s="142">
        <f t="array" ref="AI9">IF(AND('Asphalt Plant (AP-2)'!$C$11="",'Asphalt Plant (AP-2)'!$C$10=""),SUMIFS($AC$6:$AC$35,$E$6:$E$35,"AP-2",$AE$6:$AE$35,""),MAX(IF($E$6:$E$35="AP-2",IF($AE$6:$AE$35="",$AC$6:$AC$35))))</f>
        <v>0</v>
      </c>
      <c r="AK9" s="118" t="s">
        <v>260</v>
      </c>
      <c r="AL9" s="130">
        <f t="array" ref="AL9">IF(AND('Asphalt Plant (AP-2)'!$C$11="",'Asphalt Plant (AP-2)'!$C$10=""),SUMIF($E$6:$E$35,"AP-2",$X$6:$X$35),MAX(IF($E$6:$E$35="AP-2",$X$6:$X$35)))</f>
        <v>0</v>
      </c>
      <c r="AM9" s="130">
        <f>SUMIF($E$6:$E$35,"AP-2",$Y$6:$Y$35)</f>
        <v>0</v>
      </c>
      <c r="AN9" s="130">
        <f t="array" ref="AN9">IF(AND('Asphalt Plant (AP-2)'!$C$11="",'Asphalt Plant (AP-2)'!$C$10=""),SUMIF($E$6:$E$35,"AP-2",$AC$6:$AC$35),MAX(IF($E$6:$E$35="AP-2",$AC$6:$AC$35)))</f>
        <v>0</v>
      </c>
      <c r="AO9" s="130">
        <f ca="1">SUMIF($E$6:$E436,"AP-2",$AD$6:$AD$35)</f>
        <v>0</v>
      </c>
    </row>
    <row r="10" spans="1:41" x14ac:dyDescent="0.25">
      <c r="A10" s="6" t="s">
        <v>125</v>
      </c>
      <c r="B10" s="66"/>
      <c r="C10" s="66"/>
      <c r="D10" s="14"/>
      <c r="E10" s="14"/>
      <c r="F10" s="14"/>
      <c r="G10" s="132"/>
      <c r="H10" s="132"/>
      <c r="I10" s="14"/>
      <c r="J10" s="130" t="str">
        <f t="shared" si="13"/>
        <v/>
      </c>
      <c r="K10" s="130" t="str">
        <f t="shared" si="14"/>
        <v/>
      </c>
      <c r="L10" s="132"/>
      <c r="M10" s="119" t="str">
        <f>IF(E10="","",IF(E10="AP-1",IF('Asphalt Plant (AP-1)'!$C$10&gt;0,'Asphalt Plant (AP-1)'!$C$10,IF('Asphalt Plant (AP-1)'!$C$11&gt;0,'Asphalt Plant (AP-1)'!$C$11*365,"")),IF(E10="AP-2",IF(E10="AP-2",IF('Asphalt Plant (AP-2)'!$C$10&gt;0,'Asphalt Plant (AP-2)'!$C$10,IF('Asphalt Plant (AP-2)'!$C$11&gt;0,'Asphalt Plant (AP-2)'!$C$11*365,""))),IF(E10="AP-3",IF(E10="AP-3",IF('Asphalt Plant (AP-3)'!$C$10&gt;0,'Asphalt Plant (AP-3)'!$C$10,IF('Asphalt Plant (AP-3)'!$C$11&gt;0,'Asphalt Plant (AP-3)'!$C$11*365,""))),IF(E10="AP-4",IF(E10="AP-4",IF('Asphalt Plant (AP-4)'!$C$10&gt;0,'Asphalt Plant (AP-4)'!$C$10,IF('Asphalt Plant (AP-4)'!$C$11&gt;0,'Asphalt Plant (AP-4)'!$C$11*365,""))),IF(E10="AP-5",IF(E10="AP-5",IF('Asphalt Plant (AP-5)'!$C$10&gt;0,'Asphalt Plant (AP-5)'!$C$10,IF('Asphalt Plant (AP-5)'!$C$11&gt;0,'Asphalt Plant (AP-5)'!$C$11*365,""))),IF(E10="AP-6",IF(E10="AP-6",IF('Asphalt Plant (AP-6)'!$C$10&gt;0,'Asphalt Plant (AP-6)'!$C$10,IF('Asphalt Plant (AP-6)'!$C$11&gt;0,'Asphalt Plant (AP-6)'!$C$11*365,""))),IF(E10="AP-7",IF(E10="AP-7",IF('Asphalt Plant (AP-7)'!$C$10&gt;0,'Asphalt Plant (AP-7)'!$C$10,IF('Asphalt Plant (AP-7)'!$C$11&gt;0,'Asphalt Plant (AP-7)'!$C$11*365,""))),IF(E10="AP-8",IF(E10="AP-8",IF('Asphalt Plant (AP-8)'!$C$10&gt;0,'Asphalt Plant (AP-8)'!$C$10,IF('Asphalt Plant (AP-8)'!$C$11&gt;0,'Asphalt Plant (AP-8)'!$C$11*365,""))),IF(E10="AP-9",IF(E10="AP-9",IF('Asphalt Plant (AP-9)'!$C$10&gt;0,'Asphalt Plant (AP-9)'!$C$10,IF('Asphalt Plant (AP-9)'!$C$11&gt;0,'Asphalt Plant (AP-9)'!$C$11*365,""))),IF(E10="AP-10",IF(E10="AP-10",IF('Asphalt Plant (AP-10)'!$C$10&gt;0,'Asphalt Plant (AP-10)'!$C$10,IF('Asphalt Plant (AP-10)'!$C$11&gt;0,'Asphalt Plant (AP-10)'!$C$11*365,""))))))))))))))</f>
        <v/>
      </c>
      <c r="N10" s="132"/>
      <c r="O10" s="132"/>
      <c r="P10" s="119" t="str">
        <f t="shared" si="0"/>
        <v/>
      </c>
      <c r="Q10" s="119" t="str">
        <f t="shared" si="15"/>
        <v/>
      </c>
      <c r="R10" s="14" t="str">
        <f t="shared" si="16"/>
        <v/>
      </c>
      <c r="S10" s="14" t="str">
        <f t="shared" si="1"/>
        <v/>
      </c>
      <c r="T10" s="139"/>
      <c r="U10" s="130" t="str">
        <f t="shared" si="2"/>
        <v/>
      </c>
      <c r="V10" s="130" t="str">
        <f t="shared" si="3"/>
        <v/>
      </c>
      <c r="W10" s="130" t="str">
        <f t="shared" si="4"/>
        <v/>
      </c>
      <c r="X10" s="130" t="str">
        <f t="shared" si="5"/>
        <v/>
      </c>
      <c r="Y10" s="130" t="str">
        <f t="shared" si="6"/>
        <v/>
      </c>
      <c r="Z10" s="130" t="str">
        <f t="shared" si="7"/>
        <v/>
      </c>
      <c r="AA10" s="130" t="str">
        <f t="shared" si="8"/>
        <v/>
      </c>
      <c r="AB10" s="130" t="str">
        <f t="shared" si="9"/>
        <v/>
      </c>
      <c r="AC10" s="130" t="str">
        <f t="shared" si="10"/>
        <v/>
      </c>
      <c r="AD10" s="130" t="str">
        <f t="shared" si="11"/>
        <v/>
      </c>
      <c r="AE10" s="6" t="str">
        <f t="shared" si="12"/>
        <v/>
      </c>
      <c r="AF10" s="142">
        <f>IF(AND('Asphalt Plant (AP-3)'!$C$11="",'Asphalt Plant (AP-3)'!$C$10=""),SUMIFS($X$6:$X$35,$E$6:$E$35,"AP-3",$AE$6:$AE$35,"x"),MAX(IF($E$6:$E$35="AP-3",IF($AE$6:$AE$35="x",$X$6:$X$35))))</f>
        <v>0</v>
      </c>
      <c r="AG10" s="142">
        <f t="array" ref="AG10">IF(AND('Asphalt Plant (AP-3)'!$C$11="",'Asphalt Plant (AP-3)'!$C$10=""),SUMIFS($X$6:$X$35,$E$6:$E$35,"AP-3",AE8:AE37,""),MAX(IF($E$6:$E$35="AP-3",IF($AE$6:$AE$35="",$X$6:$X$35))))</f>
        <v>0</v>
      </c>
      <c r="AH10" s="142">
        <f t="array" ref="AH10">IF(AND('Asphalt Plant (AP-3)'!$C$11="",'Asphalt Plant (AP-3)'!$C$10=""),SUMIFS($AC$6:$AC$35,$E$6:$E$35,"AP-3",$AE$6:$AE$35,"x"),MAX(IF($E$6:$E$35="AP-3",IF($AE$6:$AE$35="x",$AC$6:$AC$35))))</f>
        <v>0</v>
      </c>
      <c r="AI10" s="142">
        <f t="array" ref="AI10">IF(AND('Asphalt Plant (AP-3)'!$C$11="",'Asphalt Plant (AP-3)'!$C$10=""),SUMIFS($AC$6:$AC$35,$E$6:$E$35,"AP-3",$AE$6:$AE$35,""),MAX(IF($E$6:$E$35="AP-3",IF($AE$6:$AE$35="",$AC$6:$AC$35))))</f>
        <v>0</v>
      </c>
      <c r="AK10" s="118" t="s">
        <v>261</v>
      </c>
      <c r="AL10" s="130">
        <f t="array" ref="AL10">IF(AND('Asphalt Plant (AP-3)'!$C$11="",'Asphalt Plant (AP-3)'!$C$10=""),SUMIF($E$6:$E$35,"AP-3",$X$6:$X$35),MAX(IF($E$6:$E$35="AP-3",$X$6:$X$35)))</f>
        <v>0</v>
      </c>
      <c r="AM10" s="130">
        <f>SUMIF($E$6:$E$35,"AP-3",$Y$6:$Y$35)</f>
        <v>0</v>
      </c>
      <c r="AN10" s="130">
        <f t="array" ref="AN10">IF(AND('Asphalt Plant (AP-3)'!$C$11="",'Asphalt Plant (AP-3)'!$C$10=""),SUMIF($E$6:$E$35,"AP-3",$AC$6:$AC$35),MAX(IF($E$6:$E$35="AP-3",$AC$6:$AC$35)))</f>
        <v>0</v>
      </c>
      <c r="AO10" s="130">
        <f ca="1">SUMIF($E$6:$E437,"AP-3",$AD$6:$AD$35)</f>
        <v>0</v>
      </c>
    </row>
    <row r="11" spans="1:41" x14ac:dyDescent="0.25">
      <c r="B11" s="66"/>
      <c r="C11" s="66"/>
      <c r="D11" s="14"/>
      <c r="E11" s="14"/>
      <c r="F11" s="14"/>
      <c r="G11" s="132"/>
      <c r="H11" s="132"/>
      <c r="I11" s="14"/>
      <c r="J11" s="130" t="str">
        <f t="shared" si="13"/>
        <v/>
      </c>
      <c r="K11" s="130" t="str">
        <f t="shared" si="14"/>
        <v/>
      </c>
      <c r="L11" s="132"/>
      <c r="M11" s="119" t="str">
        <f>IF(E11="","",IF(E11="AP-1",IF('Asphalt Plant (AP-1)'!$C$10&gt;0,'Asphalt Plant (AP-1)'!$C$10,IF('Asphalt Plant (AP-1)'!$C$11&gt;0,'Asphalt Plant (AP-1)'!$C$11*365,"")),IF(E11="AP-2",IF(E11="AP-2",IF('Asphalt Plant (AP-2)'!$C$10&gt;0,'Asphalt Plant (AP-2)'!$C$10,IF('Asphalt Plant (AP-2)'!$C$11&gt;0,'Asphalt Plant (AP-2)'!$C$11*365,""))),IF(E11="AP-3",IF(E11="AP-3",IF('Asphalt Plant (AP-3)'!$C$10&gt;0,'Asphalt Plant (AP-3)'!$C$10,IF('Asphalt Plant (AP-3)'!$C$11&gt;0,'Asphalt Plant (AP-3)'!$C$11*365,""))),IF(E11="AP-4",IF(E11="AP-4",IF('Asphalt Plant (AP-4)'!$C$10&gt;0,'Asphalt Plant (AP-4)'!$C$10,IF('Asphalt Plant (AP-4)'!$C$11&gt;0,'Asphalt Plant (AP-4)'!$C$11*365,""))),IF(E11="AP-5",IF(E11="AP-5",IF('Asphalt Plant (AP-5)'!$C$10&gt;0,'Asphalt Plant (AP-5)'!$C$10,IF('Asphalt Plant (AP-5)'!$C$11&gt;0,'Asphalt Plant (AP-5)'!$C$11*365,""))),IF(E11="AP-6",IF(E11="AP-6",IF('Asphalt Plant (AP-6)'!$C$10&gt;0,'Asphalt Plant (AP-6)'!$C$10,IF('Asphalt Plant (AP-6)'!$C$11&gt;0,'Asphalt Plant (AP-6)'!$C$11*365,""))),IF(E11="AP-7",IF(E11="AP-7",IF('Asphalt Plant (AP-7)'!$C$10&gt;0,'Asphalt Plant (AP-7)'!$C$10,IF('Asphalt Plant (AP-7)'!$C$11&gt;0,'Asphalt Plant (AP-7)'!$C$11*365,""))),IF(E11="AP-8",IF(E11="AP-8",IF('Asphalt Plant (AP-8)'!$C$10&gt;0,'Asphalt Plant (AP-8)'!$C$10,IF('Asphalt Plant (AP-8)'!$C$11&gt;0,'Asphalt Plant (AP-8)'!$C$11*365,""))),IF(E11="AP-9",IF(E11="AP-9",IF('Asphalt Plant (AP-9)'!$C$10&gt;0,'Asphalt Plant (AP-9)'!$C$10,IF('Asphalt Plant (AP-9)'!$C$11&gt;0,'Asphalt Plant (AP-9)'!$C$11*365,""))),IF(E11="AP-10",IF(E11="AP-10",IF('Asphalt Plant (AP-10)'!$C$10&gt;0,'Asphalt Plant (AP-10)'!$C$10,IF('Asphalt Plant (AP-10)'!$C$11&gt;0,'Asphalt Plant (AP-10)'!$C$11*365,""))))))))))))))</f>
        <v/>
      </c>
      <c r="N11" s="132"/>
      <c r="O11" s="132"/>
      <c r="P11" s="119" t="str">
        <f t="shared" si="0"/>
        <v/>
      </c>
      <c r="Q11" s="119" t="str">
        <f t="shared" si="15"/>
        <v/>
      </c>
      <c r="R11" s="14" t="str">
        <f t="shared" si="16"/>
        <v/>
      </c>
      <c r="S11" s="14" t="str">
        <f t="shared" si="1"/>
        <v/>
      </c>
      <c r="T11" s="139"/>
      <c r="U11" s="130" t="str">
        <f t="shared" si="2"/>
        <v/>
      </c>
      <c r="V11" s="130" t="str">
        <f t="shared" si="3"/>
        <v/>
      </c>
      <c r="W11" s="130" t="str">
        <f t="shared" si="4"/>
        <v/>
      </c>
      <c r="X11" s="130" t="str">
        <f t="shared" si="5"/>
        <v/>
      </c>
      <c r="Y11" s="130" t="str">
        <f t="shared" si="6"/>
        <v/>
      </c>
      <c r="Z11" s="130" t="str">
        <f t="shared" si="7"/>
        <v/>
      </c>
      <c r="AA11" s="130" t="str">
        <f t="shared" si="8"/>
        <v/>
      </c>
      <c r="AB11" s="130" t="str">
        <f t="shared" si="9"/>
        <v/>
      </c>
      <c r="AC11" s="130" t="str">
        <f t="shared" si="10"/>
        <v/>
      </c>
      <c r="AD11" s="130" t="str">
        <f t="shared" si="11"/>
        <v/>
      </c>
      <c r="AE11" s="6" t="str">
        <f t="shared" si="12"/>
        <v/>
      </c>
      <c r="AF11" s="142">
        <f t="array" ref="AF11">IF(AND('Asphalt Plant (AP-4)'!$C$11="",'Asphalt Plant (AP-4)'!$C$10=""),SUMIFS($X$6:$X$35,$E$6:$E$35,"AP-4",$AE$6:$AE$35,"x"),MAX(IF($E$6:$E$35="AP-4",IF($AE$6:$AE$35="x",$X$6:$X$35))))</f>
        <v>0</v>
      </c>
      <c r="AG11" s="142">
        <f t="array" ref="AG11">IF(AND('Asphalt Plant (AP-4)'!$C$11="",'Asphalt Plant (AP-4)'!$C$10=""),SUMIFS($X$6:$X$35,$E$6:$E$35,"AP-4",AE9:AE38,""),MAX(IF($E$6:$E$35="AP-4",IF($AE$6:$AE$35="",$X$6:$X$35))))</f>
        <v>0</v>
      </c>
      <c r="AH11" s="142">
        <f t="array" ref="AH11">IF(AND('Asphalt Plant (AP-4)'!$C$11="",'Asphalt Plant (AP-4)'!$C$10=""),SUMIFS($AC$6:$AC$35,$E$6:$E$35,"AP-4",$AE$6:$AE$35,"x"),MAX(IF($E$6:$E$35="AP-4",IF($AE$6:$AE$35="x",$AC$6:$AC$35))))</f>
        <v>0</v>
      </c>
      <c r="AI11" s="142">
        <f t="array" ref="AI11">IF(AND('Asphalt Plant (AP-4)'!$C$11="",'Asphalt Plant (AP-4)'!$C$10=""),SUMIFS($AC$6:$AC$35,$E$6:$E$35,"AP-4",$AE$6:$AE$35,""),MAX(IF($E$6:$E$35="AP-4",IF($AE$6:$AE$35="",$AC$6:$AC$35))))</f>
        <v>0</v>
      </c>
      <c r="AK11" s="118" t="s">
        <v>262</v>
      </c>
      <c r="AL11" s="130">
        <f t="array" ref="AL11">IF(AND('Asphalt Plant (AP-4)'!$C$11="",'Asphalt Plant (AP-4)'!$C$10=""),SUMIF($E$6:$E$35,"AP-4",$X$6:$X$35),MAX(IF($E$6:$E$35="AP-4",$X$6:$X$35)))</f>
        <v>0</v>
      </c>
      <c r="AM11" s="130">
        <f>SUMIF($E$6:$E$35,"AP-4",$Y$6:$Y$35)</f>
        <v>0</v>
      </c>
      <c r="AN11" s="130">
        <f t="array" ref="AN11">IF(AND('Asphalt Plant (AP-4)'!$C$11="",'Asphalt Plant (AP-4)'!$C$10=""),SUMIF($E$6:$E$35,"AP-4",$AC$6:$AC$35),MAX(IF($E$6:$E$35="AP-4",$AC$6:$AC$35)))</f>
        <v>0</v>
      </c>
      <c r="AO11" s="130">
        <f ca="1">SUMIF($E$6:$E438,"AP-4",$AD$6:$AD$35)</f>
        <v>0</v>
      </c>
    </row>
    <row r="12" spans="1:41" x14ac:dyDescent="0.25">
      <c r="A12" s="6" t="str">
        <f>IF('Facility Information'!$C$21&gt;0,"AP-1","")</f>
        <v/>
      </c>
      <c r="B12" s="66"/>
      <c r="C12" s="66"/>
      <c r="D12" s="14"/>
      <c r="E12" s="14"/>
      <c r="F12" s="14"/>
      <c r="G12" s="132"/>
      <c r="H12" s="132"/>
      <c r="I12" s="14"/>
      <c r="J12" s="130" t="str">
        <f t="shared" si="13"/>
        <v/>
      </c>
      <c r="K12" s="130" t="str">
        <f t="shared" si="14"/>
        <v/>
      </c>
      <c r="L12" s="132"/>
      <c r="M12" s="119" t="str">
        <f>IF(E12="","",IF(E12="AP-1",IF('Asphalt Plant (AP-1)'!$C$10&gt;0,'Asphalt Plant (AP-1)'!$C$10,IF('Asphalt Plant (AP-1)'!$C$11&gt;0,'Asphalt Plant (AP-1)'!$C$11*365,"")),IF(E12="AP-2",IF(E12="AP-2",IF('Asphalt Plant (AP-2)'!$C$10&gt;0,'Asphalt Plant (AP-2)'!$C$10,IF('Asphalt Plant (AP-2)'!$C$11&gt;0,'Asphalt Plant (AP-2)'!$C$11*365,""))),IF(E12="AP-3",IF(E12="AP-3",IF('Asphalt Plant (AP-3)'!$C$10&gt;0,'Asphalt Plant (AP-3)'!$C$10,IF('Asphalt Plant (AP-3)'!$C$11&gt;0,'Asphalt Plant (AP-3)'!$C$11*365,""))),IF(E12="AP-4",IF(E12="AP-4",IF('Asphalt Plant (AP-4)'!$C$10&gt;0,'Asphalt Plant (AP-4)'!$C$10,IF('Asphalt Plant (AP-4)'!$C$11&gt;0,'Asphalt Plant (AP-4)'!$C$11*365,""))),IF(E12="AP-5",IF(E12="AP-5",IF('Asphalt Plant (AP-5)'!$C$10&gt;0,'Asphalt Plant (AP-5)'!$C$10,IF('Asphalt Plant (AP-5)'!$C$11&gt;0,'Asphalt Plant (AP-5)'!$C$11*365,""))),IF(E12="AP-6",IF(E12="AP-6",IF('Asphalt Plant (AP-6)'!$C$10&gt;0,'Asphalt Plant (AP-6)'!$C$10,IF('Asphalt Plant (AP-6)'!$C$11&gt;0,'Asphalt Plant (AP-6)'!$C$11*365,""))),IF(E12="AP-7",IF(E12="AP-7",IF('Asphalt Plant (AP-7)'!$C$10&gt;0,'Asphalt Plant (AP-7)'!$C$10,IF('Asphalt Plant (AP-7)'!$C$11&gt;0,'Asphalt Plant (AP-7)'!$C$11*365,""))),IF(E12="AP-8",IF(E12="AP-8",IF('Asphalt Plant (AP-8)'!$C$10&gt;0,'Asphalt Plant (AP-8)'!$C$10,IF('Asphalt Plant (AP-8)'!$C$11&gt;0,'Asphalt Plant (AP-8)'!$C$11*365,""))),IF(E12="AP-9",IF(E12="AP-9",IF('Asphalt Plant (AP-9)'!$C$10&gt;0,'Asphalt Plant (AP-9)'!$C$10,IF('Asphalt Plant (AP-9)'!$C$11&gt;0,'Asphalt Plant (AP-9)'!$C$11*365,""))),IF(E12="AP-10",IF(E12="AP-10",IF('Asphalt Plant (AP-10)'!$C$10&gt;0,'Asphalt Plant (AP-10)'!$C$10,IF('Asphalt Plant (AP-10)'!$C$11&gt;0,'Asphalt Plant (AP-10)'!$C$11*365,""))))))))))))))</f>
        <v/>
      </c>
      <c r="N12" s="132"/>
      <c r="O12" s="132"/>
      <c r="P12" s="119" t="str">
        <f t="shared" si="0"/>
        <v/>
      </c>
      <c r="Q12" s="119" t="str">
        <f t="shared" si="15"/>
        <v/>
      </c>
      <c r="R12" s="14" t="str">
        <f t="shared" si="16"/>
        <v/>
      </c>
      <c r="S12" s="14" t="str">
        <f t="shared" si="1"/>
        <v/>
      </c>
      <c r="T12" s="139"/>
      <c r="U12" s="130" t="str">
        <f t="shared" si="2"/>
        <v/>
      </c>
      <c r="V12" s="130" t="str">
        <f t="shared" si="3"/>
        <v/>
      </c>
      <c r="W12" s="130" t="str">
        <f t="shared" si="4"/>
        <v/>
      </c>
      <c r="X12" s="130" t="str">
        <f t="shared" si="5"/>
        <v/>
      </c>
      <c r="Y12" s="130" t="str">
        <f t="shared" si="6"/>
        <v/>
      </c>
      <c r="Z12" s="130" t="str">
        <f t="shared" si="7"/>
        <v/>
      </c>
      <c r="AA12" s="130" t="str">
        <f t="shared" si="8"/>
        <v/>
      </c>
      <c r="AB12" s="130" t="str">
        <f t="shared" si="9"/>
        <v/>
      </c>
      <c r="AC12" s="130" t="str">
        <f t="shared" si="10"/>
        <v/>
      </c>
      <c r="AD12" s="130" t="str">
        <f t="shared" si="11"/>
        <v/>
      </c>
      <c r="AE12" s="6" t="str">
        <f t="shared" si="12"/>
        <v/>
      </c>
      <c r="AF12" s="142">
        <f t="array" ref="AF12">IF(AND('Asphalt Plant (AP-5)'!$C$11="",'Asphalt Plant (AP-5)'!$C$10=""),SUMIFS($X$6:$X$35,$E$6:$E$35,"AP-5",$AE$6:$AE$35,"x"),MAX(IF($E$6:$E$35="AP-5",IF($AE$6:$AE$35="x",$X$6:$X$35))))</f>
        <v>0</v>
      </c>
      <c r="AG12" s="142">
        <f t="array" ref="AG12">IF(AND('Asphalt Plant (AP-5)'!$C$11="",'Asphalt Plant (AP-5)'!$C$10=""),SUMIFS($X$6:$X$35,$E$6:$E$35,"AP-5",AE10:AE39,""),MAX(IF($E$6:$E$35="AP-5",IF($AE$6:$AE$35="",$X$6:$X$35))))</f>
        <v>0</v>
      </c>
      <c r="AH12" s="142">
        <f t="array" ref="AH12">IF(AND('Asphalt Plant (AP-5)'!$C$11="",'Asphalt Plant (AP-5)'!$C$10=""),SUMIFS($AC$6:$AC$35,$E$6:$E$35,"AP-5",$AE$6:$AE$35,"x"),MAX(IF($E$6:$E$35="AP-5",IF($AE$6:$AE$35="x",$AC$6:$AC$35))))</f>
        <v>0</v>
      </c>
      <c r="AI12" s="142">
        <f t="array" ref="AI12">IF(AND('Asphalt Plant (AP-5)'!$C$11="",'Asphalt Plant (AP-5)'!$C$10=""),SUMIFS($AC$6:$AC$35,$E$6:$E$35,"AP-5",$AE$6:$AE$35,""),MAX(IF($E$6:$E$35="AP-5",IF($AE$6:$AE$35="",$AC$6:$AC$35))))</f>
        <v>0</v>
      </c>
      <c r="AK12" s="118" t="s">
        <v>263</v>
      </c>
      <c r="AL12" s="130">
        <f t="array" ref="AL12">IF(AND('Asphalt Plant (AP-5)'!$C$11="",'Asphalt Plant (AP-5)'!$C$10=""),SUMIF($E$6:$E$35,"AP-5",$X$6:$X$35),MAX(IF($E$6:$E$35="AP-5",$X$6:$X$35)))</f>
        <v>0</v>
      </c>
      <c r="AM12" s="130">
        <f>SUMIF($E$6:$E$35,"AP-5",$Y$6:$Y$35)</f>
        <v>0</v>
      </c>
      <c r="AN12" s="130">
        <f t="array" ref="AN12">IF(AND('Asphalt Plant (AP-5)'!$C$11="",'Asphalt Plant (AP-5)'!$C$10=""),SUMIF($E$6:$E$35,"AP-5",$AC$6:$AC$35),MAX(IF($E$6:$E$35="AP-5",$AC$6:$AC$35)))</f>
        <v>0</v>
      </c>
      <c r="AO12" s="130">
        <f ca="1">SUMIF($E$6:$E439,"AP-5",$AD$6:$AD$35)</f>
        <v>0</v>
      </c>
    </row>
    <row r="13" spans="1:41" x14ac:dyDescent="0.25">
      <c r="A13" s="6" t="str">
        <f>IF('Facility Information'!$C$21&gt;1,"AP-2","")</f>
        <v/>
      </c>
      <c r="B13" s="66"/>
      <c r="C13" s="66"/>
      <c r="D13" s="14"/>
      <c r="E13" s="14"/>
      <c r="F13" s="14"/>
      <c r="G13" s="132"/>
      <c r="H13" s="132"/>
      <c r="I13" s="14"/>
      <c r="J13" s="130" t="str">
        <f t="shared" si="13"/>
        <v/>
      </c>
      <c r="K13" s="130" t="str">
        <f t="shared" si="14"/>
        <v/>
      </c>
      <c r="L13" s="132"/>
      <c r="M13" s="119" t="str">
        <f>IF(E13="","",IF(E13="AP-1",IF('Asphalt Plant (AP-1)'!$C$10&gt;0,'Asphalt Plant (AP-1)'!$C$10,IF('Asphalt Plant (AP-1)'!$C$11&gt;0,'Asphalt Plant (AP-1)'!$C$11*365,"")),IF(E13="AP-2",IF(E13="AP-2",IF('Asphalt Plant (AP-2)'!$C$10&gt;0,'Asphalt Plant (AP-2)'!$C$10,IF('Asphalt Plant (AP-2)'!$C$11&gt;0,'Asphalt Plant (AP-2)'!$C$11*365,""))),IF(E13="AP-3",IF(E13="AP-3",IF('Asphalt Plant (AP-3)'!$C$10&gt;0,'Asphalt Plant (AP-3)'!$C$10,IF('Asphalt Plant (AP-3)'!$C$11&gt;0,'Asphalt Plant (AP-3)'!$C$11*365,""))),IF(E13="AP-4",IF(E13="AP-4",IF('Asphalt Plant (AP-4)'!$C$10&gt;0,'Asphalt Plant (AP-4)'!$C$10,IF('Asphalt Plant (AP-4)'!$C$11&gt;0,'Asphalt Plant (AP-4)'!$C$11*365,""))),IF(E13="AP-5",IF(E13="AP-5",IF('Asphalt Plant (AP-5)'!$C$10&gt;0,'Asphalt Plant (AP-5)'!$C$10,IF('Asphalt Plant (AP-5)'!$C$11&gt;0,'Asphalt Plant (AP-5)'!$C$11*365,""))),IF(E13="AP-6",IF(E13="AP-6",IF('Asphalt Plant (AP-6)'!$C$10&gt;0,'Asphalt Plant (AP-6)'!$C$10,IF('Asphalt Plant (AP-6)'!$C$11&gt;0,'Asphalt Plant (AP-6)'!$C$11*365,""))),IF(E13="AP-7",IF(E13="AP-7",IF('Asphalt Plant (AP-7)'!$C$10&gt;0,'Asphalt Plant (AP-7)'!$C$10,IF('Asphalt Plant (AP-7)'!$C$11&gt;0,'Asphalt Plant (AP-7)'!$C$11*365,""))),IF(E13="AP-8",IF(E13="AP-8",IF('Asphalt Plant (AP-8)'!$C$10&gt;0,'Asphalt Plant (AP-8)'!$C$10,IF('Asphalt Plant (AP-8)'!$C$11&gt;0,'Asphalt Plant (AP-8)'!$C$11*365,""))),IF(E13="AP-9",IF(E13="AP-9",IF('Asphalt Plant (AP-9)'!$C$10&gt;0,'Asphalt Plant (AP-9)'!$C$10,IF('Asphalt Plant (AP-9)'!$C$11&gt;0,'Asphalt Plant (AP-9)'!$C$11*365,""))),IF(E13="AP-10",IF(E13="AP-10",IF('Asphalt Plant (AP-10)'!$C$10&gt;0,'Asphalt Plant (AP-10)'!$C$10,IF('Asphalt Plant (AP-10)'!$C$11&gt;0,'Asphalt Plant (AP-10)'!$C$11*365,""))))))))))))))</f>
        <v/>
      </c>
      <c r="N13" s="132"/>
      <c r="O13" s="132"/>
      <c r="P13" s="119" t="str">
        <f t="shared" si="0"/>
        <v/>
      </c>
      <c r="Q13" s="119" t="str">
        <f t="shared" si="15"/>
        <v/>
      </c>
      <c r="R13" s="14" t="str">
        <f t="shared" si="16"/>
        <v/>
      </c>
      <c r="S13" s="14" t="str">
        <f t="shared" si="1"/>
        <v/>
      </c>
      <c r="T13" s="139"/>
      <c r="U13" s="130" t="str">
        <f t="shared" si="2"/>
        <v/>
      </c>
      <c r="V13" s="130" t="str">
        <f t="shared" si="3"/>
        <v/>
      </c>
      <c r="W13" s="130" t="str">
        <f t="shared" si="4"/>
        <v/>
      </c>
      <c r="X13" s="130" t="str">
        <f t="shared" si="5"/>
        <v/>
      </c>
      <c r="Y13" s="130" t="str">
        <f t="shared" si="6"/>
        <v/>
      </c>
      <c r="Z13" s="130" t="str">
        <f t="shared" si="7"/>
        <v/>
      </c>
      <c r="AA13" s="130" t="str">
        <f t="shared" si="8"/>
        <v/>
      </c>
      <c r="AB13" s="130" t="str">
        <f t="shared" si="9"/>
        <v/>
      </c>
      <c r="AC13" s="130" t="str">
        <f t="shared" si="10"/>
        <v/>
      </c>
      <c r="AD13" s="130" t="str">
        <f t="shared" si="11"/>
        <v/>
      </c>
      <c r="AE13" s="6" t="str">
        <f t="shared" si="12"/>
        <v/>
      </c>
      <c r="AF13" s="142">
        <f t="array" ref="AF13">IF(AND('Asphalt Plant (AP-6)'!$C$11="",'Asphalt Plant (AP-6)'!$C$10=""),SUMIFS($X$6:$X$35,$E$6:$E$35,"AP-6",$AE$6:$AE$35,"x"),MAX(IF($E$6:$E$35="AP-6",IF($AE$6:$AE$35="x",$X$6:$X$35))))</f>
        <v>0</v>
      </c>
      <c r="AG13" s="142">
        <f t="array" ref="AG13">IF(AND('Asphalt Plant (AP-6)'!$C$11="",'Asphalt Plant (AP-6)'!$C$10=""),SUMIFS($X$6:$X$35,$E$6:$E$35,"AP-6",AE11:AE40,""),MAX(IF($E$6:$E$35="AP-6",IF($AE$6:$AE$35="",$X$6:$X$35))))</f>
        <v>0</v>
      </c>
      <c r="AH13" s="142">
        <f t="array" ref="AH13">IF(AND('Asphalt Plant (AP-6)'!$C$11="",'Asphalt Plant (AP-6)'!$C$10=""),SUMIFS($AC$6:$AC$35,$E$6:$E$35,"AP-6",$AE$6:$AE$35,"x"),MAX(IF($E$6:$E$35="AP-6",IF($AE$6:$AE$35="x",$AC$6:$AC$35))))</f>
        <v>0</v>
      </c>
      <c r="AI13" s="142">
        <f t="array" ref="AI13">IF(AND('Asphalt Plant (AP-6)'!$C$11="",'Asphalt Plant (AP-6)'!$C$10=""),SUMIFS($AC$6:$AC$35,$E$6:$E$35,"AP-6",$AE$6:$AE$35,""),MAX(IF($E$6:$E$35="AP-6",IF($AE$6:$AE$35="",$AC$6:$AC$35))))</f>
        <v>0</v>
      </c>
      <c r="AK13" s="118" t="s">
        <v>264</v>
      </c>
      <c r="AL13" s="130">
        <f t="array" ref="AL13">IF(AND('Asphalt Plant (AP-6)'!$C$11="",'Asphalt Plant (AP-6)'!$C$10=""),SUMIF($E$6:$E$35,"AP-6",$X$6:$X$35),MAX(IF($E$6:$E$35="AP-6",$X$6:$X$35)))</f>
        <v>0</v>
      </c>
      <c r="AM13" s="130">
        <f>SUMIF($E$6:$E$35,"AP-6",$Y$6:$Y$35)</f>
        <v>0</v>
      </c>
      <c r="AN13" s="130">
        <f t="array" ref="AN13">IF(AND('Asphalt Plant (AP-6)'!$C$11="",'Asphalt Plant (AP-6)'!$C$10=""),SUMIF($E$6:$E$35,"AP-6",$AC$6:$AC$35),MAX(IF($E$6:$E$35="AP-6",$AC$6:$AC$35)))</f>
        <v>0</v>
      </c>
      <c r="AO13" s="130">
        <f ca="1">SUMIF($E$6:$E440,"AP-6",$AD$6:$AD$35)</f>
        <v>0</v>
      </c>
    </row>
    <row r="14" spans="1:41" x14ac:dyDescent="0.25">
      <c r="A14" s="6" t="str">
        <f>IF('Facility Information'!$C$21&gt;2,"AP-3","")</f>
        <v/>
      </c>
      <c r="B14" s="66"/>
      <c r="C14" s="66"/>
      <c r="D14" s="14"/>
      <c r="E14" s="14"/>
      <c r="F14" s="14"/>
      <c r="G14" s="132"/>
      <c r="H14" s="132"/>
      <c r="I14" s="14"/>
      <c r="J14" s="130" t="str">
        <f t="shared" si="13"/>
        <v/>
      </c>
      <c r="K14" s="130" t="str">
        <f t="shared" si="14"/>
        <v/>
      </c>
      <c r="L14" s="132"/>
      <c r="M14" s="119" t="str">
        <f>IF(E14="","",IF(E14="AP-1",IF('Asphalt Plant (AP-1)'!$C$10&gt;0,'Asphalt Plant (AP-1)'!$C$10,IF('Asphalt Plant (AP-1)'!$C$11&gt;0,'Asphalt Plant (AP-1)'!$C$11*365,"")),IF(E14="AP-2",IF(E14="AP-2",IF('Asphalt Plant (AP-2)'!$C$10&gt;0,'Asphalt Plant (AP-2)'!$C$10,IF('Asphalt Plant (AP-2)'!$C$11&gt;0,'Asphalt Plant (AP-2)'!$C$11*365,""))),IF(E14="AP-3",IF(E14="AP-3",IF('Asphalt Plant (AP-3)'!$C$10&gt;0,'Asphalt Plant (AP-3)'!$C$10,IF('Asphalt Plant (AP-3)'!$C$11&gt;0,'Asphalt Plant (AP-3)'!$C$11*365,""))),IF(E14="AP-4",IF(E14="AP-4",IF('Asphalt Plant (AP-4)'!$C$10&gt;0,'Asphalt Plant (AP-4)'!$C$10,IF('Asphalt Plant (AP-4)'!$C$11&gt;0,'Asphalt Plant (AP-4)'!$C$11*365,""))),IF(E14="AP-5",IF(E14="AP-5",IF('Asphalt Plant (AP-5)'!$C$10&gt;0,'Asphalt Plant (AP-5)'!$C$10,IF('Asphalt Plant (AP-5)'!$C$11&gt;0,'Asphalt Plant (AP-5)'!$C$11*365,""))),IF(E14="AP-6",IF(E14="AP-6",IF('Asphalt Plant (AP-6)'!$C$10&gt;0,'Asphalt Plant (AP-6)'!$C$10,IF('Asphalt Plant (AP-6)'!$C$11&gt;0,'Asphalt Plant (AP-6)'!$C$11*365,""))),IF(E14="AP-7",IF(E14="AP-7",IF('Asphalt Plant (AP-7)'!$C$10&gt;0,'Asphalt Plant (AP-7)'!$C$10,IF('Asphalt Plant (AP-7)'!$C$11&gt;0,'Asphalt Plant (AP-7)'!$C$11*365,""))),IF(E14="AP-8",IF(E14="AP-8",IF('Asphalt Plant (AP-8)'!$C$10&gt;0,'Asphalt Plant (AP-8)'!$C$10,IF('Asphalt Plant (AP-8)'!$C$11&gt;0,'Asphalt Plant (AP-8)'!$C$11*365,""))),IF(E14="AP-9",IF(E14="AP-9",IF('Asphalt Plant (AP-9)'!$C$10&gt;0,'Asphalt Plant (AP-9)'!$C$10,IF('Asphalt Plant (AP-9)'!$C$11&gt;0,'Asphalt Plant (AP-9)'!$C$11*365,""))),IF(E14="AP-10",IF(E14="AP-10",IF('Asphalt Plant (AP-10)'!$C$10&gt;0,'Asphalt Plant (AP-10)'!$C$10,IF('Asphalt Plant (AP-10)'!$C$11&gt;0,'Asphalt Plant (AP-10)'!$C$11*365,""))))))))))))))</f>
        <v/>
      </c>
      <c r="N14" s="132"/>
      <c r="O14" s="132"/>
      <c r="P14" s="119" t="str">
        <f t="shared" si="0"/>
        <v/>
      </c>
      <c r="Q14" s="119" t="str">
        <f t="shared" si="15"/>
        <v/>
      </c>
      <c r="R14" s="14" t="str">
        <f t="shared" si="16"/>
        <v/>
      </c>
      <c r="S14" s="14" t="str">
        <f t="shared" si="1"/>
        <v/>
      </c>
      <c r="T14" s="139"/>
      <c r="U14" s="130" t="str">
        <f t="shared" si="2"/>
        <v/>
      </c>
      <c r="V14" s="130" t="str">
        <f t="shared" si="3"/>
        <v/>
      </c>
      <c r="W14" s="130" t="str">
        <f t="shared" si="4"/>
        <v/>
      </c>
      <c r="X14" s="130" t="str">
        <f t="shared" si="5"/>
        <v/>
      </c>
      <c r="Y14" s="130" t="str">
        <f t="shared" si="6"/>
        <v/>
      </c>
      <c r="Z14" s="130" t="str">
        <f t="shared" si="7"/>
        <v/>
      </c>
      <c r="AA14" s="130" t="str">
        <f t="shared" si="8"/>
        <v/>
      </c>
      <c r="AB14" s="130" t="str">
        <f t="shared" si="9"/>
        <v/>
      </c>
      <c r="AC14" s="130" t="str">
        <f t="shared" si="10"/>
        <v/>
      </c>
      <c r="AD14" s="130" t="str">
        <f t="shared" si="11"/>
        <v/>
      </c>
      <c r="AE14" s="6" t="str">
        <f t="shared" si="12"/>
        <v/>
      </c>
      <c r="AF14" s="142">
        <f t="array" ref="AF14">IF(AND('Asphalt Plant (AP-7)'!$C$11="",'Asphalt Plant (AP-7)'!$C$10=""),SUMIFS($X$6:$X$35,$E$6:$E$35,"AP-7",$AE$6:$AE$35,"x"),MAX(IF($E$6:$E$35="AP-7",IF($AE$6:$AE$35="x",$X$6:$X$35))))</f>
        <v>0</v>
      </c>
      <c r="AG14" s="142">
        <f t="array" ref="AG14">IF(AND('Asphalt Plant (AP-7)'!$C$11="",'Asphalt Plant (AP-7)'!$C$10=""),SUMIFS($X$6:$X$35,$E$6:$E$35,"AP-7",AE12:AE41,""),MAX(IF($E$6:$E$35="AP-7",IF($AE$6:$AE$35="",$X$6:$X$35))))</f>
        <v>0</v>
      </c>
      <c r="AH14" s="142">
        <f t="array" ref="AH14">IF(AND('Asphalt Plant (AP-7)'!$C$11="",'Asphalt Plant (AP-7)'!$C$10=""),SUMIFS($AC$6:$AC$35,$E$6:$E$35,"AP-7",$AE$6:$AE$35,"x"),MAX(IF($E$6:$E$35="AP-7",IF($AE$6:$AE$35="x",$AC$6:$AC$35))))</f>
        <v>0</v>
      </c>
      <c r="AI14" s="142">
        <f t="array" ref="AI14">IF(AND('Asphalt Plant (AP-7)'!$C$11="",'Asphalt Plant (AP-7)'!$C$10=""),SUMIFS($AC$6:$AC$35,$E$6:$E$35,"AP-7",$AE$6:$AE$35,""),MAX(IF($E$6:$E$35="AP-7",IF($AE$6:$AE$35="",$AC$6:$AC$35))))</f>
        <v>0</v>
      </c>
      <c r="AK14" s="118" t="s">
        <v>265</v>
      </c>
      <c r="AL14" s="130">
        <f t="array" ref="AL14">IF(AND('Asphalt Plant (AP-7)'!$C$11="",'Asphalt Plant (AP-7)'!$C$10=""),SUMIF($E$6:$E$35,"AP-7",$X$6:$X$35),MAX(IF($E$6:$E$35="AP-7",$X$6:$X$35)))</f>
        <v>0</v>
      </c>
      <c r="AM14" s="130">
        <f>SUMIF($E$6:$E$35,"AP-7",$Y$6:$Y$35)</f>
        <v>0</v>
      </c>
      <c r="AN14" s="130">
        <f t="array" ref="AN14">IF(AND('Asphalt Plant (AP-7)'!$C$11="",'Asphalt Plant (AP-7)'!$C$10=""),SUMIF($E$6:$E$35,"AP-7",$AC$6:$AC$35),MAX(IF($E$6:$E$35="AP-7",$AC$6:$AC$35)))</f>
        <v>0</v>
      </c>
      <c r="AO14" s="130">
        <f ca="1">SUMIF($E$6:$E441,"AP-7",$AD$6:$AD$35)</f>
        <v>0</v>
      </c>
    </row>
    <row r="15" spans="1:41" x14ac:dyDescent="0.25">
      <c r="A15" s="6" t="str">
        <f>IF('Facility Information'!$C$21&gt;3,"AP-4","")</f>
        <v/>
      </c>
      <c r="B15" s="66"/>
      <c r="C15" s="66"/>
      <c r="D15" s="14"/>
      <c r="E15" s="14"/>
      <c r="F15" s="14"/>
      <c r="G15" s="132"/>
      <c r="H15" s="132"/>
      <c r="I15" s="14"/>
      <c r="J15" s="130" t="str">
        <f t="shared" si="13"/>
        <v/>
      </c>
      <c r="K15" s="130" t="str">
        <f t="shared" si="14"/>
        <v/>
      </c>
      <c r="L15" s="132"/>
      <c r="M15" s="119" t="str">
        <f>IF(E15="","",IF(E15="AP-1",IF('Asphalt Plant (AP-1)'!$C$10&gt;0,'Asphalt Plant (AP-1)'!$C$10,IF('Asphalt Plant (AP-1)'!$C$11&gt;0,'Asphalt Plant (AP-1)'!$C$11*365,"")),IF(E15="AP-2",IF(E15="AP-2",IF('Asphalt Plant (AP-2)'!$C$10&gt;0,'Asphalt Plant (AP-2)'!$C$10,IF('Asphalt Plant (AP-2)'!$C$11&gt;0,'Asphalt Plant (AP-2)'!$C$11*365,""))),IF(E15="AP-3",IF(E15="AP-3",IF('Asphalt Plant (AP-3)'!$C$10&gt;0,'Asphalt Plant (AP-3)'!$C$10,IF('Asphalt Plant (AP-3)'!$C$11&gt;0,'Asphalt Plant (AP-3)'!$C$11*365,""))),IF(E15="AP-4",IF(E15="AP-4",IF('Asphalt Plant (AP-4)'!$C$10&gt;0,'Asphalt Plant (AP-4)'!$C$10,IF('Asphalt Plant (AP-4)'!$C$11&gt;0,'Asphalt Plant (AP-4)'!$C$11*365,""))),IF(E15="AP-5",IF(E15="AP-5",IF('Asphalt Plant (AP-5)'!$C$10&gt;0,'Asphalt Plant (AP-5)'!$C$10,IF('Asphalt Plant (AP-5)'!$C$11&gt;0,'Asphalt Plant (AP-5)'!$C$11*365,""))),IF(E15="AP-6",IF(E15="AP-6",IF('Asphalt Plant (AP-6)'!$C$10&gt;0,'Asphalt Plant (AP-6)'!$C$10,IF('Asphalt Plant (AP-6)'!$C$11&gt;0,'Asphalt Plant (AP-6)'!$C$11*365,""))),IF(E15="AP-7",IF(E15="AP-7",IF('Asphalt Plant (AP-7)'!$C$10&gt;0,'Asphalt Plant (AP-7)'!$C$10,IF('Asphalt Plant (AP-7)'!$C$11&gt;0,'Asphalt Plant (AP-7)'!$C$11*365,""))),IF(E15="AP-8",IF(E15="AP-8",IF('Asphalt Plant (AP-8)'!$C$10&gt;0,'Asphalt Plant (AP-8)'!$C$10,IF('Asphalt Plant (AP-8)'!$C$11&gt;0,'Asphalt Plant (AP-8)'!$C$11*365,""))),IF(E15="AP-9",IF(E15="AP-9",IF('Asphalt Plant (AP-9)'!$C$10&gt;0,'Asphalt Plant (AP-9)'!$C$10,IF('Asphalt Plant (AP-9)'!$C$11&gt;0,'Asphalt Plant (AP-9)'!$C$11*365,""))),IF(E15="AP-10",IF(E15="AP-10",IF('Asphalt Plant (AP-10)'!$C$10&gt;0,'Asphalt Plant (AP-10)'!$C$10,IF('Asphalt Plant (AP-10)'!$C$11&gt;0,'Asphalt Plant (AP-10)'!$C$11*365,""))))))))))))))</f>
        <v/>
      </c>
      <c r="N15" s="132"/>
      <c r="O15" s="132"/>
      <c r="P15" s="119" t="str">
        <f t="shared" si="0"/>
        <v/>
      </c>
      <c r="Q15" s="119" t="str">
        <f t="shared" si="15"/>
        <v/>
      </c>
      <c r="R15" s="14" t="str">
        <f t="shared" si="16"/>
        <v/>
      </c>
      <c r="S15" s="14" t="str">
        <f t="shared" si="1"/>
        <v/>
      </c>
      <c r="T15" s="139"/>
      <c r="U15" s="130" t="str">
        <f t="shared" si="2"/>
        <v/>
      </c>
      <c r="V15" s="130" t="str">
        <f t="shared" si="3"/>
        <v/>
      </c>
      <c r="W15" s="130" t="str">
        <f t="shared" si="4"/>
        <v/>
      </c>
      <c r="X15" s="130" t="str">
        <f t="shared" si="5"/>
        <v/>
      </c>
      <c r="Y15" s="130" t="str">
        <f t="shared" si="6"/>
        <v/>
      </c>
      <c r="Z15" s="130" t="str">
        <f t="shared" si="7"/>
        <v/>
      </c>
      <c r="AA15" s="130" t="str">
        <f t="shared" si="8"/>
        <v/>
      </c>
      <c r="AB15" s="130" t="str">
        <f t="shared" si="9"/>
        <v/>
      </c>
      <c r="AC15" s="130" t="str">
        <f t="shared" si="10"/>
        <v/>
      </c>
      <c r="AD15" s="130" t="str">
        <f t="shared" si="11"/>
        <v/>
      </c>
      <c r="AE15" s="6" t="str">
        <f t="shared" si="12"/>
        <v/>
      </c>
      <c r="AF15" s="142">
        <f t="array" ref="AF15">IF(AND('Asphalt Plant (AP-8)'!$C$11="",'Asphalt Plant (AP-8)'!$C$10=""),SUMIFS($X$6:$X$35,$E$6:$E$35,"AP-8",$AE$6:$AE$35,"x"),MAX(IF($E$6:$E$35="AP-8",IF($AE$6:$AE$35="x",$X$6:$X$35))))</f>
        <v>0</v>
      </c>
      <c r="AG15" s="142">
        <f t="array" ref="AG15">IF(AND('Asphalt Plant (AP-8)'!$C$11="",'Asphalt Plant (AP-8)'!$C$10=""),SUMIFS($X$6:$X$35,$E$6:$E$35,"AP-8",AE13:AE42,""),MAX(IF($E$6:$E$35="AP-8",IF($AE$6:$AE$35="",$X$6:$X$35))))</f>
        <v>0</v>
      </c>
      <c r="AH15" s="142">
        <f t="array" ref="AH15">IF(AND('Asphalt Plant (AP-8)'!$C$11="",'Asphalt Plant (AP-8)'!$C$10=""),SUMIFS($AC$6:$AC$35,$E$6:$E$35,"AP-8",$AE$6:$AE$35,"x"),MAX(IF($E$6:$E$35="AP-8",IF($AE$6:$AE$35="x",$AC$6:$AC$35))))</f>
        <v>0</v>
      </c>
      <c r="AI15" s="142">
        <f t="array" ref="AI15">IF(AND('Asphalt Plant (AP-8)'!$C$11="",'Asphalt Plant (AP-8)'!$C$10=""),SUMIFS($AC$6:$AC$35,$E$6:$E$35,"AP-8",$AE$6:$AE$35,""),MAX(IF($E$6:$E$35="AP-8",IF($AE$6:$AE$35="",$AC$6:$AC$35))))</f>
        <v>0</v>
      </c>
      <c r="AK15" s="118" t="s">
        <v>266</v>
      </c>
      <c r="AL15" s="130">
        <f t="array" ref="AL15">IF(AND('Asphalt Plant (AP-8)'!$C$11="",'Asphalt Plant (AP-8)'!$C$10=""),SUMIF($E$6:$E$35,"AP-8",$X$6:$X$35),MAX(IF($E$6:$E$35="AP-8",$X$6:$X$35)))</f>
        <v>0</v>
      </c>
      <c r="AM15" s="130">
        <f>SUMIF($E$6:$E$35,"AP-8",$Y$6:$Y$35)</f>
        <v>0</v>
      </c>
      <c r="AN15" s="130">
        <f t="array" ref="AN15">IF(AND('Asphalt Plant (AP-8)'!$C$11="",'Asphalt Plant (AP-8)'!$C$10=""),SUMIF($E$6:$E$35,"AP-8",$AC$6:$AC$35),MAX(IF($E$6:$E$35="AP-8",$AC$6:$AC$35)))</f>
        <v>0</v>
      </c>
      <c r="AO15" s="130">
        <f ca="1">SUMIF($E$6:$E442,"AP-8",$AD$6:$AD$35)</f>
        <v>0</v>
      </c>
    </row>
    <row r="16" spans="1:41" x14ac:dyDescent="0.25">
      <c r="A16" s="6" t="str">
        <f>IF('Facility Information'!$C$21&gt;4,"AP-5","")</f>
        <v/>
      </c>
      <c r="B16" s="66"/>
      <c r="C16" s="66"/>
      <c r="D16" s="14"/>
      <c r="E16" s="14"/>
      <c r="F16" s="14"/>
      <c r="G16" s="132"/>
      <c r="H16" s="132"/>
      <c r="I16" s="14"/>
      <c r="J16" s="130" t="str">
        <f t="shared" ref="J16:J25" si="17">IF(G16="","",(G16*(I16/100)+H16*(1-(I16/100))))</f>
        <v/>
      </c>
      <c r="K16" s="130" t="str">
        <f t="shared" ref="K16:K25" si="18">IF(G16="","",H16-G16)</f>
        <v/>
      </c>
      <c r="L16" s="132"/>
      <c r="M16" s="119" t="str">
        <f>IF(E16="","",IF(E16="AP-1",IF('Asphalt Plant (AP-1)'!$C$10&gt;0,'Asphalt Plant (AP-1)'!$C$10,IF('Asphalt Plant (AP-1)'!$C$11&gt;0,'Asphalt Plant (AP-1)'!$C$11*365,"")),IF(E16="AP-2",IF(E16="AP-2",IF('Asphalt Plant (AP-2)'!$C$10&gt;0,'Asphalt Plant (AP-2)'!$C$10,IF('Asphalt Plant (AP-2)'!$C$11&gt;0,'Asphalt Plant (AP-2)'!$C$11*365,""))),IF(E16="AP-3",IF(E16="AP-3",IF('Asphalt Plant (AP-3)'!$C$10&gt;0,'Asphalt Plant (AP-3)'!$C$10,IF('Asphalt Plant (AP-3)'!$C$11&gt;0,'Asphalt Plant (AP-3)'!$C$11*365,""))),IF(E16="AP-4",IF(E16="AP-4",IF('Asphalt Plant (AP-4)'!$C$10&gt;0,'Asphalt Plant (AP-4)'!$C$10,IF('Asphalt Plant (AP-4)'!$C$11&gt;0,'Asphalt Plant (AP-4)'!$C$11*365,""))),IF(E16="AP-5",IF(E16="AP-5",IF('Asphalt Plant (AP-5)'!$C$10&gt;0,'Asphalt Plant (AP-5)'!$C$10,IF('Asphalt Plant (AP-5)'!$C$11&gt;0,'Asphalt Plant (AP-5)'!$C$11*365,""))),IF(E16="AP-6",IF(E16="AP-6",IF('Asphalt Plant (AP-6)'!$C$10&gt;0,'Asphalt Plant (AP-6)'!$C$10,IF('Asphalt Plant (AP-6)'!$C$11&gt;0,'Asphalt Plant (AP-6)'!$C$11*365,""))),IF(E16="AP-7",IF(E16="AP-7",IF('Asphalt Plant (AP-7)'!$C$10&gt;0,'Asphalt Plant (AP-7)'!$C$10,IF('Asphalt Plant (AP-7)'!$C$11&gt;0,'Asphalt Plant (AP-7)'!$C$11*365,""))),IF(E16="AP-8",IF(E16="AP-8",IF('Asphalt Plant (AP-8)'!$C$10&gt;0,'Asphalt Plant (AP-8)'!$C$10,IF('Asphalt Plant (AP-8)'!$C$11&gt;0,'Asphalt Plant (AP-8)'!$C$11*365,""))),IF(E16="AP-9",IF(E16="AP-9",IF('Asphalt Plant (AP-9)'!$C$10&gt;0,'Asphalt Plant (AP-9)'!$C$10,IF('Asphalt Plant (AP-9)'!$C$11&gt;0,'Asphalt Plant (AP-9)'!$C$11*365,""))),IF(E16="AP-10",IF(E16="AP-10",IF('Asphalt Plant (AP-10)'!$C$10&gt;0,'Asphalt Plant (AP-10)'!$C$10,IF('Asphalt Plant (AP-10)'!$C$11&gt;0,'Asphalt Plant (AP-10)'!$C$11*365,""))))))))))))))</f>
        <v/>
      </c>
      <c r="N16" s="132"/>
      <c r="O16" s="132"/>
      <c r="P16" s="119" t="str">
        <f t="shared" si="0"/>
        <v/>
      </c>
      <c r="Q16" s="119" t="str">
        <f t="shared" ref="Q16:Q25" si="19">IF(O16="","",O16/K16)</f>
        <v/>
      </c>
      <c r="R16" s="14" t="str">
        <f t="shared" si="16"/>
        <v/>
      </c>
      <c r="S16" s="14" t="str">
        <f t="shared" si="1"/>
        <v/>
      </c>
      <c r="T16" s="139"/>
      <c r="U16" s="130" t="str">
        <f t="shared" si="2"/>
        <v/>
      </c>
      <c r="V16" s="130" t="str">
        <f t="shared" si="3"/>
        <v/>
      </c>
      <c r="W16" s="130" t="str">
        <f t="shared" si="4"/>
        <v/>
      </c>
      <c r="X16" s="130" t="str">
        <f t="shared" si="5"/>
        <v/>
      </c>
      <c r="Y16" s="130" t="str">
        <f t="shared" si="6"/>
        <v/>
      </c>
      <c r="Z16" s="130" t="str">
        <f t="shared" si="7"/>
        <v/>
      </c>
      <c r="AA16" s="130" t="str">
        <f t="shared" si="8"/>
        <v/>
      </c>
      <c r="AB16" s="130" t="str">
        <f t="shared" si="9"/>
        <v/>
      </c>
      <c r="AC16" s="130" t="str">
        <f t="shared" si="10"/>
        <v/>
      </c>
      <c r="AD16" s="130" t="str">
        <f t="shared" si="11"/>
        <v/>
      </c>
      <c r="AE16" s="6" t="str">
        <f t="shared" ref="AE16:AE25" si="20">IF(B16="unpaved haul road","x","")</f>
        <v/>
      </c>
      <c r="AF16" s="142">
        <f t="array" ref="AF16">IF(AND('Asphalt Plant (AP-9)'!$C$11="",'Asphalt Plant (AP-9)'!$C$10=""),SUMIFS($X$6:$X$35,$E$6:$E$35,"AP-9",$AE$6:$AE$35,"x"),MAX(IF($E$6:$E$35="AP-9",IF($AE$6:$AE$35="x",$X$6:$X$35))))</f>
        <v>0</v>
      </c>
      <c r="AG16" s="142">
        <f t="array" ref="AG16">IF(AND('Asphalt Plant (AP-9)'!$C$11="",'Asphalt Plant (AP-9)'!$C$10=""),SUMIFS($X$6:$X$35,$E$6:$E$35,"AP-9",AE14:AE43,""),MAX(IF($E$6:$E$35="AP-9",IF($AE$6:$AE$35="",$X$6:$X$35))))</f>
        <v>0</v>
      </c>
      <c r="AH16" s="142">
        <f t="array" ref="AH16">IF(AND('Asphalt Plant (AP-9)'!$C$11="",'Asphalt Plant (AP-9)'!$C$10=""),SUMIFS($AC$6:$AC$35,$E$6:$E$35,"AP-9",$AE$6:$AE$35,"x"),MAX(IF($E$6:$E$35="AP-9",IF($AE$6:$AE$35="x",$AC$6:$AC$35))))</f>
        <v>0</v>
      </c>
      <c r="AI16" s="142">
        <f t="array" ref="AI16">IF(AND('Asphalt Plant (AP-9)'!$C$11="",'Asphalt Plant (AP-9)'!$C$10=""),SUMIFS($AC$6:$AC$35,$E$6:$E$35,"AP-9",$AE$6:$AE$35,""),MAX(IF($E$6:$E$35="AP-9",IF($AE$6:$AE$35="",$AC$6:$AC$35))))</f>
        <v>0</v>
      </c>
      <c r="AK16" s="118" t="s">
        <v>267</v>
      </c>
      <c r="AL16" s="130">
        <f t="array" ref="AL16">IF(AND('Asphalt Plant (AP-9)'!$C$11="",'Asphalt Plant (AP-9)'!$C$10=""),SUMIF($E$6:$E$35,"AP-9",$X$6:$X$35),MAX(IF($E$6:$E$35="AP-9",$X$6:$X$35)))</f>
        <v>0</v>
      </c>
      <c r="AM16" s="130">
        <f>SUMIF($E$6:$E$35,"AP-9",$Y$6:$Y$35)</f>
        <v>0</v>
      </c>
      <c r="AN16" s="130">
        <f t="array" ref="AN16">IF(AND('Asphalt Plant (AP-9)'!$C$11="",'Asphalt Plant (AP-9)'!$C$10=""),SUMIF($E$6:$E$35,"AP-9",$AC$6:$AC$35),MAX(IF($E$6:$E$35="AP-9",$AC$6:$AC$35)))</f>
        <v>0</v>
      </c>
      <c r="AO16" s="130">
        <f ca="1">SUMIF($E$6:$E443,"AP-9",$AD$6:$AD$35)</f>
        <v>0</v>
      </c>
    </row>
    <row r="17" spans="1:41" x14ac:dyDescent="0.25">
      <c r="A17" s="6" t="str">
        <f>IF('Facility Information'!$C$21&gt;5,"AP-6","")</f>
        <v/>
      </c>
      <c r="B17" s="66"/>
      <c r="C17" s="66"/>
      <c r="D17" s="14"/>
      <c r="E17" s="14"/>
      <c r="F17" s="14"/>
      <c r="G17" s="132"/>
      <c r="H17" s="132"/>
      <c r="I17" s="14"/>
      <c r="J17" s="130" t="str">
        <f t="shared" si="17"/>
        <v/>
      </c>
      <c r="K17" s="130" t="str">
        <f t="shared" si="18"/>
        <v/>
      </c>
      <c r="L17" s="132"/>
      <c r="M17" s="119" t="str">
        <f>IF(E17="","",IF(E17="AP-1",IF('Asphalt Plant (AP-1)'!$C$10&gt;0,'Asphalt Plant (AP-1)'!$C$10,IF('Asphalt Plant (AP-1)'!$C$11&gt;0,'Asphalt Plant (AP-1)'!$C$11*365,"")),IF(E17="AP-2",IF(E17="AP-2",IF('Asphalt Plant (AP-2)'!$C$10&gt;0,'Asphalt Plant (AP-2)'!$C$10,IF('Asphalt Plant (AP-2)'!$C$11&gt;0,'Asphalt Plant (AP-2)'!$C$11*365,""))),IF(E17="AP-3",IF(E17="AP-3",IF('Asphalt Plant (AP-3)'!$C$10&gt;0,'Asphalt Plant (AP-3)'!$C$10,IF('Asphalt Plant (AP-3)'!$C$11&gt;0,'Asphalt Plant (AP-3)'!$C$11*365,""))),IF(E17="AP-4",IF(E17="AP-4",IF('Asphalt Plant (AP-4)'!$C$10&gt;0,'Asphalt Plant (AP-4)'!$C$10,IF('Asphalt Plant (AP-4)'!$C$11&gt;0,'Asphalt Plant (AP-4)'!$C$11*365,""))),IF(E17="AP-5",IF(E17="AP-5",IF('Asphalt Plant (AP-5)'!$C$10&gt;0,'Asphalt Plant (AP-5)'!$C$10,IF('Asphalt Plant (AP-5)'!$C$11&gt;0,'Asphalt Plant (AP-5)'!$C$11*365,""))),IF(E17="AP-6",IF(E17="AP-6",IF('Asphalt Plant (AP-6)'!$C$10&gt;0,'Asphalt Plant (AP-6)'!$C$10,IF('Asphalt Plant (AP-6)'!$C$11&gt;0,'Asphalt Plant (AP-6)'!$C$11*365,""))),IF(E17="AP-7",IF(E17="AP-7",IF('Asphalt Plant (AP-7)'!$C$10&gt;0,'Asphalt Plant (AP-7)'!$C$10,IF('Asphalt Plant (AP-7)'!$C$11&gt;0,'Asphalt Plant (AP-7)'!$C$11*365,""))),IF(E17="AP-8",IF(E17="AP-8",IF('Asphalt Plant (AP-8)'!$C$10&gt;0,'Asphalt Plant (AP-8)'!$C$10,IF('Asphalt Plant (AP-8)'!$C$11&gt;0,'Asphalt Plant (AP-8)'!$C$11*365,""))),IF(E17="AP-9",IF(E17="AP-9",IF('Asphalt Plant (AP-9)'!$C$10&gt;0,'Asphalt Plant (AP-9)'!$C$10,IF('Asphalt Plant (AP-9)'!$C$11&gt;0,'Asphalt Plant (AP-9)'!$C$11*365,""))),IF(E17="AP-10",IF(E17="AP-10",IF('Asphalt Plant (AP-10)'!$C$10&gt;0,'Asphalt Plant (AP-10)'!$C$10,IF('Asphalt Plant (AP-10)'!$C$11&gt;0,'Asphalt Plant (AP-10)'!$C$11*365,""))))))))))))))</f>
        <v/>
      </c>
      <c r="N17" s="132"/>
      <c r="O17" s="132"/>
      <c r="P17" s="119" t="str">
        <f t="shared" si="0"/>
        <v/>
      </c>
      <c r="Q17" s="119" t="str">
        <f t="shared" si="19"/>
        <v/>
      </c>
      <c r="R17" s="14" t="str">
        <f t="shared" si="16"/>
        <v/>
      </c>
      <c r="S17" s="14" t="str">
        <f t="shared" si="1"/>
        <v/>
      </c>
      <c r="T17" s="139"/>
      <c r="U17" s="130" t="str">
        <f t="shared" si="2"/>
        <v/>
      </c>
      <c r="V17" s="130" t="str">
        <f t="shared" si="3"/>
        <v/>
      </c>
      <c r="W17" s="130" t="str">
        <f t="shared" si="4"/>
        <v/>
      </c>
      <c r="X17" s="130" t="str">
        <f t="shared" si="5"/>
        <v/>
      </c>
      <c r="Y17" s="130" t="str">
        <f t="shared" si="6"/>
        <v/>
      </c>
      <c r="Z17" s="130" t="str">
        <f t="shared" si="7"/>
        <v/>
      </c>
      <c r="AA17" s="130" t="str">
        <f t="shared" si="8"/>
        <v/>
      </c>
      <c r="AB17" s="130" t="str">
        <f t="shared" si="9"/>
        <v/>
      </c>
      <c r="AC17" s="130" t="str">
        <f t="shared" si="10"/>
        <v/>
      </c>
      <c r="AD17" s="130" t="str">
        <f t="shared" si="11"/>
        <v/>
      </c>
      <c r="AE17" s="6" t="str">
        <f t="shared" si="20"/>
        <v/>
      </c>
      <c r="AF17" s="142">
        <f t="array" ref="AF17">IF(AND('Asphalt Plant (AP-10)'!$C$11="",'Asphalt Plant (AP-10)'!$C$10=""),SUMIFS($X$6:$X$35,$E$6:$E$35,"AP-10",$AE$6:$AE$35,"x"),MAX(IF($E$6:$E$35="AP-10",IF($AE$6:$AE$35="x",$X$6:$X$35))))</f>
        <v>0</v>
      </c>
      <c r="AG17" s="142">
        <f t="array" ref="AG17">IF(AND('Asphalt Plant (AP-10)'!$C$11="",'Asphalt Plant (AP-10)'!$C$10=""),SUMIFS($X$6:$X$35,$E$6:$E$35,"AP-10",AE15:AE44,""),MAX(IF($E$6:$E$35="AP-10",IF($AE$6:$AE$35="",$X$6:$X$35))))</f>
        <v>0</v>
      </c>
      <c r="AH17" s="142">
        <f t="array" ref="AH17">IF(AND('Asphalt Plant (AP-10)'!$C$11="",'Asphalt Plant (AP-10)'!$C$10=""),SUMIFS($AC$6:$AC$35,$E$6:$E$35,"AP-10",$AE$6:$AE$35,"x"),MAX(IF($E$6:$E$35="AP-10",IF($AE$6:$AE$35="x",$AC$6:$AC$35))))</f>
        <v>0</v>
      </c>
      <c r="AI17" s="142">
        <f t="array" ref="AI17">IF(AND('Asphalt Plant (AP-10)'!$C$11="",'Asphalt Plant (AP-10)'!$C$10=""),SUMIFS($AC$6:$AC$35,$E$6:$E$35,"AP-10",$AE$6:$AE$35,""),MAX(IF($E$6:$E$35="AP-10",IF($AE$6:$AE$35="",$AC$6:$AC$35))))</f>
        <v>0</v>
      </c>
      <c r="AK17" s="118" t="s">
        <v>268</v>
      </c>
      <c r="AL17" s="130">
        <f t="array" ref="AL17">IF(AND('Asphalt Plant (AP-10)'!$C$11="",'Asphalt Plant (AP-10)'!$C$10=""),SUMIF($E$6:$E$35,"AP-10",$X$6:$X$35),MAX(IF($E$6:$E$35="AP-10",$X$6:$X$35)))</f>
        <v>0</v>
      </c>
      <c r="AM17" s="130">
        <f>SUMIF($E$6:$E$35,"AP-10",$Y$6:$Y$35)</f>
        <v>0</v>
      </c>
      <c r="AN17" s="130">
        <f t="array" ref="AN17">IF(AND('Asphalt Plant (AP-10)'!$C$11="",'Asphalt Plant (AP-10)'!$C$10=""),SUMIF($E$6:$E$35,"AP-10",$AC$6:$AC$35),MAX(IF($E$6:$E$35="AP-10",$AC$6:$AC$35)))</f>
        <v>0</v>
      </c>
      <c r="AO17" s="130">
        <f ca="1">SUMIF($E$6:$E444,"AP-10",$AD$6:$AD$35)</f>
        <v>0</v>
      </c>
    </row>
    <row r="18" spans="1:41" x14ac:dyDescent="0.25">
      <c r="A18" s="6" t="str">
        <f>IF('Facility Information'!$C$21&gt;6,"AP-7","")</f>
        <v/>
      </c>
      <c r="B18" s="66"/>
      <c r="C18" s="66"/>
      <c r="D18" s="14"/>
      <c r="E18" s="14"/>
      <c r="F18" s="14"/>
      <c r="G18" s="132"/>
      <c r="H18" s="132"/>
      <c r="I18" s="14"/>
      <c r="J18" s="130" t="str">
        <f t="shared" si="17"/>
        <v/>
      </c>
      <c r="K18" s="130" t="str">
        <f t="shared" si="18"/>
        <v/>
      </c>
      <c r="L18" s="132"/>
      <c r="M18" s="119" t="str">
        <f>IF(E18="","",IF(E18="AP-1",IF('Asphalt Plant (AP-1)'!$C$10&gt;0,'Asphalt Plant (AP-1)'!$C$10,IF('Asphalt Plant (AP-1)'!$C$11&gt;0,'Asphalt Plant (AP-1)'!$C$11*365,"")),IF(E18="AP-2",IF(E18="AP-2",IF('Asphalt Plant (AP-2)'!$C$10&gt;0,'Asphalt Plant (AP-2)'!$C$10,IF('Asphalt Plant (AP-2)'!$C$11&gt;0,'Asphalt Plant (AP-2)'!$C$11*365,""))),IF(E18="AP-3",IF(E18="AP-3",IF('Asphalt Plant (AP-3)'!$C$10&gt;0,'Asphalt Plant (AP-3)'!$C$10,IF('Asphalt Plant (AP-3)'!$C$11&gt;0,'Asphalt Plant (AP-3)'!$C$11*365,""))),IF(E18="AP-4",IF(E18="AP-4",IF('Asphalt Plant (AP-4)'!$C$10&gt;0,'Asphalt Plant (AP-4)'!$C$10,IF('Asphalt Plant (AP-4)'!$C$11&gt;0,'Asphalt Plant (AP-4)'!$C$11*365,""))),IF(E18="AP-5",IF(E18="AP-5",IF('Asphalt Plant (AP-5)'!$C$10&gt;0,'Asphalt Plant (AP-5)'!$C$10,IF('Asphalt Plant (AP-5)'!$C$11&gt;0,'Asphalt Plant (AP-5)'!$C$11*365,""))),IF(E18="AP-6",IF(E18="AP-6",IF('Asphalt Plant (AP-6)'!$C$10&gt;0,'Asphalt Plant (AP-6)'!$C$10,IF('Asphalt Plant (AP-6)'!$C$11&gt;0,'Asphalt Plant (AP-6)'!$C$11*365,""))),IF(E18="AP-7",IF(E18="AP-7",IF('Asphalt Plant (AP-7)'!$C$10&gt;0,'Asphalt Plant (AP-7)'!$C$10,IF('Asphalt Plant (AP-7)'!$C$11&gt;0,'Asphalt Plant (AP-7)'!$C$11*365,""))),IF(E18="AP-8",IF(E18="AP-8",IF('Asphalt Plant (AP-8)'!$C$10&gt;0,'Asphalt Plant (AP-8)'!$C$10,IF('Asphalt Plant (AP-8)'!$C$11&gt;0,'Asphalt Plant (AP-8)'!$C$11*365,""))),IF(E18="AP-9",IF(E18="AP-9",IF('Asphalt Plant (AP-9)'!$C$10&gt;0,'Asphalt Plant (AP-9)'!$C$10,IF('Asphalt Plant (AP-9)'!$C$11&gt;0,'Asphalt Plant (AP-9)'!$C$11*365,""))),IF(E18="AP-10",IF(E18="AP-10",IF('Asphalt Plant (AP-10)'!$C$10&gt;0,'Asphalt Plant (AP-10)'!$C$10,IF('Asphalt Plant (AP-10)'!$C$11&gt;0,'Asphalt Plant (AP-10)'!$C$11*365,""))))))))))))))</f>
        <v/>
      </c>
      <c r="N18" s="132"/>
      <c r="O18" s="132"/>
      <c r="P18" s="119" t="str">
        <f t="shared" si="0"/>
        <v/>
      </c>
      <c r="Q18" s="119" t="str">
        <f t="shared" si="19"/>
        <v/>
      </c>
      <c r="R18" s="14" t="str">
        <f t="shared" si="16"/>
        <v/>
      </c>
      <c r="S18" s="14" t="str">
        <f t="shared" si="1"/>
        <v/>
      </c>
      <c r="T18" s="139"/>
      <c r="U18" s="130" t="str">
        <f t="shared" si="2"/>
        <v/>
      </c>
      <c r="V18" s="130" t="str">
        <f t="shared" si="3"/>
        <v/>
      </c>
      <c r="W18" s="130" t="str">
        <f t="shared" si="4"/>
        <v/>
      </c>
      <c r="X18" s="130" t="str">
        <f t="shared" si="5"/>
        <v/>
      </c>
      <c r="Y18" s="130" t="str">
        <f t="shared" si="6"/>
        <v/>
      </c>
      <c r="Z18" s="130" t="str">
        <f t="shared" si="7"/>
        <v/>
      </c>
      <c r="AA18" s="130" t="str">
        <f t="shared" si="8"/>
        <v/>
      </c>
      <c r="AB18" s="130" t="str">
        <f t="shared" si="9"/>
        <v/>
      </c>
      <c r="AC18" s="130" t="str">
        <f t="shared" si="10"/>
        <v/>
      </c>
      <c r="AD18" s="130" t="str">
        <f t="shared" si="11"/>
        <v/>
      </c>
      <c r="AE18" s="6" t="str">
        <f t="shared" si="20"/>
        <v/>
      </c>
      <c r="AL18" s="120"/>
      <c r="AM18" s="120"/>
      <c r="AN18" s="120"/>
      <c r="AO18" s="120"/>
    </row>
    <row r="19" spans="1:41" x14ac:dyDescent="0.25">
      <c r="A19" s="6" t="str">
        <f>IF('Facility Information'!$C$21&gt;7,"AP-8","")</f>
        <v/>
      </c>
      <c r="B19" s="66"/>
      <c r="C19" s="66"/>
      <c r="D19" s="14"/>
      <c r="E19" s="14"/>
      <c r="F19" s="14"/>
      <c r="G19" s="132"/>
      <c r="H19" s="132"/>
      <c r="I19" s="14"/>
      <c r="J19" s="130" t="str">
        <f t="shared" si="17"/>
        <v/>
      </c>
      <c r="K19" s="130" t="str">
        <f t="shared" si="18"/>
        <v/>
      </c>
      <c r="L19" s="132"/>
      <c r="M19" s="119" t="str">
        <f>IF(E19="","",IF(E19="AP-1",IF('Asphalt Plant (AP-1)'!$C$10&gt;0,'Asphalt Plant (AP-1)'!$C$10,IF('Asphalt Plant (AP-1)'!$C$11&gt;0,'Asphalt Plant (AP-1)'!$C$11*365,"")),IF(E19="AP-2",IF(E19="AP-2",IF('Asphalt Plant (AP-2)'!$C$10&gt;0,'Asphalt Plant (AP-2)'!$C$10,IF('Asphalt Plant (AP-2)'!$C$11&gt;0,'Asphalt Plant (AP-2)'!$C$11*365,""))),IF(E19="AP-3",IF(E19="AP-3",IF('Asphalt Plant (AP-3)'!$C$10&gt;0,'Asphalt Plant (AP-3)'!$C$10,IF('Asphalt Plant (AP-3)'!$C$11&gt;0,'Asphalt Plant (AP-3)'!$C$11*365,""))),IF(E19="AP-4",IF(E19="AP-4",IF('Asphalt Plant (AP-4)'!$C$10&gt;0,'Asphalt Plant (AP-4)'!$C$10,IF('Asphalt Plant (AP-4)'!$C$11&gt;0,'Asphalt Plant (AP-4)'!$C$11*365,""))),IF(E19="AP-5",IF(E19="AP-5",IF('Asphalt Plant (AP-5)'!$C$10&gt;0,'Asphalt Plant (AP-5)'!$C$10,IF('Asphalt Plant (AP-5)'!$C$11&gt;0,'Asphalt Plant (AP-5)'!$C$11*365,""))),IF(E19="AP-6",IF(E19="AP-6",IF('Asphalt Plant (AP-6)'!$C$10&gt;0,'Asphalt Plant (AP-6)'!$C$10,IF('Asphalt Plant (AP-6)'!$C$11&gt;0,'Asphalt Plant (AP-6)'!$C$11*365,""))),IF(E19="AP-7",IF(E19="AP-7",IF('Asphalt Plant (AP-7)'!$C$10&gt;0,'Asphalt Plant (AP-7)'!$C$10,IF('Asphalt Plant (AP-7)'!$C$11&gt;0,'Asphalt Plant (AP-7)'!$C$11*365,""))),IF(E19="AP-8",IF(E19="AP-8",IF('Asphalt Plant (AP-8)'!$C$10&gt;0,'Asphalt Plant (AP-8)'!$C$10,IF('Asphalt Plant (AP-8)'!$C$11&gt;0,'Asphalt Plant (AP-8)'!$C$11*365,""))),IF(E19="AP-9",IF(E19="AP-9",IF('Asphalt Plant (AP-9)'!$C$10&gt;0,'Asphalt Plant (AP-9)'!$C$10,IF('Asphalt Plant (AP-9)'!$C$11&gt;0,'Asphalt Plant (AP-9)'!$C$11*365,""))),IF(E19="AP-10",IF(E19="AP-10",IF('Asphalt Plant (AP-10)'!$C$10&gt;0,'Asphalt Plant (AP-10)'!$C$10,IF('Asphalt Plant (AP-10)'!$C$11&gt;0,'Asphalt Plant (AP-10)'!$C$11*365,""))))))))))))))</f>
        <v/>
      </c>
      <c r="N19" s="132"/>
      <c r="O19" s="132"/>
      <c r="P19" s="119" t="str">
        <f t="shared" si="0"/>
        <v/>
      </c>
      <c r="Q19" s="119" t="str">
        <f t="shared" si="19"/>
        <v/>
      </c>
      <c r="R19" s="14" t="str">
        <f t="shared" si="16"/>
        <v/>
      </c>
      <c r="S19" s="14" t="str">
        <f t="shared" si="1"/>
        <v/>
      </c>
      <c r="T19" s="139"/>
      <c r="U19" s="130" t="str">
        <f t="shared" si="2"/>
        <v/>
      </c>
      <c r="V19" s="130" t="str">
        <f t="shared" si="3"/>
        <v/>
      </c>
      <c r="W19" s="130" t="str">
        <f t="shared" si="4"/>
        <v/>
      </c>
      <c r="X19" s="130" t="str">
        <f t="shared" si="5"/>
        <v/>
      </c>
      <c r="Y19" s="130" t="str">
        <f t="shared" si="6"/>
        <v/>
      </c>
      <c r="Z19" s="130" t="str">
        <f t="shared" si="7"/>
        <v/>
      </c>
      <c r="AA19" s="130" t="str">
        <f t="shared" si="8"/>
        <v/>
      </c>
      <c r="AB19" s="130" t="str">
        <f t="shared" si="9"/>
        <v/>
      </c>
      <c r="AC19" s="130" t="str">
        <f t="shared" si="10"/>
        <v/>
      </c>
      <c r="AD19" s="130" t="str">
        <f t="shared" si="11"/>
        <v/>
      </c>
      <c r="AE19" s="6" t="str">
        <f t="shared" si="20"/>
        <v/>
      </c>
      <c r="AF19" s="141" t="s">
        <v>259</v>
      </c>
      <c r="AG19" s="141" t="str">
        <f>IF('Asphalt Plant (AP-1)'!$C$10&gt;0,'Asphalt Plant (AP-1)'!$C$10,IF('Asphalt Plant (AP-1)'!$C$11&gt;0,'Asphalt Plant (AP-1)'!$C$11*365,""))</f>
        <v/>
      </c>
      <c r="AL19" s="120"/>
      <c r="AM19" s="120"/>
      <c r="AN19" s="120"/>
      <c r="AO19" s="120"/>
    </row>
    <row r="20" spans="1:41" x14ac:dyDescent="0.25">
      <c r="A20" s="6" t="str">
        <f>IF('Facility Information'!$C$21&gt;8,"AP-9","")</f>
        <v/>
      </c>
      <c r="B20" s="66"/>
      <c r="C20" s="66"/>
      <c r="D20" s="14"/>
      <c r="E20" s="14"/>
      <c r="F20" s="14"/>
      <c r="G20" s="132"/>
      <c r="H20" s="132"/>
      <c r="I20" s="14"/>
      <c r="J20" s="130" t="str">
        <f t="shared" si="17"/>
        <v/>
      </c>
      <c r="K20" s="130" t="str">
        <f t="shared" si="18"/>
        <v/>
      </c>
      <c r="L20" s="132"/>
      <c r="M20" s="119" t="str">
        <f>IF(E20="","",IF(E20="AP-1",IF('Asphalt Plant (AP-1)'!$C$10&gt;0,'Asphalt Plant (AP-1)'!$C$10,IF('Asphalt Plant (AP-1)'!$C$11&gt;0,'Asphalt Plant (AP-1)'!$C$11*365,"")),IF(E20="AP-2",IF(E20="AP-2",IF('Asphalt Plant (AP-2)'!$C$10&gt;0,'Asphalt Plant (AP-2)'!$C$10,IF('Asphalt Plant (AP-2)'!$C$11&gt;0,'Asphalt Plant (AP-2)'!$C$11*365,""))),IF(E20="AP-3",IF(E20="AP-3",IF('Asphalt Plant (AP-3)'!$C$10&gt;0,'Asphalt Plant (AP-3)'!$C$10,IF('Asphalt Plant (AP-3)'!$C$11&gt;0,'Asphalt Plant (AP-3)'!$C$11*365,""))),IF(E20="AP-4",IF(E20="AP-4",IF('Asphalt Plant (AP-4)'!$C$10&gt;0,'Asphalt Plant (AP-4)'!$C$10,IF('Asphalt Plant (AP-4)'!$C$11&gt;0,'Asphalt Plant (AP-4)'!$C$11*365,""))),IF(E20="AP-5",IF(E20="AP-5",IF('Asphalt Plant (AP-5)'!$C$10&gt;0,'Asphalt Plant (AP-5)'!$C$10,IF('Asphalt Plant (AP-5)'!$C$11&gt;0,'Asphalt Plant (AP-5)'!$C$11*365,""))),IF(E20="AP-6",IF(E20="AP-6",IF('Asphalt Plant (AP-6)'!$C$10&gt;0,'Asphalt Plant (AP-6)'!$C$10,IF('Asphalt Plant (AP-6)'!$C$11&gt;0,'Asphalt Plant (AP-6)'!$C$11*365,""))),IF(E20="AP-7",IF(E20="AP-7",IF('Asphalt Plant (AP-7)'!$C$10&gt;0,'Asphalt Plant (AP-7)'!$C$10,IF('Asphalt Plant (AP-7)'!$C$11&gt;0,'Asphalt Plant (AP-7)'!$C$11*365,""))),IF(E20="AP-8",IF(E20="AP-8",IF('Asphalt Plant (AP-8)'!$C$10&gt;0,'Asphalt Plant (AP-8)'!$C$10,IF('Asphalt Plant (AP-8)'!$C$11&gt;0,'Asphalt Plant (AP-8)'!$C$11*365,""))),IF(E20="AP-9",IF(E20="AP-9",IF('Asphalt Plant (AP-9)'!$C$10&gt;0,'Asphalt Plant (AP-9)'!$C$10,IF('Asphalt Plant (AP-9)'!$C$11&gt;0,'Asphalt Plant (AP-9)'!$C$11*365,""))),IF(E20="AP-10",IF(E20="AP-10",IF('Asphalt Plant (AP-10)'!$C$10&gt;0,'Asphalt Plant (AP-10)'!$C$10,IF('Asphalt Plant (AP-10)'!$C$11&gt;0,'Asphalt Plant (AP-10)'!$C$11*365,""))))))))))))))</f>
        <v/>
      </c>
      <c r="N20" s="132"/>
      <c r="O20" s="132"/>
      <c r="P20" s="119" t="str">
        <f t="shared" si="0"/>
        <v/>
      </c>
      <c r="Q20" s="119" t="str">
        <f t="shared" si="19"/>
        <v/>
      </c>
      <c r="R20" s="14" t="str">
        <f t="shared" si="16"/>
        <v/>
      </c>
      <c r="S20" s="14" t="str">
        <f t="shared" si="1"/>
        <v/>
      </c>
      <c r="T20" s="139"/>
      <c r="U20" s="130" t="str">
        <f t="shared" si="2"/>
        <v/>
      </c>
      <c r="V20" s="130" t="str">
        <f t="shared" si="3"/>
        <v/>
      </c>
      <c r="W20" s="130" t="str">
        <f t="shared" si="4"/>
        <v/>
      </c>
      <c r="X20" s="130" t="str">
        <f t="shared" si="5"/>
        <v/>
      </c>
      <c r="Y20" s="130" t="str">
        <f t="shared" si="6"/>
        <v/>
      </c>
      <c r="Z20" s="130" t="str">
        <f t="shared" si="7"/>
        <v/>
      </c>
      <c r="AA20" s="130" t="str">
        <f t="shared" si="8"/>
        <v/>
      </c>
      <c r="AB20" s="130" t="str">
        <f t="shared" si="9"/>
        <v/>
      </c>
      <c r="AC20" s="130" t="str">
        <f t="shared" si="10"/>
        <v/>
      </c>
      <c r="AD20" s="130" t="str">
        <f t="shared" si="11"/>
        <v/>
      </c>
      <c r="AE20" s="6" t="str">
        <f t="shared" si="20"/>
        <v/>
      </c>
      <c r="AF20" s="141" t="s">
        <v>260</v>
      </c>
      <c r="AG20" s="141" t="str">
        <f>IF('Asphalt Plant (AP-2)'!$C$10&gt;0,'Asphalt Plant (AP-2)'!$C$10,IF('Asphalt Plant (AP-2)'!$C$11&gt;0,'Asphalt Plant (AP-2)'!$C$11*365,""))</f>
        <v/>
      </c>
    </row>
    <row r="21" spans="1:41" x14ac:dyDescent="0.25">
      <c r="A21" s="6" t="str">
        <f>IF('Facility Information'!$C$21&gt;9,"AP-10","")</f>
        <v/>
      </c>
      <c r="B21" s="66"/>
      <c r="C21" s="66"/>
      <c r="D21" s="14"/>
      <c r="E21" s="14"/>
      <c r="F21" s="14"/>
      <c r="G21" s="132"/>
      <c r="H21" s="132"/>
      <c r="I21" s="14"/>
      <c r="J21" s="130" t="str">
        <f t="shared" si="17"/>
        <v/>
      </c>
      <c r="K21" s="130" t="str">
        <f t="shared" si="18"/>
        <v/>
      </c>
      <c r="L21" s="132"/>
      <c r="M21" s="119" t="str">
        <f>IF(E21="","",IF(E21="AP-1",IF('Asphalt Plant (AP-1)'!$C$10&gt;0,'Asphalt Plant (AP-1)'!$C$10,IF('Asphalt Plant (AP-1)'!$C$11&gt;0,'Asphalt Plant (AP-1)'!$C$11*365,"")),IF(E21="AP-2",IF(E21="AP-2",IF('Asphalt Plant (AP-2)'!$C$10&gt;0,'Asphalt Plant (AP-2)'!$C$10,IF('Asphalt Plant (AP-2)'!$C$11&gt;0,'Asphalt Plant (AP-2)'!$C$11*365,""))),IF(E21="AP-3",IF(E21="AP-3",IF('Asphalt Plant (AP-3)'!$C$10&gt;0,'Asphalt Plant (AP-3)'!$C$10,IF('Asphalt Plant (AP-3)'!$C$11&gt;0,'Asphalt Plant (AP-3)'!$C$11*365,""))),IF(E21="AP-4",IF(E21="AP-4",IF('Asphalt Plant (AP-4)'!$C$10&gt;0,'Asphalt Plant (AP-4)'!$C$10,IF('Asphalt Plant (AP-4)'!$C$11&gt;0,'Asphalt Plant (AP-4)'!$C$11*365,""))),IF(E21="AP-5",IF(E21="AP-5",IF('Asphalt Plant (AP-5)'!$C$10&gt;0,'Asphalt Plant (AP-5)'!$C$10,IF('Asphalt Plant (AP-5)'!$C$11&gt;0,'Asphalt Plant (AP-5)'!$C$11*365,""))),IF(E21="AP-6",IF(E21="AP-6",IF('Asphalt Plant (AP-6)'!$C$10&gt;0,'Asphalt Plant (AP-6)'!$C$10,IF('Asphalt Plant (AP-6)'!$C$11&gt;0,'Asphalt Plant (AP-6)'!$C$11*365,""))),IF(E21="AP-7",IF(E21="AP-7",IF('Asphalt Plant (AP-7)'!$C$10&gt;0,'Asphalt Plant (AP-7)'!$C$10,IF('Asphalt Plant (AP-7)'!$C$11&gt;0,'Asphalt Plant (AP-7)'!$C$11*365,""))),IF(E21="AP-8",IF(E21="AP-8",IF('Asphalt Plant (AP-8)'!$C$10&gt;0,'Asphalt Plant (AP-8)'!$C$10,IF('Asphalt Plant (AP-8)'!$C$11&gt;0,'Asphalt Plant (AP-8)'!$C$11*365,""))),IF(E21="AP-9",IF(E21="AP-9",IF('Asphalt Plant (AP-9)'!$C$10&gt;0,'Asphalt Plant (AP-9)'!$C$10,IF('Asphalt Plant (AP-9)'!$C$11&gt;0,'Asphalt Plant (AP-9)'!$C$11*365,""))),IF(E21="AP-10",IF(E21="AP-10",IF('Asphalt Plant (AP-10)'!$C$10&gt;0,'Asphalt Plant (AP-10)'!$C$10,IF('Asphalt Plant (AP-10)'!$C$11&gt;0,'Asphalt Plant (AP-10)'!$C$11*365,""))))))))))))))</f>
        <v/>
      </c>
      <c r="N21" s="132"/>
      <c r="O21" s="132"/>
      <c r="P21" s="119" t="str">
        <f t="shared" si="0"/>
        <v/>
      </c>
      <c r="Q21" s="119" t="str">
        <f t="shared" si="19"/>
        <v/>
      </c>
      <c r="R21" s="14" t="str">
        <f t="shared" si="16"/>
        <v/>
      </c>
      <c r="S21" s="14" t="str">
        <f t="shared" si="1"/>
        <v/>
      </c>
      <c r="T21" s="139"/>
      <c r="U21" s="130" t="str">
        <f t="shared" si="2"/>
        <v/>
      </c>
      <c r="V21" s="130" t="str">
        <f t="shared" si="3"/>
        <v/>
      </c>
      <c r="W21" s="130" t="str">
        <f t="shared" si="4"/>
        <v/>
      </c>
      <c r="X21" s="130" t="str">
        <f t="shared" si="5"/>
        <v/>
      </c>
      <c r="Y21" s="130" t="str">
        <f t="shared" si="6"/>
        <v/>
      </c>
      <c r="Z21" s="130" t="str">
        <f t="shared" si="7"/>
        <v/>
      </c>
      <c r="AA21" s="130" t="str">
        <f t="shared" si="8"/>
        <v/>
      </c>
      <c r="AB21" s="130" t="str">
        <f t="shared" si="9"/>
        <v/>
      </c>
      <c r="AC21" s="130" t="str">
        <f t="shared" si="10"/>
        <v/>
      </c>
      <c r="AD21" s="130" t="str">
        <f t="shared" si="11"/>
        <v/>
      </c>
      <c r="AE21" s="6" t="str">
        <f t="shared" si="20"/>
        <v/>
      </c>
      <c r="AF21" s="141" t="s">
        <v>261</v>
      </c>
      <c r="AG21" s="141" t="str">
        <f>IF('Asphalt Plant (AP-3)'!$C$10&gt;0,'Asphalt Plant (AP-3)'!$C$10,IF('Asphalt Plant (AP-3)'!$C$11&gt;0,'Asphalt Plant (AP-3)'!$C$11*365,""))</f>
        <v/>
      </c>
    </row>
    <row r="22" spans="1:41" x14ac:dyDescent="0.25">
      <c r="B22" s="66"/>
      <c r="C22" s="66"/>
      <c r="D22" s="14"/>
      <c r="E22" s="14"/>
      <c r="F22" s="14"/>
      <c r="G22" s="132"/>
      <c r="H22" s="132"/>
      <c r="I22" s="14"/>
      <c r="J22" s="130" t="str">
        <f t="shared" si="17"/>
        <v/>
      </c>
      <c r="K22" s="130" t="str">
        <f t="shared" si="18"/>
        <v/>
      </c>
      <c r="L22" s="132"/>
      <c r="M22" s="119" t="str">
        <f>IF(E22="","",IF(E22="AP-1",IF('Asphalt Plant (AP-1)'!$C$10&gt;0,'Asphalt Plant (AP-1)'!$C$10,IF('Asphalt Plant (AP-1)'!$C$11&gt;0,'Asphalt Plant (AP-1)'!$C$11*365,"")),IF(E22="AP-2",IF(E22="AP-2",IF('Asphalt Plant (AP-2)'!$C$10&gt;0,'Asphalt Plant (AP-2)'!$C$10,IF('Asphalt Plant (AP-2)'!$C$11&gt;0,'Asphalt Plant (AP-2)'!$C$11*365,""))),IF(E22="AP-3",IF(E22="AP-3",IF('Asphalt Plant (AP-3)'!$C$10&gt;0,'Asphalt Plant (AP-3)'!$C$10,IF('Asphalt Plant (AP-3)'!$C$11&gt;0,'Asphalt Plant (AP-3)'!$C$11*365,""))),IF(E22="AP-4",IF(E22="AP-4",IF('Asphalt Plant (AP-4)'!$C$10&gt;0,'Asphalt Plant (AP-4)'!$C$10,IF('Asphalt Plant (AP-4)'!$C$11&gt;0,'Asphalt Plant (AP-4)'!$C$11*365,""))),IF(E22="AP-5",IF(E22="AP-5",IF('Asphalt Plant (AP-5)'!$C$10&gt;0,'Asphalt Plant (AP-5)'!$C$10,IF('Asphalt Plant (AP-5)'!$C$11&gt;0,'Asphalt Plant (AP-5)'!$C$11*365,""))),IF(E22="AP-6",IF(E22="AP-6",IF('Asphalt Plant (AP-6)'!$C$10&gt;0,'Asphalt Plant (AP-6)'!$C$10,IF('Asphalt Plant (AP-6)'!$C$11&gt;0,'Asphalt Plant (AP-6)'!$C$11*365,""))),IF(E22="AP-7",IF(E22="AP-7",IF('Asphalt Plant (AP-7)'!$C$10&gt;0,'Asphalt Plant (AP-7)'!$C$10,IF('Asphalt Plant (AP-7)'!$C$11&gt;0,'Asphalt Plant (AP-7)'!$C$11*365,""))),IF(E22="AP-8",IF(E22="AP-8",IF('Asphalt Plant (AP-8)'!$C$10&gt;0,'Asphalt Plant (AP-8)'!$C$10,IF('Asphalt Plant (AP-8)'!$C$11&gt;0,'Asphalt Plant (AP-8)'!$C$11*365,""))),IF(E22="AP-9",IF(E22="AP-9",IF('Asphalt Plant (AP-9)'!$C$10&gt;0,'Asphalt Plant (AP-9)'!$C$10,IF('Asphalt Plant (AP-9)'!$C$11&gt;0,'Asphalt Plant (AP-9)'!$C$11*365,""))),IF(E22="AP-10",IF(E22="AP-10",IF('Asphalt Plant (AP-10)'!$C$10&gt;0,'Asphalt Plant (AP-10)'!$C$10,IF('Asphalt Plant (AP-10)'!$C$11&gt;0,'Asphalt Plant (AP-10)'!$C$11*365,""))))))))))))))</f>
        <v/>
      </c>
      <c r="N22" s="132"/>
      <c r="O22" s="132"/>
      <c r="P22" s="119" t="str">
        <f t="shared" si="0"/>
        <v/>
      </c>
      <c r="Q22" s="119" t="str">
        <f t="shared" si="19"/>
        <v/>
      </c>
      <c r="R22" s="14" t="str">
        <f t="shared" si="16"/>
        <v/>
      </c>
      <c r="S22" s="14" t="str">
        <f t="shared" si="1"/>
        <v/>
      </c>
      <c r="T22" s="139"/>
      <c r="U22" s="130" t="str">
        <f t="shared" si="2"/>
        <v/>
      </c>
      <c r="V22" s="130" t="str">
        <f t="shared" si="3"/>
        <v/>
      </c>
      <c r="W22" s="130" t="str">
        <f t="shared" si="4"/>
        <v/>
      </c>
      <c r="X22" s="130" t="str">
        <f t="shared" si="5"/>
        <v/>
      </c>
      <c r="Y22" s="130" t="str">
        <f t="shared" si="6"/>
        <v/>
      </c>
      <c r="Z22" s="130" t="str">
        <f t="shared" si="7"/>
        <v/>
      </c>
      <c r="AA22" s="130" t="str">
        <f t="shared" si="8"/>
        <v/>
      </c>
      <c r="AB22" s="130" t="str">
        <f t="shared" si="9"/>
        <v/>
      </c>
      <c r="AC22" s="130" t="str">
        <f t="shared" si="10"/>
        <v/>
      </c>
      <c r="AD22" s="130" t="str">
        <f t="shared" si="11"/>
        <v/>
      </c>
      <c r="AE22" s="6" t="str">
        <f t="shared" si="20"/>
        <v/>
      </c>
      <c r="AF22" s="141" t="s">
        <v>262</v>
      </c>
      <c r="AG22" s="141" t="str">
        <f>IF('Asphalt Plant (AP-4)'!$C$10&gt;0,'Asphalt Plant (AP-4)'!$C$10,IF('Asphalt Plant (AP-4)'!$C$11&gt;0,'Asphalt Plant (AP-4)'!$C$11*365,""))</f>
        <v/>
      </c>
    </row>
    <row r="23" spans="1:41" x14ac:dyDescent="0.25">
      <c r="B23" s="66"/>
      <c r="C23" s="66"/>
      <c r="D23" s="14"/>
      <c r="E23" s="14"/>
      <c r="F23" s="14"/>
      <c r="G23" s="132"/>
      <c r="H23" s="132"/>
      <c r="I23" s="14"/>
      <c r="J23" s="130" t="str">
        <f t="shared" si="17"/>
        <v/>
      </c>
      <c r="K23" s="130" t="str">
        <f t="shared" si="18"/>
        <v/>
      </c>
      <c r="L23" s="132"/>
      <c r="M23" s="119" t="str">
        <f>IF(E23="","",IF(E23="AP-1",IF('Asphalt Plant (AP-1)'!$C$10&gt;0,'Asphalt Plant (AP-1)'!$C$10,IF('Asphalt Plant (AP-1)'!$C$11&gt;0,'Asphalt Plant (AP-1)'!$C$11*365,"")),IF(E23="AP-2",IF(E23="AP-2",IF('Asphalt Plant (AP-2)'!$C$10&gt;0,'Asphalt Plant (AP-2)'!$C$10,IF('Asphalt Plant (AP-2)'!$C$11&gt;0,'Asphalt Plant (AP-2)'!$C$11*365,""))),IF(E23="AP-3",IF(E23="AP-3",IF('Asphalt Plant (AP-3)'!$C$10&gt;0,'Asphalt Plant (AP-3)'!$C$10,IF('Asphalt Plant (AP-3)'!$C$11&gt;0,'Asphalt Plant (AP-3)'!$C$11*365,""))),IF(E23="AP-4",IF(E23="AP-4",IF('Asphalt Plant (AP-4)'!$C$10&gt;0,'Asphalt Plant (AP-4)'!$C$10,IF('Asphalt Plant (AP-4)'!$C$11&gt;0,'Asphalt Plant (AP-4)'!$C$11*365,""))),IF(E23="AP-5",IF(E23="AP-5",IF('Asphalt Plant (AP-5)'!$C$10&gt;0,'Asphalt Plant (AP-5)'!$C$10,IF('Asphalt Plant (AP-5)'!$C$11&gt;0,'Asphalt Plant (AP-5)'!$C$11*365,""))),IF(E23="AP-6",IF(E23="AP-6",IF('Asphalt Plant (AP-6)'!$C$10&gt;0,'Asphalt Plant (AP-6)'!$C$10,IF('Asphalt Plant (AP-6)'!$C$11&gt;0,'Asphalt Plant (AP-6)'!$C$11*365,""))),IF(E23="AP-7",IF(E23="AP-7",IF('Asphalt Plant (AP-7)'!$C$10&gt;0,'Asphalt Plant (AP-7)'!$C$10,IF('Asphalt Plant (AP-7)'!$C$11&gt;0,'Asphalt Plant (AP-7)'!$C$11*365,""))),IF(E23="AP-8",IF(E23="AP-8",IF('Asphalt Plant (AP-8)'!$C$10&gt;0,'Asphalt Plant (AP-8)'!$C$10,IF('Asphalt Plant (AP-8)'!$C$11&gt;0,'Asphalt Plant (AP-8)'!$C$11*365,""))),IF(E23="AP-9",IF(E23="AP-9",IF('Asphalt Plant (AP-9)'!$C$10&gt;0,'Asphalt Plant (AP-9)'!$C$10,IF('Asphalt Plant (AP-9)'!$C$11&gt;0,'Asphalt Plant (AP-9)'!$C$11*365,""))),IF(E23="AP-10",IF(E23="AP-10",IF('Asphalt Plant (AP-10)'!$C$10&gt;0,'Asphalt Plant (AP-10)'!$C$10,IF('Asphalt Plant (AP-10)'!$C$11&gt;0,'Asphalt Plant (AP-10)'!$C$11*365,""))))))))))))))</f>
        <v/>
      </c>
      <c r="N23" s="132"/>
      <c r="O23" s="132"/>
      <c r="P23" s="119" t="str">
        <f t="shared" si="0"/>
        <v/>
      </c>
      <c r="Q23" s="119" t="str">
        <f t="shared" si="19"/>
        <v/>
      </c>
      <c r="R23" s="14" t="str">
        <f t="shared" si="16"/>
        <v/>
      </c>
      <c r="S23" s="14" t="str">
        <f t="shared" si="1"/>
        <v/>
      </c>
      <c r="T23" s="139"/>
      <c r="U23" s="130" t="str">
        <f t="shared" si="2"/>
        <v/>
      </c>
      <c r="V23" s="130" t="str">
        <f t="shared" si="3"/>
        <v/>
      </c>
      <c r="W23" s="130" t="str">
        <f t="shared" si="4"/>
        <v/>
      </c>
      <c r="X23" s="130" t="str">
        <f t="shared" si="5"/>
        <v/>
      </c>
      <c r="Y23" s="130" t="str">
        <f t="shared" si="6"/>
        <v/>
      </c>
      <c r="Z23" s="130" t="str">
        <f t="shared" si="7"/>
        <v/>
      </c>
      <c r="AA23" s="130" t="str">
        <f t="shared" si="8"/>
        <v/>
      </c>
      <c r="AB23" s="130" t="str">
        <f t="shared" si="9"/>
        <v/>
      </c>
      <c r="AC23" s="130" t="str">
        <f t="shared" si="10"/>
        <v/>
      </c>
      <c r="AD23" s="130" t="str">
        <f t="shared" si="11"/>
        <v/>
      </c>
      <c r="AE23" s="6" t="str">
        <f t="shared" si="20"/>
        <v/>
      </c>
      <c r="AF23" s="141" t="s">
        <v>263</v>
      </c>
      <c r="AG23" s="141" t="str">
        <f>IF('Asphalt Plant (AP-5)'!$C$10&gt;0,'Asphalt Plant (AP-5)'!$C$10,IF('Asphalt Plant (AP-5)'!$C$11&gt;0,'Asphalt Plant (AP-5)'!$C$11*365,""))</f>
        <v/>
      </c>
    </row>
    <row r="24" spans="1:41" x14ac:dyDescent="0.25">
      <c r="B24" s="66"/>
      <c r="C24" s="66"/>
      <c r="D24" s="14"/>
      <c r="E24" s="14"/>
      <c r="F24" s="14"/>
      <c r="G24" s="132"/>
      <c r="H24" s="132"/>
      <c r="I24" s="14"/>
      <c r="J24" s="130" t="str">
        <f t="shared" si="17"/>
        <v/>
      </c>
      <c r="K24" s="130" t="str">
        <f t="shared" si="18"/>
        <v/>
      </c>
      <c r="L24" s="132"/>
      <c r="M24" s="119" t="str">
        <f>IF(E24="","",IF(E24="AP-1",IF('Asphalt Plant (AP-1)'!$C$10&gt;0,'Asphalt Plant (AP-1)'!$C$10,IF('Asphalt Plant (AP-1)'!$C$11&gt;0,'Asphalt Plant (AP-1)'!$C$11*365,"")),IF(E24="AP-2",IF(E24="AP-2",IF('Asphalt Plant (AP-2)'!$C$10&gt;0,'Asphalt Plant (AP-2)'!$C$10,IF('Asphalt Plant (AP-2)'!$C$11&gt;0,'Asphalt Plant (AP-2)'!$C$11*365,""))),IF(E24="AP-3",IF(E24="AP-3",IF('Asphalt Plant (AP-3)'!$C$10&gt;0,'Asphalt Plant (AP-3)'!$C$10,IF('Asphalt Plant (AP-3)'!$C$11&gt;0,'Asphalt Plant (AP-3)'!$C$11*365,""))),IF(E24="AP-4",IF(E24="AP-4",IF('Asphalt Plant (AP-4)'!$C$10&gt;0,'Asphalt Plant (AP-4)'!$C$10,IF('Asphalt Plant (AP-4)'!$C$11&gt;0,'Asphalt Plant (AP-4)'!$C$11*365,""))),IF(E24="AP-5",IF(E24="AP-5",IF('Asphalt Plant (AP-5)'!$C$10&gt;0,'Asphalt Plant (AP-5)'!$C$10,IF('Asphalt Plant (AP-5)'!$C$11&gt;0,'Asphalt Plant (AP-5)'!$C$11*365,""))),IF(E24="AP-6",IF(E24="AP-6",IF('Asphalt Plant (AP-6)'!$C$10&gt;0,'Asphalt Plant (AP-6)'!$C$10,IF('Asphalt Plant (AP-6)'!$C$11&gt;0,'Asphalt Plant (AP-6)'!$C$11*365,""))),IF(E24="AP-7",IF(E24="AP-7",IF('Asphalt Plant (AP-7)'!$C$10&gt;0,'Asphalt Plant (AP-7)'!$C$10,IF('Asphalt Plant (AP-7)'!$C$11&gt;0,'Asphalt Plant (AP-7)'!$C$11*365,""))),IF(E24="AP-8",IF(E24="AP-8",IF('Asphalt Plant (AP-8)'!$C$10&gt;0,'Asphalt Plant (AP-8)'!$C$10,IF('Asphalt Plant (AP-8)'!$C$11&gt;0,'Asphalt Plant (AP-8)'!$C$11*365,""))),IF(E24="AP-9",IF(E24="AP-9",IF('Asphalt Plant (AP-9)'!$C$10&gt;0,'Asphalt Plant (AP-9)'!$C$10,IF('Asphalt Plant (AP-9)'!$C$11&gt;0,'Asphalt Plant (AP-9)'!$C$11*365,""))),IF(E24="AP-10",IF(E24="AP-10",IF('Asphalt Plant (AP-10)'!$C$10&gt;0,'Asphalt Plant (AP-10)'!$C$10,IF('Asphalt Plant (AP-10)'!$C$11&gt;0,'Asphalt Plant (AP-10)'!$C$11*365,""))))))))))))))</f>
        <v/>
      </c>
      <c r="N24" s="132"/>
      <c r="O24" s="132"/>
      <c r="P24" s="119" t="str">
        <f t="shared" si="0"/>
        <v/>
      </c>
      <c r="Q24" s="119" t="str">
        <f t="shared" si="19"/>
        <v/>
      </c>
      <c r="R24" s="14" t="str">
        <f t="shared" si="16"/>
        <v/>
      </c>
      <c r="S24" s="14" t="str">
        <f t="shared" si="1"/>
        <v/>
      </c>
      <c r="T24" s="139"/>
      <c r="U24" s="130" t="str">
        <f t="shared" si="2"/>
        <v/>
      </c>
      <c r="V24" s="130" t="str">
        <f t="shared" si="3"/>
        <v/>
      </c>
      <c r="W24" s="130" t="str">
        <f t="shared" si="4"/>
        <v/>
      </c>
      <c r="X24" s="130" t="str">
        <f t="shared" si="5"/>
        <v/>
      </c>
      <c r="Y24" s="130" t="str">
        <f t="shared" si="6"/>
        <v/>
      </c>
      <c r="Z24" s="130" t="str">
        <f t="shared" si="7"/>
        <v/>
      </c>
      <c r="AA24" s="130" t="str">
        <f t="shared" si="8"/>
        <v/>
      </c>
      <c r="AB24" s="130" t="str">
        <f t="shared" si="9"/>
        <v/>
      </c>
      <c r="AC24" s="130" t="str">
        <f t="shared" si="10"/>
        <v/>
      </c>
      <c r="AD24" s="130" t="str">
        <f t="shared" si="11"/>
        <v/>
      </c>
      <c r="AE24" s="6" t="str">
        <f t="shared" si="20"/>
        <v/>
      </c>
      <c r="AF24" s="141" t="s">
        <v>264</v>
      </c>
      <c r="AG24" s="141" t="str">
        <f>IF('Asphalt Plant (AP-6)'!$C$10&gt;0,'Asphalt Plant (AP-6)'!$C$10,IF('Asphalt Plant (AP-6)'!$C$11&gt;0,'Asphalt Plant (AP-6)'!$C$11*365,""))</f>
        <v/>
      </c>
    </row>
    <row r="25" spans="1:41" x14ac:dyDescent="0.25">
      <c r="B25" s="66"/>
      <c r="C25" s="66"/>
      <c r="D25" s="14"/>
      <c r="E25" s="14"/>
      <c r="F25" s="14"/>
      <c r="G25" s="132"/>
      <c r="H25" s="132"/>
      <c r="I25" s="14"/>
      <c r="J25" s="130" t="str">
        <f t="shared" si="17"/>
        <v/>
      </c>
      <c r="K25" s="130" t="str">
        <f t="shared" si="18"/>
        <v/>
      </c>
      <c r="L25" s="132"/>
      <c r="M25" s="119" t="str">
        <f>IF(E25="","",IF(E25="AP-1",IF('Asphalt Plant (AP-1)'!$C$10&gt;0,'Asphalt Plant (AP-1)'!$C$10,IF('Asphalt Plant (AP-1)'!$C$11&gt;0,'Asphalt Plant (AP-1)'!$C$11*365,"")),IF(E25="AP-2",IF(E25="AP-2",IF('Asphalt Plant (AP-2)'!$C$10&gt;0,'Asphalt Plant (AP-2)'!$C$10,IF('Asphalt Plant (AP-2)'!$C$11&gt;0,'Asphalt Plant (AP-2)'!$C$11*365,""))),IF(E25="AP-3",IF(E25="AP-3",IF('Asphalt Plant (AP-3)'!$C$10&gt;0,'Asphalt Plant (AP-3)'!$C$10,IF('Asphalt Plant (AP-3)'!$C$11&gt;0,'Asphalt Plant (AP-3)'!$C$11*365,""))),IF(E25="AP-4",IF(E25="AP-4",IF('Asphalt Plant (AP-4)'!$C$10&gt;0,'Asphalt Plant (AP-4)'!$C$10,IF('Asphalt Plant (AP-4)'!$C$11&gt;0,'Asphalt Plant (AP-4)'!$C$11*365,""))),IF(E25="AP-5",IF(E25="AP-5",IF('Asphalt Plant (AP-5)'!$C$10&gt;0,'Asphalt Plant (AP-5)'!$C$10,IF('Asphalt Plant (AP-5)'!$C$11&gt;0,'Asphalt Plant (AP-5)'!$C$11*365,""))),IF(E25="AP-6",IF(E25="AP-6",IF('Asphalt Plant (AP-6)'!$C$10&gt;0,'Asphalt Plant (AP-6)'!$C$10,IF('Asphalt Plant (AP-6)'!$C$11&gt;0,'Asphalt Plant (AP-6)'!$C$11*365,""))),IF(E25="AP-7",IF(E25="AP-7",IF('Asphalt Plant (AP-7)'!$C$10&gt;0,'Asphalt Plant (AP-7)'!$C$10,IF('Asphalt Plant (AP-7)'!$C$11&gt;0,'Asphalt Plant (AP-7)'!$C$11*365,""))),IF(E25="AP-8",IF(E25="AP-8",IF('Asphalt Plant (AP-8)'!$C$10&gt;0,'Asphalt Plant (AP-8)'!$C$10,IF('Asphalt Plant (AP-8)'!$C$11&gt;0,'Asphalt Plant (AP-8)'!$C$11*365,""))),IF(E25="AP-9",IF(E25="AP-9",IF('Asphalt Plant (AP-9)'!$C$10&gt;0,'Asphalt Plant (AP-9)'!$C$10,IF('Asphalt Plant (AP-9)'!$C$11&gt;0,'Asphalt Plant (AP-9)'!$C$11*365,""))),IF(E25="AP-10",IF(E25="AP-10",IF('Asphalt Plant (AP-10)'!$C$10&gt;0,'Asphalt Plant (AP-10)'!$C$10,IF('Asphalt Plant (AP-10)'!$C$11&gt;0,'Asphalt Plant (AP-10)'!$C$11*365,""))))))))))))))</f>
        <v/>
      </c>
      <c r="N25" s="132"/>
      <c r="O25" s="132"/>
      <c r="P25" s="119" t="str">
        <f t="shared" si="0"/>
        <v/>
      </c>
      <c r="Q25" s="119" t="str">
        <f t="shared" si="19"/>
        <v/>
      </c>
      <c r="R25" s="14" t="str">
        <f t="shared" si="16"/>
        <v/>
      </c>
      <c r="S25" s="14" t="str">
        <f t="shared" si="1"/>
        <v/>
      </c>
      <c r="T25" s="139"/>
      <c r="U25" s="130" t="str">
        <f t="shared" si="2"/>
        <v/>
      </c>
      <c r="V25" s="130" t="str">
        <f t="shared" si="3"/>
        <v/>
      </c>
      <c r="W25" s="130" t="str">
        <f t="shared" si="4"/>
        <v/>
      </c>
      <c r="X25" s="130" t="str">
        <f t="shared" si="5"/>
        <v/>
      </c>
      <c r="Y25" s="130" t="str">
        <f t="shared" si="6"/>
        <v/>
      </c>
      <c r="Z25" s="130" t="str">
        <f t="shared" si="7"/>
        <v/>
      </c>
      <c r="AA25" s="130" t="str">
        <f t="shared" si="8"/>
        <v/>
      </c>
      <c r="AB25" s="130" t="str">
        <f t="shared" si="9"/>
        <v/>
      </c>
      <c r="AC25" s="130" t="str">
        <f t="shared" si="10"/>
        <v/>
      </c>
      <c r="AD25" s="130" t="str">
        <f t="shared" si="11"/>
        <v/>
      </c>
      <c r="AE25" s="6" t="str">
        <f t="shared" si="20"/>
        <v/>
      </c>
      <c r="AF25" s="141" t="s">
        <v>265</v>
      </c>
      <c r="AG25" s="141" t="str">
        <f>IF('Asphalt Plant (AP-7)'!$C$10&gt;0,'Asphalt Plant (AP-7)'!$C$10,IF('Asphalt Plant (AP-7)'!$C$11&gt;0,'Asphalt Plant (AP-7)'!$C$11*365,""))</f>
        <v/>
      </c>
    </row>
    <row r="26" spans="1:41" x14ac:dyDescent="0.25">
      <c r="B26" s="66"/>
      <c r="C26" s="66"/>
      <c r="D26" s="14"/>
      <c r="E26" s="14"/>
      <c r="F26" s="14"/>
      <c r="G26" s="132"/>
      <c r="H26" s="132"/>
      <c r="I26" s="14"/>
      <c r="J26" s="130" t="str">
        <f t="shared" si="13"/>
        <v/>
      </c>
      <c r="K26" s="130" t="str">
        <f t="shared" si="14"/>
        <v/>
      </c>
      <c r="L26" s="132"/>
      <c r="M26" s="119" t="str">
        <f>IF(E26="","",IF(E26="AP-1",IF('Asphalt Plant (AP-1)'!$C$10&gt;0,'Asphalt Plant (AP-1)'!$C$10,IF('Asphalt Plant (AP-1)'!$C$11&gt;0,'Asphalt Plant (AP-1)'!$C$11*365,"")),IF(E26="AP-2",IF(E26="AP-2",IF('Asphalt Plant (AP-2)'!$C$10&gt;0,'Asphalt Plant (AP-2)'!$C$10,IF('Asphalt Plant (AP-2)'!$C$11&gt;0,'Asphalt Plant (AP-2)'!$C$11*365,""))),IF(E26="AP-3",IF(E26="AP-3",IF('Asphalt Plant (AP-3)'!$C$10&gt;0,'Asphalt Plant (AP-3)'!$C$10,IF('Asphalt Plant (AP-3)'!$C$11&gt;0,'Asphalt Plant (AP-3)'!$C$11*365,""))),IF(E26="AP-4",IF(E26="AP-4",IF('Asphalt Plant (AP-4)'!$C$10&gt;0,'Asphalt Plant (AP-4)'!$C$10,IF('Asphalt Plant (AP-4)'!$C$11&gt;0,'Asphalt Plant (AP-4)'!$C$11*365,""))),IF(E26="AP-5",IF(E26="AP-5",IF('Asphalt Plant (AP-5)'!$C$10&gt;0,'Asphalt Plant (AP-5)'!$C$10,IF('Asphalt Plant (AP-5)'!$C$11&gt;0,'Asphalt Plant (AP-5)'!$C$11*365,""))),IF(E26="AP-6",IF(E26="AP-6",IF('Asphalt Plant (AP-6)'!$C$10&gt;0,'Asphalt Plant (AP-6)'!$C$10,IF('Asphalt Plant (AP-6)'!$C$11&gt;0,'Asphalt Plant (AP-6)'!$C$11*365,""))),IF(E26="AP-7",IF(E26="AP-7",IF('Asphalt Plant (AP-7)'!$C$10&gt;0,'Asphalt Plant (AP-7)'!$C$10,IF('Asphalt Plant (AP-7)'!$C$11&gt;0,'Asphalt Plant (AP-7)'!$C$11*365,""))),IF(E26="AP-8",IF(E26="AP-8",IF('Asphalt Plant (AP-8)'!$C$10&gt;0,'Asphalt Plant (AP-8)'!$C$10,IF('Asphalt Plant (AP-8)'!$C$11&gt;0,'Asphalt Plant (AP-8)'!$C$11*365,""))),IF(E26="AP-9",IF(E26="AP-9",IF('Asphalt Plant (AP-9)'!$C$10&gt;0,'Asphalt Plant (AP-9)'!$C$10,IF('Asphalt Plant (AP-9)'!$C$11&gt;0,'Asphalt Plant (AP-9)'!$C$11*365,""))),IF(E26="AP-10",IF(E26="AP-10",IF('Asphalt Plant (AP-10)'!$C$10&gt;0,'Asphalt Plant (AP-10)'!$C$10,IF('Asphalt Plant (AP-10)'!$C$11&gt;0,'Asphalt Plant (AP-10)'!$C$11*365,""))))))))))))))</f>
        <v/>
      </c>
      <c r="N26" s="132"/>
      <c r="O26" s="132"/>
      <c r="P26" s="119" t="str">
        <f t="shared" si="0"/>
        <v/>
      </c>
      <c r="Q26" s="119" t="str">
        <f t="shared" si="15"/>
        <v/>
      </c>
      <c r="R26" s="14" t="str">
        <f t="shared" si="16"/>
        <v/>
      </c>
      <c r="S26" s="14" t="str">
        <f t="shared" si="1"/>
        <v/>
      </c>
      <c r="T26" s="139"/>
      <c r="U26" s="130" t="str">
        <f t="shared" si="2"/>
        <v/>
      </c>
      <c r="V26" s="130" t="str">
        <f t="shared" si="3"/>
        <v/>
      </c>
      <c r="W26" s="130" t="str">
        <f t="shared" si="4"/>
        <v/>
      </c>
      <c r="X26" s="130" t="str">
        <f t="shared" si="5"/>
        <v/>
      </c>
      <c r="Y26" s="130" t="str">
        <f t="shared" si="6"/>
        <v/>
      </c>
      <c r="Z26" s="130" t="str">
        <f t="shared" si="7"/>
        <v/>
      </c>
      <c r="AA26" s="130" t="str">
        <f t="shared" si="8"/>
        <v/>
      </c>
      <c r="AB26" s="130" t="str">
        <f t="shared" si="9"/>
        <v/>
      </c>
      <c r="AC26" s="130" t="str">
        <f t="shared" si="10"/>
        <v/>
      </c>
      <c r="AD26" s="130" t="str">
        <f t="shared" si="11"/>
        <v/>
      </c>
      <c r="AE26" s="6" t="str">
        <f t="shared" ref="AE26:AE35" si="21">IF(B26="unpaved haul road","x","")</f>
        <v/>
      </c>
      <c r="AF26" s="141" t="s">
        <v>266</v>
      </c>
      <c r="AG26" s="141" t="str">
        <f>IF('Asphalt Plant (AP-8)'!$C$10&gt;0,'Asphalt Plant (AP-8)'!$C$10,IF('Asphalt Plant (AP-8)'!$C$11&gt;0,'Asphalt Plant (AP-8)'!$C$11*365,""))</f>
        <v/>
      </c>
    </row>
    <row r="27" spans="1:41" x14ac:dyDescent="0.25">
      <c r="B27" s="66"/>
      <c r="C27" s="66"/>
      <c r="D27" s="14"/>
      <c r="E27" s="14"/>
      <c r="F27" s="14"/>
      <c r="G27" s="132"/>
      <c r="H27" s="132"/>
      <c r="I27" s="14"/>
      <c r="J27" s="130" t="str">
        <f t="shared" si="13"/>
        <v/>
      </c>
      <c r="K27" s="130" t="str">
        <f t="shared" si="14"/>
        <v/>
      </c>
      <c r="L27" s="132"/>
      <c r="M27" s="119" t="str">
        <f>IF(E27="","",IF(E27="AP-1",IF('Asphalt Plant (AP-1)'!$C$10&gt;0,'Asphalt Plant (AP-1)'!$C$10,IF('Asphalt Plant (AP-1)'!$C$11&gt;0,'Asphalt Plant (AP-1)'!$C$11*365,"")),IF(E27="AP-2",IF(E27="AP-2",IF('Asphalt Plant (AP-2)'!$C$10&gt;0,'Asphalt Plant (AP-2)'!$C$10,IF('Asphalt Plant (AP-2)'!$C$11&gt;0,'Asphalt Plant (AP-2)'!$C$11*365,""))),IF(E27="AP-3",IF(E27="AP-3",IF('Asphalt Plant (AP-3)'!$C$10&gt;0,'Asphalt Plant (AP-3)'!$C$10,IF('Asphalt Plant (AP-3)'!$C$11&gt;0,'Asphalt Plant (AP-3)'!$C$11*365,""))),IF(E27="AP-4",IF(E27="AP-4",IF('Asphalt Plant (AP-4)'!$C$10&gt;0,'Asphalt Plant (AP-4)'!$C$10,IF('Asphalt Plant (AP-4)'!$C$11&gt;0,'Asphalt Plant (AP-4)'!$C$11*365,""))),IF(E27="AP-5",IF(E27="AP-5",IF('Asphalt Plant (AP-5)'!$C$10&gt;0,'Asphalt Plant (AP-5)'!$C$10,IF('Asphalt Plant (AP-5)'!$C$11&gt;0,'Asphalt Plant (AP-5)'!$C$11*365,""))),IF(E27="AP-6",IF(E27="AP-6",IF('Asphalt Plant (AP-6)'!$C$10&gt;0,'Asphalt Plant (AP-6)'!$C$10,IF('Asphalt Plant (AP-6)'!$C$11&gt;0,'Asphalt Plant (AP-6)'!$C$11*365,""))),IF(E27="AP-7",IF(E27="AP-7",IF('Asphalt Plant (AP-7)'!$C$10&gt;0,'Asphalt Plant (AP-7)'!$C$10,IF('Asphalt Plant (AP-7)'!$C$11&gt;0,'Asphalt Plant (AP-7)'!$C$11*365,""))),IF(E27="AP-8",IF(E27="AP-8",IF('Asphalt Plant (AP-8)'!$C$10&gt;0,'Asphalt Plant (AP-8)'!$C$10,IF('Asphalt Plant (AP-8)'!$C$11&gt;0,'Asphalt Plant (AP-8)'!$C$11*365,""))),IF(E27="AP-9",IF(E27="AP-9",IF('Asphalt Plant (AP-9)'!$C$10&gt;0,'Asphalt Plant (AP-9)'!$C$10,IF('Asphalt Plant (AP-9)'!$C$11&gt;0,'Asphalt Plant (AP-9)'!$C$11*365,""))),IF(E27="AP-10",IF(E27="AP-10",IF('Asphalt Plant (AP-10)'!$C$10&gt;0,'Asphalt Plant (AP-10)'!$C$10,IF('Asphalt Plant (AP-10)'!$C$11&gt;0,'Asphalt Plant (AP-10)'!$C$11*365,""))))))))))))))</f>
        <v/>
      </c>
      <c r="N27" s="132"/>
      <c r="O27" s="132"/>
      <c r="P27" s="119" t="str">
        <f t="shared" si="0"/>
        <v/>
      </c>
      <c r="Q27" s="119" t="str">
        <f t="shared" si="15"/>
        <v/>
      </c>
      <c r="R27" s="14" t="str">
        <f t="shared" si="16"/>
        <v/>
      </c>
      <c r="S27" s="14" t="str">
        <f t="shared" si="1"/>
        <v/>
      </c>
      <c r="T27" s="139"/>
      <c r="U27" s="130" t="str">
        <f t="shared" si="2"/>
        <v/>
      </c>
      <c r="V27" s="130" t="str">
        <f t="shared" si="3"/>
        <v/>
      </c>
      <c r="W27" s="130" t="str">
        <f t="shared" si="4"/>
        <v/>
      </c>
      <c r="X27" s="130" t="str">
        <f t="shared" si="5"/>
        <v/>
      </c>
      <c r="Y27" s="130" t="str">
        <f t="shared" si="6"/>
        <v/>
      </c>
      <c r="Z27" s="130" t="str">
        <f t="shared" si="7"/>
        <v/>
      </c>
      <c r="AA27" s="130" t="str">
        <f t="shared" si="8"/>
        <v/>
      </c>
      <c r="AB27" s="130" t="str">
        <f t="shared" si="9"/>
        <v/>
      </c>
      <c r="AC27" s="130" t="str">
        <f t="shared" si="10"/>
        <v/>
      </c>
      <c r="AD27" s="130" t="str">
        <f t="shared" si="11"/>
        <v/>
      </c>
      <c r="AE27" s="6" t="str">
        <f t="shared" si="21"/>
        <v/>
      </c>
      <c r="AF27" s="141" t="s">
        <v>267</v>
      </c>
      <c r="AG27" s="141" t="str">
        <f>IF('Asphalt Plant (AP-9)'!$C$10&gt;0,'Asphalt Plant (AP-9)'!$C$10,IF('Asphalt Plant (AP-9)'!$C$11&gt;0,'Asphalt Plant (AP-9)'!$C$11*365,""))</f>
        <v/>
      </c>
    </row>
    <row r="28" spans="1:41" x14ac:dyDescent="0.25">
      <c r="B28" s="66"/>
      <c r="C28" s="66"/>
      <c r="D28" s="14"/>
      <c r="E28" s="14"/>
      <c r="F28" s="14"/>
      <c r="G28" s="132"/>
      <c r="H28" s="132"/>
      <c r="I28" s="14"/>
      <c r="J28" s="130" t="str">
        <f t="shared" si="13"/>
        <v/>
      </c>
      <c r="K28" s="130" t="str">
        <f t="shared" si="14"/>
        <v/>
      </c>
      <c r="L28" s="132"/>
      <c r="M28" s="119" t="str">
        <f>IF(E28="","",IF(E28="AP-1",IF('Asphalt Plant (AP-1)'!$C$10&gt;0,'Asphalt Plant (AP-1)'!$C$10,IF('Asphalt Plant (AP-1)'!$C$11&gt;0,'Asphalt Plant (AP-1)'!$C$11*365,"")),IF(E28="AP-2",IF(E28="AP-2",IF('Asphalt Plant (AP-2)'!$C$10&gt;0,'Asphalt Plant (AP-2)'!$C$10,IF('Asphalt Plant (AP-2)'!$C$11&gt;0,'Asphalt Plant (AP-2)'!$C$11*365,""))),IF(E28="AP-3",IF(E28="AP-3",IF('Asphalt Plant (AP-3)'!$C$10&gt;0,'Asphalt Plant (AP-3)'!$C$10,IF('Asphalt Plant (AP-3)'!$C$11&gt;0,'Asphalt Plant (AP-3)'!$C$11*365,""))),IF(E28="AP-4",IF(E28="AP-4",IF('Asphalt Plant (AP-4)'!$C$10&gt;0,'Asphalt Plant (AP-4)'!$C$10,IF('Asphalt Plant (AP-4)'!$C$11&gt;0,'Asphalt Plant (AP-4)'!$C$11*365,""))),IF(E28="AP-5",IF(E28="AP-5",IF('Asphalt Plant (AP-5)'!$C$10&gt;0,'Asphalt Plant (AP-5)'!$C$10,IF('Asphalt Plant (AP-5)'!$C$11&gt;0,'Asphalt Plant (AP-5)'!$C$11*365,""))),IF(E28="AP-6",IF(E28="AP-6",IF('Asphalt Plant (AP-6)'!$C$10&gt;0,'Asphalt Plant (AP-6)'!$C$10,IF('Asphalt Plant (AP-6)'!$C$11&gt;0,'Asphalt Plant (AP-6)'!$C$11*365,""))),IF(E28="AP-7",IF(E28="AP-7",IF('Asphalt Plant (AP-7)'!$C$10&gt;0,'Asphalt Plant (AP-7)'!$C$10,IF('Asphalt Plant (AP-7)'!$C$11&gt;0,'Asphalt Plant (AP-7)'!$C$11*365,""))),IF(E28="AP-8",IF(E28="AP-8",IF('Asphalt Plant (AP-8)'!$C$10&gt;0,'Asphalt Plant (AP-8)'!$C$10,IF('Asphalt Plant (AP-8)'!$C$11&gt;0,'Asphalt Plant (AP-8)'!$C$11*365,""))),IF(E28="AP-9",IF(E28="AP-9",IF('Asphalt Plant (AP-9)'!$C$10&gt;0,'Asphalt Plant (AP-9)'!$C$10,IF('Asphalt Plant (AP-9)'!$C$11&gt;0,'Asphalt Plant (AP-9)'!$C$11*365,""))),IF(E28="AP-10",IF(E28="AP-10",IF('Asphalt Plant (AP-10)'!$C$10&gt;0,'Asphalt Plant (AP-10)'!$C$10,IF('Asphalt Plant (AP-10)'!$C$11&gt;0,'Asphalt Plant (AP-10)'!$C$11*365,""))))))))))))))</f>
        <v/>
      </c>
      <c r="N28" s="132"/>
      <c r="O28" s="132"/>
      <c r="P28" s="119" t="str">
        <f t="shared" si="0"/>
        <v/>
      </c>
      <c r="Q28" s="119" t="str">
        <f t="shared" si="15"/>
        <v/>
      </c>
      <c r="R28" s="14" t="str">
        <f t="shared" si="16"/>
        <v/>
      </c>
      <c r="S28" s="14" t="str">
        <f t="shared" si="1"/>
        <v/>
      </c>
      <c r="T28" s="139"/>
      <c r="U28" s="130" t="str">
        <f t="shared" si="2"/>
        <v/>
      </c>
      <c r="V28" s="130" t="str">
        <f t="shared" si="3"/>
        <v/>
      </c>
      <c r="W28" s="130" t="str">
        <f t="shared" si="4"/>
        <v/>
      </c>
      <c r="X28" s="130" t="str">
        <f t="shared" si="5"/>
        <v/>
      </c>
      <c r="Y28" s="130" t="str">
        <f t="shared" si="6"/>
        <v/>
      </c>
      <c r="Z28" s="130" t="str">
        <f t="shared" si="7"/>
        <v/>
      </c>
      <c r="AA28" s="130" t="str">
        <f t="shared" si="8"/>
        <v/>
      </c>
      <c r="AB28" s="130" t="str">
        <f t="shared" si="9"/>
        <v/>
      </c>
      <c r="AC28" s="130" t="str">
        <f t="shared" si="10"/>
        <v/>
      </c>
      <c r="AD28" s="130" t="str">
        <f t="shared" si="11"/>
        <v/>
      </c>
      <c r="AE28" s="6" t="str">
        <f t="shared" si="21"/>
        <v/>
      </c>
      <c r="AF28" s="141" t="s">
        <v>268</v>
      </c>
      <c r="AG28" s="141" t="str">
        <f>IF('Asphalt Plant (AP-10)'!$C$10&gt;0,'Asphalt Plant (AP-10)'!$C$10,IF('Asphalt Plant (AP-10)'!$C$11&gt;0,'Asphalt Plant (AP-10)'!$C$11*365,""))</f>
        <v/>
      </c>
    </row>
    <row r="29" spans="1:41" x14ac:dyDescent="0.25">
      <c r="B29" s="66"/>
      <c r="C29" s="66"/>
      <c r="D29" s="14"/>
      <c r="E29" s="14"/>
      <c r="F29" s="14"/>
      <c r="G29" s="132"/>
      <c r="H29" s="132"/>
      <c r="I29" s="14"/>
      <c r="J29" s="130" t="str">
        <f t="shared" si="13"/>
        <v/>
      </c>
      <c r="K29" s="130" t="str">
        <f t="shared" si="14"/>
        <v/>
      </c>
      <c r="L29" s="132"/>
      <c r="M29" s="119" t="str">
        <f>IF(E29="","",IF(E29="AP-1",IF('Asphalt Plant (AP-1)'!$C$10&gt;0,'Asphalt Plant (AP-1)'!$C$10,IF('Asphalt Plant (AP-1)'!$C$11&gt;0,'Asphalt Plant (AP-1)'!$C$11*365,"")),IF(E29="AP-2",IF(E29="AP-2",IF('Asphalt Plant (AP-2)'!$C$10&gt;0,'Asphalt Plant (AP-2)'!$C$10,IF('Asphalt Plant (AP-2)'!$C$11&gt;0,'Asphalt Plant (AP-2)'!$C$11*365,""))),IF(E29="AP-3",IF(E29="AP-3",IF('Asphalt Plant (AP-3)'!$C$10&gt;0,'Asphalt Plant (AP-3)'!$C$10,IF('Asphalt Plant (AP-3)'!$C$11&gt;0,'Asphalt Plant (AP-3)'!$C$11*365,""))),IF(E29="AP-4",IF(E29="AP-4",IF('Asphalt Plant (AP-4)'!$C$10&gt;0,'Asphalt Plant (AP-4)'!$C$10,IF('Asphalt Plant (AP-4)'!$C$11&gt;0,'Asphalt Plant (AP-4)'!$C$11*365,""))),IF(E29="AP-5",IF(E29="AP-5",IF('Asphalt Plant (AP-5)'!$C$10&gt;0,'Asphalt Plant (AP-5)'!$C$10,IF('Asphalt Plant (AP-5)'!$C$11&gt;0,'Asphalt Plant (AP-5)'!$C$11*365,""))),IF(E29="AP-6",IF(E29="AP-6",IF('Asphalt Plant (AP-6)'!$C$10&gt;0,'Asphalt Plant (AP-6)'!$C$10,IF('Asphalt Plant (AP-6)'!$C$11&gt;0,'Asphalt Plant (AP-6)'!$C$11*365,""))),IF(E29="AP-7",IF(E29="AP-7",IF('Asphalt Plant (AP-7)'!$C$10&gt;0,'Asphalt Plant (AP-7)'!$C$10,IF('Asphalt Plant (AP-7)'!$C$11&gt;0,'Asphalt Plant (AP-7)'!$C$11*365,""))),IF(E29="AP-8",IF(E29="AP-8",IF('Asphalt Plant (AP-8)'!$C$10&gt;0,'Asphalt Plant (AP-8)'!$C$10,IF('Asphalt Plant (AP-8)'!$C$11&gt;0,'Asphalt Plant (AP-8)'!$C$11*365,""))),IF(E29="AP-9",IF(E29="AP-9",IF('Asphalt Plant (AP-9)'!$C$10&gt;0,'Asphalt Plant (AP-9)'!$C$10,IF('Asphalt Plant (AP-9)'!$C$11&gt;0,'Asphalt Plant (AP-9)'!$C$11*365,""))),IF(E29="AP-10",IF(E29="AP-10",IF('Asphalt Plant (AP-10)'!$C$10&gt;0,'Asphalt Plant (AP-10)'!$C$10,IF('Asphalt Plant (AP-10)'!$C$11&gt;0,'Asphalt Plant (AP-10)'!$C$11*365,""))))))))))))))</f>
        <v/>
      </c>
      <c r="N29" s="132"/>
      <c r="O29" s="132"/>
      <c r="P29" s="119" t="str">
        <f t="shared" si="0"/>
        <v/>
      </c>
      <c r="Q29" s="119" t="str">
        <f t="shared" si="15"/>
        <v/>
      </c>
      <c r="R29" s="14" t="str">
        <f t="shared" si="16"/>
        <v/>
      </c>
      <c r="S29" s="14" t="str">
        <f t="shared" si="1"/>
        <v/>
      </c>
      <c r="T29" s="139"/>
      <c r="U29" s="130" t="str">
        <f t="shared" si="2"/>
        <v/>
      </c>
      <c r="V29" s="130" t="str">
        <f t="shared" si="3"/>
        <v/>
      </c>
      <c r="W29" s="130" t="str">
        <f t="shared" si="4"/>
        <v/>
      </c>
      <c r="X29" s="130" t="str">
        <f t="shared" si="5"/>
        <v/>
      </c>
      <c r="Y29" s="130" t="str">
        <f t="shared" si="6"/>
        <v/>
      </c>
      <c r="Z29" s="130" t="str">
        <f t="shared" si="7"/>
        <v/>
      </c>
      <c r="AA29" s="130" t="str">
        <f t="shared" si="8"/>
        <v/>
      </c>
      <c r="AB29" s="130" t="str">
        <f t="shared" si="9"/>
        <v/>
      </c>
      <c r="AC29" s="130" t="str">
        <f t="shared" si="10"/>
        <v/>
      </c>
      <c r="AD29" s="130" t="str">
        <f t="shared" si="11"/>
        <v/>
      </c>
      <c r="AE29" s="6" t="str">
        <f t="shared" si="21"/>
        <v/>
      </c>
    </row>
    <row r="30" spans="1:41" x14ac:dyDescent="0.25">
      <c r="B30" s="66"/>
      <c r="C30" s="66"/>
      <c r="D30" s="14"/>
      <c r="E30" s="14"/>
      <c r="F30" s="14"/>
      <c r="G30" s="132"/>
      <c r="H30" s="132"/>
      <c r="I30" s="14"/>
      <c r="J30" s="130" t="str">
        <f t="shared" si="13"/>
        <v/>
      </c>
      <c r="K30" s="130" t="str">
        <f t="shared" si="14"/>
        <v/>
      </c>
      <c r="L30" s="132"/>
      <c r="M30" s="119" t="str">
        <f>IF(E30="","",IF(E30="AP-1",IF('Asphalt Plant (AP-1)'!$C$10&gt;0,'Asphalt Plant (AP-1)'!$C$10,IF('Asphalt Plant (AP-1)'!$C$11&gt;0,'Asphalt Plant (AP-1)'!$C$11*365,"")),IF(E30="AP-2",IF(E30="AP-2",IF('Asphalt Plant (AP-2)'!$C$10&gt;0,'Asphalt Plant (AP-2)'!$C$10,IF('Asphalt Plant (AP-2)'!$C$11&gt;0,'Asphalt Plant (AP-2)'!$C$11*365,""))),IF(E30="AP-3",IF(E30="AP-3",IF('Asphalt Plant (AP-3)'!$C$10&gt;0,'Asphalt Plant (AP-3)'!$C$10,IF('Asphalt Plant (AP-3)'!$C$11&gt;0,'Asphalt Plant (AP-3)'!$C$11*365,""))),IF(E30="AP-4",IF(E30="AP-4",IF('Asphalt Plant (AP-4)'!$C$10&gt;0,'Asphalt Plant (AP-4)'!$C$10,IF('Asphalt Plant (AP-4)'!$C$11&gt;0,'Asphalt Plant (AP-4)'!$C$11*365,""))),IF(E30="AP-5",IF(E30="AP-5",IF('Asphalt Plant (AP-5)'!$C$10&gt;0,'Asphalt Plant (AP-5)'!$C$10,IF('Asphalt Plant (AP-5)'!$C$11&gt;0,'Asphalt Plant (AP-5)'!$C$11*365,""))),IF(E30="AP-6",IF(E30="AP-6",IF('Asphalt Plant (AP-6)'!$C$10&gt;0,'Asphalt Plant (AP-6)'!$C$10,IF('Asphalt Plant (AP-6)'!$C$11&gt;0,'Asphalt Plant (AP-6)'!$C$11*365,""))),IF(E30="AP-7",IF(E30="AP-7",IF('Asphalt Plant (AP-7)'!$C$10&gt;0,'Asphalt Plant (AP-7)'!$C$10,IF('Asphalt Plant (AP-7)'!$C$11&gt;0,'Asphalt Plant (AP-7)'!$C$11*365,""))),IF(E30="AP-8",IF(E30="AP-8",IF('Asphalt Plant (AP-8)'!$C$10&gt;0,'Asphalt Plant (AP-8)'!$C$10,IF('Asphalt Plant (AP-8)'!$C$11&gt;0,'Asphalt Plant (AP-8)'!$C$11*365,""))),IF(E30="AP-9",IF(E30="AP-9",IF('Asphalt Plant (AP-9)'!$C$10&gt;0,'Asphalt Plant (AP-9)'!$C$10,IF('Asphalt Plant (AP-9)'!$C$11&gt;0,'Asphalt Plant (AP-9)'!$C$11*365,""))),IF(E30="AP-10",IF(E30="AP-10",IF('Asphalt Plant (AP-10)'!$C$10&gt;0,'Asphalt Plant (AP-10)'!$C$10,IF('Asphalt Plant (AP-10)'!$C$11&gt;0,'Asphalt Plant (AP-10)'!$C$11*365,""))))))))))))))</f>
        <v/>
      </c>
      <c r="N30" s="132"/>
      <c r="O30" s="132"/>
      <c r="P30" s="119" t="str">
        <f t="shared" si="0"/>
        <v/>
      </c>
      <c r="Q30" s="119" t="str">
        <f t="shared" si="15"/>
        <v/>
      </c>
      <c r="R30" s="14" t="str">
        <f t="shared" si="16"/>
        <v/>
      </c>
      <c r="S30" s="14" t="str">
        <f t="shared" si="1"/>
        <v/>
      </c>
      <c r="T30" s="139"/>
      <c r="U30" s="130" t="str">
        <f t="shared" si="2"/>
        <v/>
      </c>
      <c r="V30" s="130" t="str">
        <f t="shared" si="3"/>
        <v/>
      </c>
      <c r="W30" s="130" t="str">
        <f t="shared" si="4"/>
        <v/>
      </c>
      <c r="X30" s="130" t="str">
        <f t="shared" si="5"/>
        <v/>
      </c>
      <c r="Y30" s="130" t="str">
        <f t="shared" si="6"/>
        <v/>
      </c>
      <c r="Z30" s="130" t="str">
        <f t="shared" si="7"/>
        <v/>
      </c>
      <c r="AA30" s="130" t="str">
        <f t="shared" si="8"/>
        <v/>
      </c>
      <c r="AB30" s="130" t="str">
        <f t="shared" si="9"/>
        <v/>
      </c>
      <c r="AC30" s="130" t="str">
        <f t="shared" si="10"/>
        <v/>
      </c>
      <c r="AD30" s="130" t="str">
        <f t="shared" si="11"/>
        <v/>
      </c>
      <c r="AE30" s="6" t="str">
        <f t="shared" si="21"/>
        <v/>
      </c>
    </row>
    <row r="31" spans="1:41" x14ac:dyDescent="0.25">
      <c r="B31" s="66"/>
      <c r="C31" s="66"/>
      <c r="D31" s="14"/>
      <c r="E31" s="14"/>
      <c r="F31" s="14"/>
      <c r="G31" s="132"/>
      <c r="H31" s="132"/>
      <c r="I31" s="14"/>
      <c r="J31" s="130" t="str">
        <f t="shared" si="13"/>
        <v/>
      </c>
      <c r="K31" s="130" t="str">
        <f t="shared" si="14"/>
        <v/>
      </c>
      <c r="L31" s="132"/>
      <c r="M31" s="119" t="str">
        <f>IF(E31="","",IF(E31="AP-1",IF('Asphalt Plant (AP-1)'!$C$10&gt;0,'Asphalt Plant (AP-1)'!$C$10,IF('Asphalt Plant (AP-1)'!$C$11&gt;0,'Asphalt Plant (AP-1)'!$C$11*365,"")),IF(E31="AP-2",IF(E31="AP-2",IF('Asphalt Plant (AP-2)'!$C$10&gt;0,'Asphalt Plant (AP-2)'!$C$10,IF('Asphalt Plant (AP-2)'!$C$11&gt;0,'Asphalt Plant (AP-2)'!$C$11*365,""))),IF(E31="AP-3",IF(E31="AP-3",IF('Asphalt Plant (AP-3)'!$C$10&gt;0,'Asphalt Plant (AP-3)'!$C$10,IF('Asphalt Plant (AP-3)'!$C$11&gt;0,'Asphalt Plant (AP-3)'!$C$11*365,""))),IF(E31="AP-4",IF(E31="AP-4",IF('Asphalt Plant (AP-4)'!$C$10&gt;0,'Asphalt Plant (AP-4)'!$C$10,IF('Asphalt Plant (AP-4)'!$C$11&gt;0,'Asphalt Plant (AP-4)'!$C$11*365,""))),IF(E31="AP-5",IF(E31="AP-5",IF('Asphalt Plant (AP-5)'!$C$10&gt;0,'Asphalt Plant (AP-5)'!$C$10,IF('Asphalt Plant (AP-5)'!$C$11&gt;0,'Asphalt Plant (AP-5)'!$C$11*365,""))),IF(E31="AP-6",IF(E31="AP-6",IF('Asphalt Plant (AP-6)'!$C$10&gt;0,'Asphalt Plant (AP-6)'!$C$10,IF('Asphalt Plant (AP-6)'!$C$11&gt;0,'Asphalt Plant (AP-6)'!$C$11*365,""))),IF(E31="AP-7",IF(E31="AP-7",IF('Asphalt Plant (AP-7)'!$C$10&gt;0,'Asphalt Plant (AP-7)'!$C$10,IF('Asphalt Plant (AP-7)'!$C$11&gt;0,'Asphalt Plant (AP-7)'!$C$11*365,""))),IF(E31="AP-8",IF(E31="AP-8",IF('Asphalt Plant (AP-8)'!$C$10&gt;0,'Asphalt Plant (AP-8)'!$C$10,IF('Asphalt Plant (AP-8)'!$C$11&gt;0,'Asphalt Plant (AP-8)'!$C$11*365,""))),IF(E31="AP-9",IF(E31="AP-9",IF('Asphalt Plant (AP-9)'!$C$10&gt;0,'Asphalt Plant (AP-9)'!$C$10,IF('Asphalt Plant (AP-9)'!$C$11&gt;0,'Asphalt Plant (AP-9)'!$C$11*365,""))),IF(E31="AP-10",IF(E31="AP-10",IF('Asphalt Plant (AP-10)'!$C$10&gt;0,'Asphalt Plant (AP-10)'!$C$10,IF('Asphalt Plant (AP-10)'!$C$11&gt;0,'Asphalt Plant (AP-10)'!$C$11*365,""))))))))))))))</f>
        <v/>
      </c>
      <c r="N31" s="132"/>
      <c r="O31" s="132"/>
      <c r="P31" s="119" t="str">
        <f t="shared" si="0"/>
        <v/>
      </c>
      <c r="Q31" s="119" t="str">
        <f t="shared" si="15"/>
        <v/>
      </c>
      <c r="R31" s="14" t="str">
        <f t="shared" si="16"/>
        <v/>
      </c>
      <c r="S31" s="14" t="str">
        <f t="shared" si="1"/>
        <v/>
      </c>
      <c r="T31" s="139"/>
      <c r="U31" s="130" t="str">
        <f t="shared" si="2"/>
        <v/>
      </c>
      <c r="V31" s="130" t="str">
        <f t="shared" si="3"/>
        <v/>
      </c>
      <c r="W31" s="130" t="str">
        <f t="shared" si="4"/>
        <v/>
      </c>
      <c r="X31" s="130" t="str">
        <f t="shared" si="5"/>
        <v/>
      </c>
      <c r="Y31" s="130" t="str">
        <f t="shared" si="6"/>
        <v/>
      </c>
      <c r="Z31" s="130" t="str">
        <f t="shared" si="7"/>
        <v/>
      </c>
      <c r="AA31" s="130" t="str">
        <f t="shared" si="8"/>
        <v/>
      </c>
      <c r="AB31" s="130" t="str">
        <f t="shared" si="9"/>
        <v/>
      </c>
      <c r="AC31" s="130" t="str">
        <f t="shared" si="10"/>
        <v/>
      </c>
      <c r="AD31" s="130" t="str">
        <f t="shared" si="11"/>
        <v/>
      </c>
      <c r="AE31" s="6" t="str">
        <f t="shared" si="21"/>
        <v/>
      </c>
    </row>
    <row r="32" spans="1:41" x14ac:dyDescent="0.25">
      <c r="B32" s="66"/>
      <c r="C32" s="66"/>
      <c r="D32" s="14"/>
      <c r="E32" s="14"/>
      <c r="F32" s="14"/>
      <c r="G32" s="132"/>
      <c r="H32" s="132"/>
      <c r="I32" s="14"/>
      <c r="J32" s="130" t="str">
        <f t="shared" si="13"/>
        <v/>
      </c>
      <c r="K32" s="130" t="str">
        <f t="shared" si="14"/>
        <v/>
      </c>
      <c r="L32" s="132"/>
      <c r="M32" s="119" t="str">
        <f>IF(E32="","",IF(E32="AP-1",IF('Asphalt Plant (AP-1)'!$C$10&gt;0,'Asphalt Plant (AP-1)'!$C$10,IF('Asphalt Plant (AP-1)'!$C$11&gt;0,'Asphalt Plant (AP-1)'!$C$11*365,"")),IF(E32="AP-2",IF(E32="AP-2",IF('Asphalt Plant (AP-2)'!$C$10&gt;0,'Asphalt Plant (AP-2)'!$C$10,IF('Asphalt Plant (AP-2)'!$C$11&gt;0,'Asphalt Plant (AP-2)'!$C$11*365,""))),IF(E32="AP-3",IF(E32="AP-3",IF('Asphalt Plant (AP-3)'!$C$10&gt;0,'Asphalt Plant (AP-3)'!$C$10,IF('Asphalt Plant (AP-3)'!$C$11&gt;0,'Asphalt Plant (AP-3)'!$C$11*365,""))),IF(E32="AP-4",IF(E32="AP-4",IF('Asphalt Plant (AP-4)'!$C$10&gt;0,'Asphalt Plant (AP-4)'!$C$10,IF('Asphalt Plant (AP-4)'!$C$11&gt;0,'Asphalt Plant (AP-4)'!$C$11*365,""))),IF(E32="AP-5",IF(E32="AP-5",IF('Asphalt Plant (AP-5)'!$C$10&gt;0,'Asphalt Plant (AP-5)'!$C$10,IF('Asphalt Plant (AP-5)'!$C$11&gt;0,'Asphalt Plant (AP-5)'!$C$11*365,""))),IF(E32="AP-6",IF(E32="AP-6",IF('Asphalt Plant (AP-6)'!$C$10&gt;0,'Asphalt Plant (AP-6)'!$C$10,IF('Asphalt Plant (AP-6)'!$C$11&gt;0,'Asphalt Plant (AP-6)'!$C$11*365,""))),IF(E32="AP-7",IF(E32="AP-7",IF('Asphalt Plant (AP-7)'!$C$10&gt;0,'Asphalt Plant (AP-7)'!$C$10,IF('Asphalt Plant (AP-7)'!$C$11&gt;0,'Asphalt Plant (AP-7)'!$C$11*365,""))),IF(E32="AP-8",IF(E32="AP-8",IF('Asphalt Plant (AP-8)'!$C$10&gt;0,'Asphalt Plant (AP-8)'!$C$10,IF('Asphalt Plant (AP-8)'!$C$11&gt;0,'Asphalt Plant (AP-8)'!$C$11*365,""))),IF(E32="AP-9",IF(E32="AP-9",IF('Asphalt Plant (AP-9)'!$C$10&gt;0,'Asphalt Plant (AP-9)'!$C$10,IF('Asphalt Plant (AP-9)'!$C$11&gt;0,'Asphalt Plant (AP-9)'!$C$11*365,""))),IF(E32="AP-10",IF(E32="AP-10",IF('Asphalt Plant (AP-10)'!$C$10&gt;0,'Asphalt Plant (AP-10)'!$C$10,IF('Asphalt Plant (AP-10)'!$C$11&gt;0,'Asphalt Plant (AP-10)'!$C$11*365,""))))))))))))))</f>
        <v/>
      </c>
      <c r="N32" s="132"/>
      <c r="O32" s="132"/>
      <c r="P32" s="119" t="str">
        <f t="shared" si="0"/>
        <v/>
      </c>
      <c r="Q32" s="119" t="str">
        <f t="shared" si="15"/>
        <v/>
      </c>
      <c r="R32" s="14" t="str">
        <f t="shared" si="16"/>
        <v/>
      </c>
      <c r="S32" s="14" t="str">
        <f t="shared" si="1"/>
        <v/>
      </c>
      <c r="T32" s="139"/>
      <c r="U32" s="130" t="str">
        <f t="shared" si="2"/>
        <v/>
      </c>
      <c r="V32" s="130" t="str">
        <f t="shared" si="3"/>
        <v/>
      </c>
      <c r="W32" s="130" t="str">
        <f t="shared" si="4"/>
        <v/>
      </c>
      <c r="X32" s="130" t="str">
        <f t="shared" si="5"/>
        <v/>
      </c>
      <c r="Y32" s="130" t="str">
        <f t="shared" si="6"/>
        <v/>
      </c>
      <c r="Z32" s="130" t="str">
        <f t="shared" si="7"/>
        <v/>
      </c>
      <c r="AA32" s="130" t="str">
        <f t="shared" si="8"/>
        <v/>
      </c>
      <c r="AB32" s="130" t="str">
        <f t="shared" si="9"/>
        <v/>
      </c>
      <c r="AC32" s="130" t="str">
        <f t="shared" si="10"/>
        <v/>
      </c>
      <c r="AD32" s="130" t="str">
        <f t="shared" si="11"/>
        <v/>
      </c>
      <c r="AE32" s="6" t="str">
        <f t="shared" si="21"/>
        <v/>
      </c>
    </row>
    <row r="33" spans="2:31" x14ac:dyDescent="0.25">
      <c r="B33" s="66"/>
      <c r="C33" s="66"/>
      <c r="D33" s="14"/>
      <c r="E33" s="14"/>
      <c r="F33" s="14"/>
      <c r="G33" s="132"/>
      <c r="H33" s="132"/>
      <c r="I33" s="14"/>
      <c r="J33" s="130" t="str">
        <f t="shared" si="13"/>
        <v/>
      </c>
      <c r="K33" s="130" t="str">
        <f t="shared" si="14"/>
        <v/>
      </c>
      <c r="L33" s="132"/>
      <c r="M33" s="119" t="str">
        <f>IF(E33="","",IF(E33="AP-1",IF('Asphalt Plant (AP-1)'!$C$10&gt;0,'Asphalt Plant (AP-1)'!$C$10,IF('Asphalt Plant (AP-1)'!$C$11&gt;0,'Asphalt Plant (AP-1)'!$C$11*365,"")),IF(E33="AP-2",IF(E33="AP-2",IF('Asphalt Plant (AP-2)'!$C$10&gt;0,'Asphalt Plant (AP-2)'!$C$10,IF('Asphalt Plant (AP-2)'!$C$11&gt;0,'Asphalt Plant (AP-2)'!$C$11*365,""))),IF(E33="AP-3",IF(E33="AP-3",IF('Asphalt Plant (AP-3)'!$C$10&gt;0,'Asphalt Plant (AP-3)'!$C$10,IF('Asphalt Plant (AP-3)'!$C$11&gt;0,'Asphalt Plant (AP-3)'!$C$11*365,""))),IF(E33="AP-4",IF(E33="AP-4",IF('Asphalt Plant (AP-4)'!$C$10&gt;0,'Asphalt Plant (AP-4)'!$C$10,IF('Asphalt Plant (AP-4)'!$C$11&gt;0,'Asphalt Plant (AP-4)'!$C$11*365,""))),IF(E33="AP-5",IF(E33="AP-5",IF('Asphalt Plant (AP-5)'!$C$10&gt;0,'Asphalt Plant (AP-5)'!$C$10,IF('Asphalt Plant (AP-5)'!$C$11&gt;0,'Asphalt Plant (AP-5)'!$C$11*365,""))),IF(E33="AP-6",IF(E33="AP-6",IF('Asphalt Plant (AP-6)'!$C$10&gt;0,'Asphalt Plant (AP-6)'!$C$10,IF('Asphalt Plant (AP-6)'!$C$11&gt;0,'Asphalt Plant (AP-6)'!$C$11*365,""))),IF(E33="AP-7",IF(E33="AP-7",IF('Asphalt Plant (AP-7)'!$C$10&gt;0,'Asphalt Plant (AP-7)'!$C$10,IF('Asphalt Plant (AP-7)'!$C$11&gt;0,'Asphalt Plant (AP-7)'!$C$11*365,""))),IF(E33="AP-8",IF(E33="AP-8",IF('Asphalt Plant (AP-8)'!$C$10&gt;0,'Asphalt Plant (AP-8)'!$C$10,IF('Asphalt Plant (AP-8)'!$C$11&gt;0,'Asphalt Plant (AP-8)'!$C$11*365,""))),IF(E33="AP-9",IF(E33="AP-9",IF('Asphalt Plant (AP-9)'!$C$10&gt;0,'Asphalt Plant (AP-9)'!$C$10,IF('Asphalt Plant (AP-9)'!$C$11&gt;0,'Asphalt Plant (AP-9)'!$C$11*365,""))),IF(E33="AP-10",IF(E33="AP-10",IF('Asphalt Plant (AP-10)'!$C$10&gt;0,'Asphalt Plant (AP-10)'!$C$10,IF('Asphalt Plant (AP-10)'!$C$11&gt;0,'Asphalt Plant (AP-10)'!$C$11*365,""))))))))))))))</f>
        <v/>
      </c>
      <c r="N33" s="132"/>
      <c r="O33" s="132"/>
      <c r="P33" s="119" t="str">
        <f t="shared" si="0"/>
        <v/>
      </c>
      <c r="Q33" s="119" t="str">
        <f t="shared" si="15"/>
        <v/>
      </c>
      <c r="R33" s="14" t="str">
        <f t="shared" si="16"/>
        <v/>
      </c>
      <c r="S33" s="14" t="str">
        <f t="shared" si="1"/>
        <v/>
      </c>
      <c r="T33" s="139"/>
      <c r="U33" s="130" t="str">
        <f t="shared" si="2"/>
        <v/>
      </c>
      <c r="V33" s="130" t="str">
        <f t="shared" si="3"/>
        <v/>
      </c>
      <c r="W33" s="130" t="str">
        <f t="shared" si="4"/>
        <v/>
      </c>
      <c r="X33" s="130" t="str">
        <f t="shared" si="5"/>
        <v/>
      </c>
      <c r="Y33" s="130" t="str">
        <f t="shared" si="6"/>
        <v/>
      </c>
      <c r="Z33" s="130" t="str">
        <f t="shared" si="7"/>
        <v/>
      </c>
      <c r="AA33" s="130" t="str">
        <f t="shared" si="8"/>
        <v/>
      </c>
      <c r="AB33" s="130" t="str">
        <f t="shared" si="9"/>
        <v/>
      </c>
      <c r="AC33" s="130" t="str">
        <f t="shared" si="10"/>
        <v/>
      </c>
      <c r="AD33" s="130" t="str">
        <f t="shared" si="11"/>
        <v/>
      </c>
      <c r="AE33" s="6" t="str">
        <f t="shared" si="21"/>
        <v/>
      </c>
    </row>
    <row r="34" spans="2:31" x14ac:dyDescent="0.25">
      <c r="B34" s="66"/>
      <c r="C34" s="66"/>
      <c r="D34" s="14"/>
      <c r="E34" s="14"/>
      <c r="F34" s="14"/>
      <c r="G34" s="132"/>
      <c r="H34" s="132"/>
      <c r="I34" s="14"/>
      <c r="J34" s="130" t="str">
        <f t="shared" si="13"/>
        <v/>
      </c>
      <c r="K34" s="130" t="str">
        <f t="shared" si="14"/>
        <v/>
      </c>
      <c r="L34" s="132"/>
      <c r="M34" s="119" t="str">
        <f>IF(E34="","",IF(E34="AP-1",IF('Asphalt Plant (AP-1)'!$C$10&gt;0,'Asphalt Plant (AP-1)'!$C$10,IF('Asphalt Plant (AP-1)'!$C$11&gt;0,'Asphalt Plant (AP-1)'!$C$11*365,"")),IF(E34="AP-2",IF(E34="AP-2",IF('Asphalt Plant (AP-2)'!$C$10&gt;0,'Asphalt Plant (AP-2)'!$C$10,IF('Asphalt Plant (AP-2)'!$C$11&gt;0,'Asphalt Plant (AP-2)'!$C$11*365,""))),IF(E34="AP-3",IF(E34="AP-3",IF('Asphalt Plant (AP-3)'!$C$10&gt;0,'Asphalt Plant (AP-3)'!$C$10,IF('Asphalt Plant (AP-3)'!$C$11&gt;0,'Asphalt Plant (AP-3)'!$C$11*365,""))),IF(E34="AP-4",IF(E34="AP-4",IF('Asphalt Plant (AP-4)'!$C$10&gt;0,'Asphalt Plant (AP-4)'!$C$10,IF('Asphalt Plant (AP-4)'!$C$11&gt;0,'Asphalt Plant (AP-4)'!$C$11*365,""))),IF(E34="AP-5",IF(E34="AP-5",IF('Asphalt Plant (AP-5)'!$C$10&gt;0,'Asphalt Plant (AP-5)'!$C$10,IF('Asphalt Plant (AP-5)'!$C$11&gt;0,'Asphalt Plant (AP-5)'!$C$11*365,""))),IF(E34="AP-6",IF(E34="AP-6",IF('Asphalt Plant (AP-6)'!$C$10&gt;0,'Asphalt Plant (AP-6)'!$C$10,IF('Asphalt Plant (AP-6)'!$C$11&gt;0,'Asphalt Plant (AP-6)'!$C$11*365,""))),IF(E34="AP-7",IF(E34="AP-7",IF('Asphalt Plant (AP-7)'!$C$10&gt;0,'Asphalt Plant (AP-7)'!$C$10,IF('Asphalt Plant (AP-7)'!$C$11&gt;0,'Asphalt Plant (AP-7)'!$C$11*365,""))),IF(E34="AP-8",IF(E34="AP-8",IF('Asphalt Plant (AP-8)'!$C$10&gt;0,'Asphalt Plant (AP-8)'!$C$10,IF('Asphalt Plant (AP-8)'!$C$11&gt;0,'Asphalt Plant (AP-8)'!$C$11*365,""))),IF(E34="AP-9",IF(E34="AP-9",IF('Asphalt Plant (AP-9)'!$C$10&gt;0,'Asphalt Plant (AP-9)'!$C$10,IF('Asphalt Plant (AP-9)'!$C$11&gt;0,'Asphalt Plant (AP-9)'!$C$11*365,""))),IF(E34="AP-10",IF(E34="AP-10",IF('Asphalt Plant (AP-10)'!$C$10&gt;0,'Asphalt Plant (AP-10)'!$C$10,IF('Asphalt Plant (AP-10)'!$C$11&gt;0,'Asphalt Plant (AP-10)'!$C$11*365,""))))))))))))))</f>
        <v/>
      </c>
      <c r="N34" s="132"/>
      <c r="O34" s="132"/>
      <c r="P34" s="119" t="str">
        <f t="shared" si="0"/>
        <v/>
      </c>
      <c r="Q34" s="119" t="str">
        <f t="shared" si="15"/>
        <v/>
      </c>
      <c r="R34" s="14" t="str">
        <f t="shared" si="16"/>
        <v/>
      </c>
      <c r="S34" s="14" t="str">
        <f t="shared" si="1"/>
        <v/>
      </c>
      <c r="T34" s="139"/>
      <c r="U34" s="130" t="str">
        <f t="shared" si="2"/>
        <v/>
      </c>
      <c r="V34" s="130" t="str">
        <f t="shared" si="3"/>
        <v/>
      </c>
      <c r="W34" s="130" t="str">
        <f t="shared" si="4"/>
        <v/>
      </c>
      <c r="X34" s="130" t="str">
        <f t="shared" si="5"/>
        <v/>
      </c>
      <c r="Y34" s="130" t="str">
        <f t="shared" si="6"/>
        <v/>
      </c>
      <c r="Z34" s="130" t="str">
        <f t="shared" si="7"/>
        <v/>
      </c>
      <c r="AA34" s="130" t="str">
        <f t="shared" si="8"/>
        <v/>
      </c>
      <c r="AB34" s="130" t="str">
        <f t="shared" si="9"/>
        <v/>
      </c>
      <c r="AC34" s="130" t="str">
        <f t="shared" si="10"/>
        <v/>
      </c>
      <c r="AD34" s="130" t="str">
        <f t="shared" si="11"/>
        <v/>
      </c>
      <c r="AE34" s="6" t="str">
        <f t="shared" si="21"/>
        <v/>
      </c>
    </row>
    <row r="35" spans="2:31" x14ac:dyDescent="0.25">
      <c r="B35" s="66"/>
      <c r="C35" s="66"/>
      <c r="D35" s="14"/>
      <c r="E35" s="14"/>
      <c r="F35" s="14"/>
      <c r="G35" s="132"/>
      <c r="H35" s="132"/>
      <c r="I35" s="14"/>
      <c r="J35" s="130" t="str">
        <f t="shared" si="13"/>
        <v/>
      </c>
      <c r="K35" s="130" t="str">
        <f t="shared" si="14"/>
        <v/>
      </c>
      <c r="L35" s="132"/>
      <c r="M35" s="119" t="str">
        <f>IF(E35="","",IF(E35="AP-1",IF('Asphalt Plant (AP-1)'!$C$10&gt;0,'Asphalt Plant (AP-1)'!$C$10,IF('Asphalt Plant (AP-1)'!$C$11&gt;0,'Asphalt Plant (AP-1)'!$C$11*365,"")),IF(E35="AP-2",IF(E35="AP-2",IF('Asphalt Plant (AP-2)'!$C$10&gt;0,'Asphalt Plant (AP-2)'!$C$10,IF('Asphalt Plant (AP-2)'!$C$11&gt;0,'Asphalt Plant (AP-2)'!$C$11*365,""))),IF(E35="AP-3",IF(E35="AP-3",IF('Asphalt Plant (AP-3)'!$C$10&gt;0,'Asphalt Plant (AP-3)'!$C$10,IF('Asphalt Plant (AP-3)'!$C$11&gt;0,'Asphalt Plant (AP-3)'!$C$11*365,""))),IF(E35="AP-4",IF(E35="AP-4",IF('Asphalt Plant (AP-4)'!$C$10&gt;0,'Asphalt Plant (AP-4)'!$C$10,IF('Asphalt Plant (AP-4)'!$C$11&gt;0,'Asphalt Plant (AP-4)'!$C$11*365,""))),IF(E35="AP-5",IF(E35="AP-5",IF('Asphalt Plant (AP-5)'!$C$10&gt;0,'Asphalt Plant (AP-5)'!$C$10,IF('Asphalt Plant (AP-5)'!$C$11&gt;0,'Asphalt Plant (AP-5)'!$C$11*365,""))),IF(E35="AP-6",IF(E35="AP-6",IF('Asphalt Plant (AP-6)'!$C$10&gt;0,'Asphalt Plant (AP-6)'!$C$10,IF('Asphalt Plant (AP-6)'!$C$11&gt;0,'Asphalt Plant (AP-6)'!$C$11*365,""))),IF(E35="AP-7",IF(E35="AP-7",IF('Asphalt Plant (AP-7)'!$C$10&gt;0,'Asphalt Plant (AP-7)'!$C$10,IF('Asphalt Plant (AP-7)'!$C$11&gt;0,'Asphalt Plant (AP-7)'!$C$11*365,""))),IF(E35="AP-8",IF(E35="AP-8",IF('Asphalt Plant (AP-8)'!$C$10&gt;0,'Asphalt Plant (AP-8)'!$C$10,IF('Asphalt Plant (AP-8)'!$C$11&gt;0,'Asphalt Plant (AP-8)'!$C$11*365,""))),IF(E35="AP-9",IF(E35="AP-9",IF('Asphalt Plant (AP-9)'!$C$10&gt;0,'Asphalt Plant (AP-9)'!$C$10,IF('Asphalt Plant (AP-9)'!$C$11&gt;0,'Asphalt Plant (AP-9)'!$C$11*365,""))),IF(E35="AP-10",IF(E35="AP-10",IF('Asphalt Plant (AP-10)'!$C$10&gt;0,'Asphalt Plant (AP-10)'!$C$10,IF('Asphalt Plant (AP-10)'!$C$11&gt;0,'Asphalt Plant (AP-10)'!$C$11*365,""))))))))))))))</f>
        <v/>
      </c>
      <c r="N35" s="132"/>
      <c r="O35" s="132"/>
      <c r="P35" s="119" t="str">
        <f t="shared" si="0"/>
        <v/>
      </c>
      <c r="Q35" s="119" t="str">
        <f t="shared" si="15"/>
        <v/>
      </c>
      <c r="R35" s="14" t="str">
        <f t="shared" si="16"/>
        <v/>
      </c>
      <c r="S35" s="14" t="str">
        <f t="shared" si="1"/>
        <v/>
      </c>
      <c r="T35" s="139"/>
      <c r="U35" s="130" t="str">
        <f t="shared" si="2"/>
        <v/>
      </c>
      <c r="V35" s="130" t="str">
        <f t="shared" si="3"/>
        <v/>
      </c>
      <c r="W35" s="130" t="str">
        <f t="shared" si="4"/>
        <v/>
      </c>
      <c r="X35" s="130" t="str">
        <f t="shared" si="5"/>
        <v/>
      </c>
      <c r="Y35" s="130" t="str">
        <f t="shared" si="6"/>
        <v/>
      </c>
      <c r="Z35" s="130" t="str">
        <f t="shared" si="7"/>
        <v/>
      </c>
      <c r="AA35" s="130" t="str">
        <f t="shared" si="8"/>
        <v/>
      </c>
      <c r="AB35" s="130" t="str">
        <f t="shared" si="9"/>
        <v/>
      </c>
      <c r="AC35" s="130" t="str">
        <f t="shared" si="10"/>
        <v/>
      </c>
      <c r="AD35" s="130" t="str">
        <f t="shared" si="11"/>
        <v/>
      </c>
      <c r="AE35" s="6" t="str">
        <f t="shared" si="21"/>
        <v/>
      </c>
    </row>
    <row r="36" spans="2:31" ht="34.5" hidden="1" customHeight="1" x14ac:dyDescent="0.25">
      <c r="L36" s="6">
        <f>(SUM(IF(AE6="x",L6,0),IF(AE7="x",L7,0),IF(AE8="x",L8,0),IF(AE9="x",L9,0),IF(AE10="x",L10,0),IF(AE11="x",L11,0),IF(AE12="x",L12,0),IF(AE13="x",L13,0),IF(AE14="x",L14,0),IF(AE15="x",L15,0),IF(AE16="x",L16,0),IF(AE17="x",L17,0),IF(AE18="x",L18,0),IF(AE19="x",L19,0),IF(AE20="x",L20,0),IF(AE21="x",L21,0),IF(AE22="x",L22,0),IF(AE23="x",L23,0),IF(AE24="x",L24,0),IF(AE25="x",L25,0),IF(AE26="x",L26,0),IF(AE27="x",L27,0),IF(AE28="x",L28,0),IF(AE29="x",L29,0),IF(AE30="x",L30,0),IF(AE31="x",L31,0),IF(AE32="x",L32,0),IF(AE33="x",L33,0),IF(AE34="x",L34,0),IF(AE35="x",L35,0)))</f>
        <v>0</v>
      </c>
      <c r="M36" s="175"/>
      <c r="P36" s="6">
        <f>(SUM(IF(AE6="x",P6,0),IF(AE7="x",P7,0),IF(AE8="x",P8,0),IF(AE9="x",P9,0),IF(AE10="x",P10,0),IF(AE11="x",P11,0),IF(AE12="x",P12,0),IF(AE13="x",P13,0),IF(AE14="x",P14,0),IF(AE15="x",P15,0),IF(AE16="x",P16,0),IF(AE17="x",P17,0),IF(AE18="x",P18,0),IF(AE19="x",P19,0),IF(AE20="x",P20,0),IF(AE21="x",P21,0),IF(AE22="x",P22,0),IF(AE23="x",P23,0),IF(AE24="x",P24,0),IF(AE25="x",P25,0),IF(AE26="x",P26,0),IF(AE27="x",P27,0),IF(AE28="x",P28,0),IF(AE29="x",P29,0),IF(AE30="x",P30,0),IF(AE31="x",P31,0),IF(AE32="x",P32,0),IF(AE33="x",P33,0),IF(AE34="x",P34,0),IF(AE35="x",P35,0)))</f>
        <v>0</v>
      </c>
      <c r="R36" s="186"/>
      <c r="T36" s="6" t="s">
        <v>135</v>
      </c>
      <c r="U36" s="6">
        <f>(MAX(IF(AE6="x",U6,0),IF(AE7="x",U7,0),IF(AE8="x",U8,0),IF(AE9="x",U9,0),IF(AE10="x",U10,0),IF(AE11="x",U11,0),IF(AE12="x",U12,0),IF(AE13="x",U13,0),IF(AE14="x",U14,0),IF(AE15="x",U15,0),IF(AE26="x",U26,0),IF(AE27="x",U27,0),IF(AE28="x",U28,0),IF(AE29="x",U29,0),IF(AE30="x",U30,0),IF(AE31="x",U31,0),IF(AE32="x",U32,0),IF(AE33="x",U33,0),IF(AE34="x",U34,0),IF(AE35="x",U35,0)))</f>
        <v>0</v>
      </c>
      <c r="V36" s="6">
        <f>(SUM(IF(AE6="x",V6,0),IF(AE7="x",V7,0),IF(AE8="x",V8,0),IF(AE9="x",V9,0),IF(AE10="x",V10,0),IF(AE11="x",V11,0),IF(AE12="x",V12,0),IF(AE13="x",V13,0),IF(AE14="x",V14,0),IF(AE15="x",V15,0),IF(AE26="x",V26,0),IF(AE27="x",V27,0),IF(AE28="x",V28,0),IF(AE29="x",V29,0),IF(AE30="x",V30,0),IF(AE31="x",V31,0),IF(AE32="x",V32,0),IF(AE33="x",V33,0),IF(AE34="x",V34,0),IF(AE35="x",V35,0)))</f>
        <v>0</v>
      </c>
      <c r="W36" s="121">
        <f>SUM(W6:W35)</f>
        <v>0</v>
      </c>
      <c r="X36" s="122" t="str">
        <f t="shared" si="5"/>
        <v/>
      </c>
      <c r="Z36" s="6">
        <f>(MAX(IF(AE6="x",Z6,0),IF(AE7="x",Z7,0),IF(AE8="x",Z8,0),IF(AE9="x",Z9,0),IF(AE10="x",Z10,0),IF(AE11="x",Z11,0),IF(AE12="x",Z12,0),IF(AE13="x",Z13,0),IF(AE14="x",Z14,0),IF(AE15="x",Z15,0),IF(AE26="x",Z26,0),IF(AE27="x",Z27,0),IF(AE28="x",Z28,0),IF(AE29="x",Z29,0),IF(AE30="x",Z30,0),IF(AE31="x",Z31,0),IF(AE32="x",Z32,0),IF(AE33="x",Z33,0),IF(AE34="x",Z34,0),IF(AE35="x",Z35,0)))</f>
        <v>0</v>
      </c>
      <c r="AA36" s="6">
        <f>(SUM(IF(AE6="x",AA6,0),IF(AE7="x",AA7,0),IF(AE8="x",AA8,0),IF(AE9="x",AA9,0),IF(AE10="x",AA10,0),IF(AE11="x",AA11,0),IF(AE12="x",AA12,0),IF(AE13="x",AA13,0),IF(AE14="x",AA14,0),IF(AE15="x",AA15,0),IF(AE26="x",AA26,0),IF(AE27="x",AA27,0),IF(AE28="x",AA28,0),IF(AE29="x",AA29,0),IF(AE30="x",AA30,0),IF(AE31="x",AA31,0),IF(AE32="x",AA32,0),IF(AE33="x",AA33,0),IF(AE34="x",AA34,0),IF(AE35="x",AA35,0)))</f>
        <v>0</v>
      </c>
      <c r="AB36" s="121">
        <f>SUM(AB6:AB35)</f>
        <v>0</v>
      </c>
      <c r="AC36" s="122" t="str">
        <f t="shared" si="10"/>
        <v/>
      </c>
    </row>
    <row r="37" spans="2:31" ht="35.25" hidden="1" customHeight="1" x14ac:dyDescent="0.25">
      <c r="L37" s="6">
        <f>(SUM(IF(AE6="x",0,L6),IF(AE7="x",0,L7),IF(AE8="x",0,L8),IF(AE9="x",0,L9),IF(AE10="x",0,L10),IF(AE11="x",0,L11),IF(AE12="x",0,L12),IF(AE13="x",0,L13),IF(AE14="x",0,L14),IF(AE15="x",0,L15),IF(AE16="x",0,L16),IF(AE17="x",0,L17),IF(AE18="x",0,L18),IF(AE19="x",0,L19),IF(AE20="x",0,L20),IF(AE21="x",0,L21),IF(AE22="x",0,L22),IF(AE23="x",0,L23),IF(AE24="x",0,L24),IF(AE25="x",0,L25),IF(AE26="x",0,L26),IF(AE27="x",0,L27),IF(AE28="x",0,L28),IF(AE29="x",0,L29),IF(AE30="x",0,L30),IF(AE31="x",0,L31),IF(AE32="x",0,L32),IF(AE33="x",0,L33),IF(AE34="x",0,L34),IF(AE35="x",0,L35)))</f>
        <v>0</v>
      </c>
      <c r="M37" s="175"/>
      <c r="P37" s="6">
        <f>(SUM(IF(AE6="x",0,P6),IF(AE7="x",0,P7),IF(AE8="x",0,P8),IF(AE9="x",0,P9),IF(AE10="x",0,P10),IF(AE11="x",0,P11),IF(AE12="x",0,P12),IF(AE13="x",0,P13),IF(AE14="x",0,P14),IF(AE15="x",0,P15),IF(AE16="x",0,P16),IF(AE17="x",0,P17),IF(AE18="x",0,P18),IF(AE19="x",0,P19),IF(AE20="x",0,P20),IF(AE21="x",0,P21),IF(AE22="x",0,P22),IF(AE23="x",0,P23),IF(AE24="x",0,P24),IF(AE25="x",0,P25),IF(AE26="x",0,P26),IF(AE27="x",0,P27),IF(AE28="x",0,P28),IF(AE29="x",0,P29),IF(AE30="x",0,P30),IF(AE31="x",0,P31),IF(AE32="x",0,P32),IF(AE33="x",0,P33),IF(AE34="x",0,P34),IF(AE35="x",0,P35)))</f>
        <v>0</v>
      </c>
      <c r="R37" s="186"/>
      <c r="T37" s="6" t="s">
        <v>136</v>
      </c>
      <c r="U37" s="6">
        <f>(SUM(IF(AE6="x",0,U6),IF(AE7="x",0,U7),IF(AE8="x",0,U8),IF(AE9="x",0,U9),IF(AE10="x",0,U10),IF(AE11="x",0,U11),IF(AE12="x",0,U12),IF(AE13="x",0,U13),IF(AE14="x",0,U14),IF(AE15="x",0,U15),IF(AE26="x",0,U26),IF(AE27="x",0,U27),IF(AE28="x",0,U28),IF(AE29="x",0,U29),IF(AE30="x",0,U30),IF(AE31="x",0,U31),IF(AE32="x",0,U32),IF(AE33="x",0,U33),IF(AE34="x",0,U34),IF(AE35="x",0,U35)))</f>
        <v>0</v>
      </c>
      <c r="V37" s="6">
        <f>(SUM(IF(AE6="x",0,V6),IF(AE7="x",0,V7),IF(AE8="x",0,V8),IF(AE9="x",0,V9),IF(AE10="x",0,V10),IF(AE11="x",0,V11),IF(AE12="x",0,V12),IF(AE13="x",0,V13),IF(AE14="x",0,V14),IF(AE15="x",0,V15),IF(AE26="x",0,V26),IF(AE27="x",0,V27),IF(AE28="x",0,V28),IF(AE29="x",0,V29),IF(AE30="x",0,V30),IF(AE31="x",0,V31),IF(AE32="x",0,V32),IF(AE33="x",0,V33),IF(AE34="x",0,V34),IF(AE35="x",0,V35)))</f>
        <v>0</v>
      </c>
      <c r="Z37" s="6">
        <f>(SUM(IF(AE6="x",0,Z6),IF(AE7="x",0,Z7),IF(AE8="x",0,Z8),IF(AE9="x",0,Z9),IF(AE10="x",0,Z10),IF(AE11="x",0,Z11),IF(AE12="x",0,Z12),IF(AE13="x",0,Z13),IF(AE14="x",0,Z14),IF(AE15="x",0,Z15),IF(AE26="x",0,Z26),IF(AE27="x",0,Z27),IF(AE28="x",0,Z28),IF(AE29="x",0,Z29),IF(AE30="x",0,Z30),IF(AE31="x",0,Z31),IF(AE32="x",0,Z32),IF(AE33="x",0,Z33),IF(AE34="x",0,Z34),IF(AE35="x",0,Z35)))</f>
        <v>0</v>
      </c>
      <c r="AA37" s="6">
        <f>(SUM(IF(AE6="x",0,AA6),IF(AE7="x",0,AA7),IF(AE8="x",0,AA8),IF(AE9="x",0,AA9),IF(AE10="x",0,AA10),IF(AE11="x",0,AA11),IF(AE12="x",0,AA12),IF(AE13="x",0,AA13),IF(AE14="x",0,AA14),IF(AE15="x",0,AA15),IF(AE26="x",0,AA26),IF(AE27="x",0,AA27),IF(AE28="x",0,AA28),IF(AE29="x",0,AA29),IF(AE30="x",0,AA30),IF(AE31="x",0,AA31),IF(AE32="x",0,AA32),IF(AE33="x",0,AA33),IF(AE34="x",0,AA34),IF(AE35="x",0,AA35)))</f>
        <v>0</v>
      </c>
    </row>
    <row r="39" spans="2:31" hidden="1" x14ac:dyDescent="0.25">
      <c r="D39" s="6" t="s">
        <v>159</v>
      </c>
      <c r="L39" s="133">
        <f>(SUM(IF(AE7="x",X7,0),IF(AE8="x",X8,0),IF(AE9="x",X9,0),IF(AE10="x",X10,0),IF(AE11="x",X11,0),IF(AE12="x",X12,0),IF(AE13="x",X13,0),IF(AE14="x",X14,0),IF(AE15="x",X15,0),IF(AE16="x",X16,0),IF(AE17="x",X17,0),IF(AE18="x",X18,0),IF(AE19="x",X19,0),IF(AE20="x",X20,0),IF(AE21="x",X21,0),IF(AE22="x",X22,0),IF(AE23="x",X23,0),IF(AE24="x",X24,0),IF(AE25="x",X25,0),IF(AE26="x",X26,0),IF(AE27="x",X27,0),IF(AE28="x",X28,0),IF(AE29="x",X29,0),IF(AE30="x",X30,0),IF(AE31="x",X31,0),IF(AE32="x",X32,0),IF(AE33="x",X33,0),IF(AE34="x",X34,0),IF(AE35="x",X35,0),IF(AE6="x",X6,0)))</f>
        <v>0</v>
      </c>
    </row>
    <row r="40" spans="2:31" hidden="1" x14ac:dyDescent="0.25">
      <c r="D40" s="6" t="s">
        <v>160</v>
      </c>
      <c r="L40" s="133">
        <f>(SUM(IF(AE7="x",0,X7),IF(AE8="x",0,X8),IF(AE9="x",0,X9),IF(AE10="x",0,X10),IF(AE11="x",0,X11),IF(AE12="x",0,X12),IF(AE13="x",0,X13),IF(AE14="x",0,X14),IF(AE15="x",0,X15),IF(AE16="x",0,X16),IF(AE17="x",0,X17),IF(AE18="x",0,X18),IF(AE19="x",0,X19),IF(AE20="x",0,X20),IF(AE21="x",0,X21),IF(AE22="x",0,X22),IF(AE23="x",0,X23),IF(AE24="x",0,X24),IF(AE25="x",0,X25),IF(AE26="x",0,X26),IF(AE27="x",0,X27),IF(AE28="x",0,X28),IF(AE29="x",0,X29),IF(AE30="x",0,X30),IF(AE31="x",0,X31),IF(AE32="x",0,X32),IF(AE33="x",0,X33),IF(AE34="x",0,X34),IF(AE35="x",0,X35),IF(AE6="x",0,X6)))</f>
        <v>0</v>
      </c>
    </row>
    <row r="41" spans="2:31" hidden="1" x14ac:dyDescent="0.25">
      <c r="D41" s="6" t="s">
        <v>161</v>
      </c>
      <c r="L41" s="133">
        <f>(SUM(IF(AE7="x",AC7,0),IF(AE8="x",AC8,0),IF(AE9="x",AC9,0),IF(AE10="x",AC10,0),IF(AE11="x",AC11,0),IF(AE12="x",AC12,0),IF(AE13="x",AC13,0),IF(AE14="x",AC14,0),IF(AE15="x",AC15,0),IF(AE16="x",AC16,0),IF(AE17="x",AC17,0),IF(AE18="x",AC18,0),IF(AE19="x",AC19,0),IF(AE20="x",AC20,0),IF(AE21="x",AC21,0),IF(AE22="x",AC22,0),IF(AE23="x",AC23,0),IF(AE24="x",AC24,0),IF(AE25="x",AC25,0),IF(AE26="x",AC26,0),IF(AE27="x",AC27,0),IF(AE28="x",AC28,0),IF(AE29="x",AC29,0),IF(AE30="x",AC30,0),IF(AE31="x",AC31,0),IF(AE32="x",AC32,0),IF(AE33="x",AC33,0),IF(AE34="x",AC34,0),IF(AE35="x",AC35,0),IF(AE6="x",AC6,0)))</f>
        <v>0</v>
      </c>
    </row>
    <row r="42" spans="2:31" hidden="1" x14ac:dyDescent="0.25">
      <c r="D42" s="6" t="s">
        <v>162</v>
      </c>
      <c r="L42" s="133">
        <f>(SUM(IF(AE7="x",0,AC7),IF(AE8="x",0,AC8),IF(AE9="x",0,AC9),IF(AE10="x",0,AC10),IF(AE11="x",0,AC11),IF(AE12="x",0,AC12),IF(AE13="x",0,AC13),IF(AE14="x",0,AC14),IF(AE15="x",0,AC15),IF(AE16="x",0,AC16),IF(AE17="x",0,AC17),IF(AE18="x",0,AC18),IF(AE19="x",0,AC19),IF(AE20="x",0,AC20),IF(AE21="x",0,AC21),IF(AE22="x",0,AC22),IF(AE23="x",0,AC23),IF(AE24="x",0,AC24),IF(AE25="x",0,AC25),IF(AE26="x",0,AC26),IF(AE27="x",0,AC27),IF(AE28="x",0,AC28),IF(AE29="x",0,AC29),IF(AE30="x",0,AC30),IF(AE31="x",0,AC31),IF(AE32="x",0,AC32),IF(AE33="x",0,AC33),IF(AE34="x",0,AC34),IF(AE35="x",0,AC35),IF(AE6="x",0,AC6)))</f>
        <v>0</v>
      </c>
    </row>
    <row r="43" spans="2:31" hidden="1" x14ac:dyDescent="0.25">
      <c r="L43" s="65"/>
    </row>
    <row r="44" spans="2:31" x14ac:dyDescent="0.25">
      <c r="D44" s="6" t="s">
        <v>131</v>
      </c>
      <c r="L44" s="133">
        <f>(SUM(IF(AE7="x",Y7,0),IF(AE8="x",Y8,0),IF(AE9="x",Y9,0),IF(AE10="x",Y10,0),IF(AE11="x",Y11,0),IF(AE12="x",Y12,0),IF(AE13="x",Y13,0),IF(AE14="x",Y14,0),IF(AE15="x",Y15,0),IF(AE16="x",Y16,0),IF(AE17="x",Y17,0),IF(AE18="x",Y18,0),IF(AE19="x",Y19,0),IF(AE20="x",Y20,0),IF(AE21="x",Y21,0),IF(AE22="x",Y22,0),IF(AE23="x",Y23,0),IF(AE24="x",Y24,0),IF(AE25="x",Y25,0),IF(AE26="x",Y26,0),IF(AE27="x",Y27,0),IF(AE28="x",Y28,0),IF(AE29="x",Y29,0),IF(AE30="x",Y30,0),IF(AE31="x",Y31,0),IF(AE32="x",Y32,0),IF(AE33="x",Y33,0),IF(AE34="x",Y34,0),IF(AE35="x",Y35,0),IF(AE6="x",Y6,0)))</f>
        <v>0</v>
      </c>
    </row>
    <row r="45" spans="2:31" x14ac:dyDescent="0.25">
      <c r="D45" s="6" t="s">
        <v>132</v>
      </c>
      <c r="L45" s="133">
        <f>(SUM(IF(AE7="x",0,Y7),IF(AE8="x",0,Y8),IF(AE9="x",0,Y9),IF(AE10="x",0,Y10),IF(AE11="x",0,Y11),IF(AE12="x",0,Y12),IF(AE13="x",0,Y13),IF(AE14="x",0,Y14),IF(AE15="x",0,Y15),IF(AE16="x",0,Y16),IF(AE17="x",0,Y17),IF(AE18="x",0,Y18),IF(AE19="x",0,Y19),IF(AE20="x",0,Y20),IF(AE21="x",0,Y21),IF(AE22="x",0,Y22),IF(AE23="x",0,Y23),IF(AE24="x",0,Y24),IF(AE25="x",0,Y25),IF(AE26="x",0,Y26),IF(AE27="x",0,Y27),IF(AE28="x",0,Y28),IF(AE29="x",0,Y29),IF(AE30="x",0,Y30),IF(AE31="x",0,Y31),IF(AE32="x",0,Y32),IF(AE33="x",0,Y33),IF(AE34="x",0,Y34),IF(AE35="x",0,Y35),IF(AE6="x",0,Y6)))</f>
        <v>0</v>
      </c>
    </row>
    <row r="46" spans="2:31" x14ac:dyDescent="0.25">
      <c r="D46" s="6" t="s">
        <v>133</v>
      </c>
      <c r="L46" s="133">
        <f>(SUM(IF(AE7="x",AD7,0),IF(AE8="x",AD8,0),IF(AE9="x",AD9,0),IF(AE10="x",AD10,0),IF(AE11="x",AD11,0),IF(AE12="x",AD12,0),IF(AE13="x",AD13,0),IF(AE14="x",AD14,0),IF(AE15="x",AD15,0),IF(AE16="x",AD16,0),IF(AE17="x",AD17,0),IF(AE18="x",AD18,0),IF(AE19="x",AD19,0),IF(AE20="x",AD20,0),IF(AE21="x",AD21,0),IF(AE22="x",AD22,0),IF(AE23="x",AD23,0),IF(AE24="x",AD24,0),IF(AE25="x",AD25,0),IF(AE26="x",AD26,0),IF(AE27="x",AD27,0),IF(AE28="x",AD28,0),IF(AE29="x",AD29,0),IF(AE30="x",AD30,0),IF(AE31="x",AD31,0),IF(AE32="x",AD32,0),IF(AE33="x",AD33,0),IF(AE34="x",AD34,0),IF(AE35="x",AD35,0),IF(AE6="x",AD6,0)))</f>
        <v>0</v>
      </c>
    </row>
    <row r="47" spans="2:31" x14ac:dyDescent="0.25">
      <c r="D47" s="6" t="s">
        <v>134</v>
      </c>
      <c r="L47" s="133">
        <f>(SUM(IF(AE7="x",0,AD7),IF(AE8="x",0,AD8),IF(AE9="x",0,AD9),IF(AE10="x",0,AD10),IF(AE11="x",0,AD11),IF(AE12="x",0,AD12),IF(AE13="x",0,AD13),IF(AE14="x",0,AD14),IF(AE15="x",0,AD15),IF(AE16="x",0,AD16),IF(AE17="x",0,AD17),IF(AE18="x",0,AD18),IF(AE19="x",0,AD19),IF(AE20="x",0,AD20),IF(AE21="x",0,AD21),IF(AE22="x",0,AD22),IF(AE23="x",0,AD23),IF(AE24="x",0,AD24),IF(AE25="x",0,AD25),IF(AE26="x",0,AD26),IF(AE27="x",0,AD27),IF(AE28="x",0,AD28),IF(AE29="x",0,AD29),IF(AE30="x",0,AD30),IF(AE31="x",0,AD31),IF(AE32="x",0,AD32),IF(AE33="x",0,AD33),IF(AE34="x",0,AD34),IF(AE35="x",0,AD35),IF(AE6="x",0,AD6)))</f>
        <v>0</v>
      </c>
    </row>
  </sheetData>
  <sheetProtection algorithmName="SHA-512" hashValue="MWob7baIWo1B8akS3B9nP9kVUyT6IdoEFVBP8yIMJB9Sq3DroZYYWkmOGRTFs64ZP0nP9sR8BRusm8fMIHwl4w==" saltValue="ez+ke+h/Mu1CciyvJESO/Q==" spinCount="100000" sheet="1" objects="1" scenarios="1"/>
  <conditionalFormatting sqref="T6">
    <cfRule type="notContainsBlanks" dxfId="89" priority="88" stopIfTrue="1">
      <formula>LEN(TRIM(T6))&gt;0</formula>
    </cfRule>
    <cfRule type="cellIs" dxfId="88" priority="135" stopIfTrue="1" operator="notEqual">
      <formula>$B6="Paved Haul Road"</formula>
    </cfRule>
    <cfRule type="cellIs" dxfId="87" priority="155" stopIfTrue="1" operator="notEqual">
      <formula>$B6="Unpaved Haul Road"</formula>
    </cfRule>
  </conditionalFormatting>
  <conditionalFormatting sqref="T7">
    <cfRule type="notContainsBlanks" dxfId="86" priority="85" stopIfTrue="1">
      <formula>LEN(TRIM(T7))&gt;0</formula>
    </cfRule>
    <cfRule type="cellIs" dxfId="85" priority="86" stopIfTrue="1" operator="notEqual">
      <formula>$B7="Paved Haul Road"</formula>
    </cfRule>
    <cfRule type="cellIs" dxfId="84" priority="87" stopIfTrue="1" operator="notEqual">
      <formula>$B7="Unpaved Haul Road"</formula>
    </cfRule>
  </conditionalFormatting>
  <conditionalFormatting sqref="T8">
    <cfRule type="notContainsBlanks" dxfId="83" priority="82" stopIfTrue="1">
      <formula>LEN(TRIM(T8))&gt;0</formula>
    </cfRule>
    <cfRule type="cellIs" dxfId="82" priority="83" stopIfTrue="1" operator="notEqual">
      <formula>$B8="Paved Haul Road"</formula>
    </cfRule>
    <cfRule type="cellIs" dxfId="81" priority="84" stopIfTrue="1" operator="notEqual">
      <formula>$B8="Unpaved Haul Road"</formula>
    </cfRule>
  </conditionalFormatting>
  <conditionalFormatting sqref="T9">
    <cfRule type="notContainsBlanks" dxfId="80" priority="79" stopIfTrue="1">
      <formula>LEN(TRIM(T9))&gt;0</formula>
    </cfRule>
    <cfRule type="cellIs" dxfId="79" priority="80" stopIfTrue="1" operator="notEqual">
      <formula>$B9="Paved Haul Road"</formula>
    </cfRule>
    <cfRule type="cellIs" dxfId="78" priority="81" stopIfTrue="1" operator="notEqual">
      <formula>$B9="Unpaved Haul Road"</formula>
    </cfRule>
  </conditionalFormatting>
  <conditionalFormatting sqref="T10">
    <cfRule type="notContainsBlanks" dxfId="77" priority="76" stopIfTrue="1">
      <formula>LEN(TRIM(T10))&gt;0</formula>
    </cfRule>
    <cfRule type="cellIs" dxfId="76" priority="77" stopIfTrue="1" operator="notEqual">
      <formula>$B10="Paved Haul Road"</formula>
    </cfRule>
    <cfRule type="cellIs" dxfId="75" priority="78" stopIfTrue="1" operator="notEqual">
      <formula>$B10="Unpaved Haul Road"</formula>
    </cfRule>
  </conditionalFormatting>
  <conditionalFormatting sqref="T11">
    <cfRule type="notContainsBlanks" dxfId="74" priority="73" stopIfTrue="1">
      <formula>LEN(TRIM(T11))&gt;0</formula>
    </cfRule>
    <cfRule type="cellIs" dxfId="73" priority="74" stopIfTrue="1" operator="notEqual">
      <formula>$B11="Paved Haul Road"</formula>
    </cfRule>
    <cfRule type="cellIs" dxfId="72" priority="75" stopIfTrue="1" operator="notEqual">
      <formula>$B11="Unpaved Haul Road"</formula>
    </cfRule>
  </conditionalFormatting>
  <conditionalFormatting sqref="T12">
    <cfRule type="notContainsBlanks" dxfId="71" priority="70" stopIfTrue="1">
      <formula>LEN(TRIM(T12))&gt;0</formula>
    </cfRule>
    <cfRule type="cellIs" dxfId="70" priority="71" stopIfTrue="1" operator="notEqual">
      <formula>$B12="Paved Haul Road"</formula>
    </cfRule>
    <cfRule type="cellIs" dxfId="69" priority="72" stopIfTrue="1" operator="notEqual">
      <formula>$B12="Unpaved Haul Road"</formula>
    </cfRule>
  </conditionalFormatting>
  <conditionalFormatting sqref="T13">
    <cfRule type="notContainsBlanks" dxfId="68" priority="67" stopIfTrue="1">
      <formula>LEN(TRIM(T13))&gt;0</formula>
    </cfRule>
    <cfRule type="cellIs" dxfId="67" priority="68" stopIfTrue="1" operator="notEqual">
      <formula>$B13="Paved Haul Road"</formula>
    </cfRule>
    <cfRule type="cellIs" dxfId="66" priority="69" stopIfTrue="1" operator="notEqual">
      <formula>$B13="Unpaved Haul Road"</formula>
    </cfRule>
  </conditionalFormatting>
  <conditionalFormatting sqref="T14">
    <cfRule type="notContainsBlanks" dxfId="65" priority="64" stopIfTrue="1">
      <formula>LEN(TRIM(T14))&gt;0</formula>
    </cfRule>
    <cfRule type="cellIs" dxfId="64" priority="65" stopIfTrue="1" operator="notEqual">
      <formula>$B14="Paved Haul Road"</formula>
    </cfRule>
    <cfRule type="cellIs" dxfId="63" priority="66" stopIfTrue="1" operator="notEqual">
      <formula>$B14="Unpaved Haul Road"</formula>
    </cfRule>
  </conditionalFormatting>
  <conditionalFormatting sqref="T15">
    <cfRule type="notContainsBlanks" dxfId="62" priority="61" stopIfTrue="1">
      <formula>LEN(TRIM(T15))&gt;0</formula>
    </cfRule>
    <cfRule type="cellIs" dxfId="61" priority="62" stopIfTrue="1" operator="notEqual">
      <formula>$B15="Paved Haul Road"</formula>
    </cfRule>
    <cfRule type="cellIs" dxfId="60" priority="63" stopIfTrue="1" operator="notEqual">
      <formula>$B15="Unpaved Haul Road"</formula>
    </cfRule>
  </conditionalFormatting>
  <conditionalFormatting sqref="T26">
    <cfRule type="notContainsBlanks" dxfId="59" priority="58" stopIfTrue="1">
      <formula>LEN(TRIM(T26))&gt;0</formula>
    </cfRule>
    <cfRule type="cellIs" dxfId="58" priority="59" stopIfTrue="1" operator="notEqual">
      <formula>$B26="Paved Haul Road"</formula>
    </cfRule>
    <cfRule type="cellIs" dxfId="57" priority="60" stopIfTrue="1" operator="notEqual">
      <formula>$B26="Unpaved Haul Road"</formula>
    </cfRule>
  </conditionalFormatting>
  <conditionalFormatting sqref="T27">
    <cfRule type="notContainsBlanks" dxfId="56" priority="55" stopIfTrue="1">
      <formula>LEN(TRIM(T27))&gt;0</formula>
    </cfRule>
    <cfRule type="cellIs" dxfId="55" priority="56" stopIfTrue="1" operator="notEqual">
      <formula>$B27="Paved Haul Road"</formula>
    </cfRule>
    <cfRule type="cellIs" dxfId="54" priority="57" stopIfTrue="1" operator="notEqual">
      <formula>$B27="Unpaved Haul Road"</formula>
    </cfRule>
  </conditionalFormatting>
  <conditionalFormatting sqref="T28">
    <cfRule type="notContainsBlanks" dxfId="53" priority="52" stopIfTrue="1">
      <formula>LEN(TRIM(T28))&gt;0</formula>
    </cfRule>
    <cfRule type="cellIs" dxfId="52" priority="53" stopIfTrue="1" operator="notEqual">
      <formula>$B28="Paved Haul Road"</formula>
    </cfRule>
    <cfRule type="cellIs" dxfId="51" priority="54" stopIfTrue="1" operator="notEqual">
      <formula>$B28="Unpaved Haul Road"</formula>
    </cfRule>
  </conditionalFormatting>
  <conditionalFormatting sqref="T29">
    <cfRule type="notContainsBlanks" dxfId="50" priority="49" stopIfTrue="1">
      <formula>LEN(TRIM(T29))&gt;0</formula>
    </cfRule>
    <cfRule type="cellIs" dxfId="49" priority="50" stopIfTrue="1" operator="notEqual">
      <formula>$B29="Paved Haul Road"</formula>
    </cfRule>
    <cfRule type="cellIs" dxfId="48" priority="51" stopIfTrue="1" operator="notEqual">
      <formula>$B29="Unpaved Haul Road"</formula>
    </cfRule>
  </conditionalFormatting>
  <conditionalFormatting sqref="T30">
    <cfRule type="notContainsBlanks" dxfId="47" priority="46" stopIfTrue="1">
      <formula>LEN(TRIM(T30))&gt;0</formula>
    </cfRule>
    <cfRule type="cellIs" dxfId="46" priority="47" stopIfTrue="1" operator="notEqual">
      <formula>$B30="Paved Haul Road"</formula>
    </cfRule>
    <cfRule type="cellIs" dxfId="45" priority="48" stopIfTrue="1" operator="notEqual">
      <formula>$B30="Unpaved Haul Road"</formula>
    </cfRule>
  </conditionalFormatting>
  <conditionalFormatting sqref="T31">
    <cfRule type="notContainsBlanks" dxfId="44" priority="43" stopIfTrue="1">
      <formula>LEN(TRIM(T31))&gt;0</formula>
    </cfRule>
    <cfRule type="cellIs" dxfId="43" priority="44" stopIfTrue="1" operator="notEqual">
      <formula>$B31="Paved Haul Road"</formula>
    </cfRule>
    <cfRule type="cellIs" dxfId="42" priority="45" stopIfTrue="1" operator="notEqual">
      <formula>$B31="Unpaved Haul Road"</formula>
    </cfRule>
  </conditionalFormatting>
  <conditionalFormatting sqref="T32">
    <cfRule type="notContainsBlanks" dxfId="41" priority="40" stopIfTrue="1">
      <formula>LEN(TRIM(T32))&gt;0</formula>
    </cfRule>
    <cfRule type="cellIs" dxfId="40" priority="41" stopIfTrue="1" operator="notEqual">
      <formula>$B32="Paved Haul Road"</formula>
    </cfRule>
    <cfRule type="cellIs" dxfId="39" priority="42" stopIfTrue="1" operator="notEqual">
      <formula>$B32="Unpaved Haul Road"</formula>
    </cfRule>
  </conditionalFormatting>
  <conditionalFormatting sqref="T33">
    <cfRule type="notContainsBlanks" dxfId="38" priority="37" stopIfTrue="1">
      <formula>LEN(TRIM(T33))&gt;0</formula>
    </cfRule>
    <cfRule type="cellIs" dxfId="37" priority="38" stopIfTrue="1" operator="notEqual">
      <formula>$B33="Paved Haul Road"</formula>
    </cfRule>
    <cfRule type="cellIs" dxfId="36" priority="39" stopIfTrue="1" operator="notEqual">
      <formula>$B33="Unpaved Haul Road"</formula>
    </cfRule>
  </conditionalFormatting>
  <conditionalFormatting sqref="T34">
    <cfRule type="notContainsBlanks" dxfId="35" priority="34" stopIfTrue="1">
      <formula>LEN(TRIM(T34))&gt;0</formula>
    </cfRule>
    <cfRule type="cellIs" dxfId="34" priority="35" stopIfTrue="1" operator="notEqual">
      <formula>$B34="Paved Haul Road"</formula>
    </cfRule>
    <cfRule type="cellIs" dxfId="33" priority="36" stopIfTrue="1" operator="notEqual">
      <formula>$B34="Unpaved Haul Road"</formula>
    </cfRule>
  </conditionalFormatting>
  <conditionalFormatting sqref="T35">
    <cfRule type="notContainsBlanks" dxfId="32" priority="31" stopIfTrue="1">
      <formula>LEN(TRIM(T35))&gt;0</formula>
    </cfRule>
    <cfRule type="cellIs" dxfId="31" priority="32" stopIfTrue="1" operator="notEqual">
      <formula>$B35="Paved Haul Road"</formula>
    </cfRule>
    <cfRule type="cellIs" dxfId="30" priority="33" stopIfTrue="1" operator="notEqual">
      <formula>$B35="Unpaved Haul Road"</formula>
    </cfRule>
  </conditionalFormatting>
  <conditionalFormatting sqref="T16">
    <cfRule type="notContainsBlanks" dxfId="29" priority="28" stopIfTrue="1">
      <formula>LEN(TRIM(T16))&gt;0</formula>
    </cfRule>
    <cfRule type="cellIs" dxfId="28" priority="29" stopIfTrue="1" operator="notEqual">
      <formula>$B16="Paved Haul Road"</formula>
    </cfRule>
    <cfRule type="cellIs" dxfId="27" priority="30" stopIfTrue="1" operator="notEqual">
      <formula>$B16="Unpaved Haul Road"</formula>
    </cfRule>
  </conditionalFormatting>
  <conditionalFormatting sqref="T17">
    <cfRule type="notContainsBlanks" dxfId="26" priority="25" stopIfTrue="1">
      <formula>LEN(TRIM(T17))&gt;0</formula>
    </cfRule>
    <cfRule type="cellIs" dxfId="25" priority="26" stopIfTrue="1" operator="notEqual">
      <formula>$B17="Paved Haul Road"</formula>
    </cfRule>
    <cfRule type="cellIs" dxfId="24" priority="27" stopIfTrue="1" operator="notEqual">
      <formula>$B17="Unpaved Haul Road"</formula>
    </cfRule>
  </conditionalFormatting>
  <conditionalFormatting sqref="T18">
    <cfRule type="notContainsBlanks" dxfId="23" priority="22" stopIfTrue="1">
      <formula>LEN(TRIM(T18))&gt;0</formula>
    </cfRule>
    <cfRule type="cellIs" dxfId="22" priority="23" stopIfTrue="1" operator="notEqual">
      <formula>$B18="Paved Haul Road"</formula>
    </cfRule>
    <cfRule type="cellIs" dxfId="21" priority="24" stopIfTrue="1" operator="notEqual">
      <formula>$B18="Unpaved Haul Road"</formula>
    </cfRule>
  </conditionalFormatting>
  <conditionalFormatting sqref="T19">
    <cfRule type="notContainsBlanks" dxfId="20" priority="19" stopIfTrue="1">
      <formula>LEN(TRIM(T19))&gt;0</formula>
    </cfRule>
    <cfRule type="cellIs" dxfId="19" priority="20" stopIfTrue="1" operator="notEqual">
      <formula>$B19="Paved Haul Road"</formula>
    </cfRule>
    <cfRule type="cellIs" dxfId="18" priority="21" stopIfTrue="1" operator="notEqual">
      <formula>$B19="Unpaved Haul Road"</formula>
    </cfRule>
  </conditionalFormatting>
  <conditionalFormatting sqref="T20">
    <cfRule type="notContainsBlanks" dxfId="17" priority="16" stopIfTrue="1">
      <formula>LEN(TRIM(T20))&gt;0</formula>
    </cfRule>
    <cfRule type="cellIs" dxfId="16" priority="17" stopIfTrue="1" operator="notEqual">
      <formula>$B20="Paved Haul Road"</formula>
    </cfRule>
    <cfRule type="cellIs" dxfId="15" priority="18" stopIfTrue="1" operator="notEqual">
      <formula>$B20="Unpaved Haul Road"</formula>
    </cfRule>
  </conditionalFormatting>
  <conditionalFormatting sqref="T21">
    <cfRule type="notContainsBlanks" dxfId="14" priority="13" stopIfTrue="1">
      <formula>LEN(TRIM(T21))&gt;0</formula>
    </cfRule>
    <cfRule type="cellIs" dxfId="13" priority="14" stopIfTrue="1" operator="notEqual">
      <formula>$B21="Paved Haul Road"</formula>
    </cfRule>
    <cfRule type="cellIs" dxfId="12" priority="15" stopIfTrue="1" operator="notEqual">
      <formula>$B21="Unpaved Haul Road"</formula>
    </cfRule>
  </conditionalFormatting>
  <conditionalFormatting sqref="T22">
    <cfRule type="notContainsBlanks" dxfId="11" priority="10" stopIfTrue="1">
      <formula>LEN(TRIM(T22))&gt;0</formula>
    </cfRule>
    <cfRule type="cellIs" dxfId="10" priority="11" stopIfTrue="1" operator="notEqual">
      <formula>$B22="Paved Haul Road"</formula>
    </cfRule>
    <cfRule type="cellIs" dxfId="9" priority="12" stopIfTrue="1" operator="notEqual">
      <formula>$B22="Unpaved Haul Road"</formula>
    </cfRule>
  </conditionalFormatting>
  <conditionalFormatting sqref="T23">
    <cfRule type="notContainsBlanks" dxfId="8" priority="7" stopIfTrue="1">
      <formula>LEN(TRIM(T23))&gt;0</formula>
    </cfRule>
    <cfRule type="cellIs" dxfId="7" priority="8" stopIfTrue="1" operator="notEqual">
      <formula>$B23="Paved Haul Road"</formula>
    </cfRule>
    <cfRule type="cellIs" dxfId="6" priority="9" stopIfTrue="1" operator="notEqual">
      <formula>$B23="Unpaved Haul Road"</formula>
    </cfRule>
  </conditionalFormatting>
  <conditionalFormatting sqref="T24">
    <cfRule type="notContainsBlanks" dxfId="5" priority="4" stopIfTrue="1">
      <formula>LEN(TRIM(T24))&gt;0</formula>
    </cfRule>
    <cfRule type="cellIs" dxfId="4" priority="5" stopIfTrue="1" operator="notEqual">
      <formula>$B24="Paved Haul Road"</formula>
    </cfRule>
    <cfRule type="cellIs" dxfId="3" priority="6" stopIfTrue="1" operator="notEqual">
      <formula>$B24="Unpaved Haul Road"</formula>
    </cfRule>
  </conditionalFormatting>
  <conditionalFormatting sqref="T25">
    <cfRule type="notContainsBlanks" dxfId="2" priority="1" stopIfTrue="1">
      <formula>LEN(TRIM(T25))&gt;0</formula>
    </cfRule>
    <cfRule type="cellIs" dxfId="1" priority="2" stopIfTrue="1" operator="notEqual">
      <formula>$B25="Paved Haul Road"</formula>
    </cfRule>
    <cfRule type="cellIs" dxfId="0" priority="3" stopIfTrue="1" operator="notEqual">
      <formula>$B25="Unpaved Haul Road"</formula>
    </cfRule>
  </conditionalFormatting>
  <dataValidations count="3">
    <dataValidation type="list" allowBlank="1" showInputMessage="1" showErrorMessage="1" sqref="B6:B35" xr:uid="{00000000-0002-0000-0B00-000000000000}">
      <formula1>RoadType</formula1>
    </dataValidation>
    <dataValidation type="list" allowBlank="1" showInputMessage="1" showErrorMessage="1" sqref="T6:T35" xr:uid="{00000000-0002-0000-0B00-000001000000}">
      <formula1>control</formula1>
    </dataValidation>
    <dataValidation type="list" allowBlank="1" showInputMessage="1" showErrorMessage="1" sqref="E6:E35" xr:uid="{00000000-0002-0000-0B00-000002000000}">
      <formula1>PlantNumber</formula1>
    </dataValidation>
  </dataValidations>
  <pageMargins left="0.7" right="0.7" top="0.75" bottom="0.75" header="0.3" footer="0.3"/>
  <pageSetup scale="78" fitToWidth="2" fitToHeight="0" orientation="landscape" verticalDpi="300" r:id="rId1"/>
  <ignoredErrors>
    <ignoredError sqref="S26:S35 S7:S15 S16:S25 S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BC77"/>
  <sheetViews>
    <sheetView topLeftCell="C1" workbookViewId="0">
      <selection activeCell="C1" sqref="C1"/>
    </sheetView>
  </sheetViews>
  <sheetFormatPr defaultRowHeight="15" x14ac:dyDescent="0.25"/>
  <cols>
    <col min="1" max="1" width="13.85546875" style="6" hidden="1" customWidth="1"/>
    <col min="2" max="2" width="15.42578125" style="6" hidden="1" customWidth="1"/>
    <col min="3" max="3" width="10.140625" style="6" customWidth="1"/>
    <col min="4" max="4" width="8.42578125" style="6" customWidth="1"/>
    <col min="5" max="5" width="8.140625" style="6" customWidth="1"/>
    <col min="6" max="6" width="27.28515625" style="6" customWidth="1"/>
    <col min="7" max="7" width="10.85546875" style="6" customWidth="1"/>
    <col min="8" max="8" width="12.5703125" style="6" customWidth="1"/>
    <col min="9" max="9" width="11.5703125" style="6" customWidth="1"/>
    <col min="10" max="10" width="12.42578125" style="6" customWidth="1"/>
    <col min="11" max="11" width="11" style="6" hidden="1" customWidth="1"/>
    <col min="12" max="12" width="10.42578125" style="6" customWidth="1"/>
    <col min="13" max="13" width="14.140625" style="6" customWidth="1"/>
    <col min="14" max="14" width="19.7109375" style="6" customWidth="1"/>
    <col min="15" max="15" width="13.85546875" style="6" customWidth="1"/>
    <col min="16" max="16" width="13.28515625" style="6" customWidth="1"/>
    <col min="17" max="17" width="12" style="6" customWidth="1"/>
    <col min="18" max="18" width="14.5703125" style="6" customWidth="1"/>
    <col min="19" max="19" width="16.85546875" style="6" customWidth="1"/>
    <col min="20" max="20" width="16.42578125" style="6" customWidth="1"/>
    <col min="21" max="21" width="5.28515625" style="6" hidden="1" customWidth="1"/>
    <col min="22" max="22" width="6" style="6" hidden="1" customWidth="1"/>
    <col min="23" max="23" width="7.85546875" style="6" hidden="1" customWidth="1"/>
    <col min="24" max="24" width="10.140625" style="6" customWidth="1"/>
    <col min="25" max="25" width="8.42578125" style="6" hidden="1" customWidth="1"/>
    <col min="26" max="26" width="10.7109375" style="6" hidden="1" customWidth="1"/>
    <col min="27" max="27" width="9.28515625" style="6" customWidth="1"/>
    <col min="28" max="28" width="10.7109375" style="6" customWidth="1"/>
    <col min="29" max="29" width="8.7109375" style="6" hidden="1" customWidth="1"/>
    <col min="30" max="30" width="10.85546875" style="6" hidden="1" customWidth="1"/>
    <col min="31" max="31" width="8.42578125" style="6" customWidth="1"/>
    <col min="32" max="32" width="10.7109375" style="6" customWidth="1"/>
    <col min="33" max="33" width="9" style="6" hidden="1" customWidth="1"/>
    <col min="34" max="34" width="10.7109375" style="6" hidden="1" customWidth="1"/>
    <col min="35" max="35" width="8.5703125" style="6" customWidth="1"/>
    <col min="36" max="36" width="11.140625" style="6" customWidth="1"/>
    <col min="37" max="37" width="8.5703125" style="6" hidden="1" customWidth="1"/>
    <col min="38" max="38" width="11.28515625" style="6" hidden="1" customWidth="1"/>
    <col min="39" max="39" width="13.28515625" style="6" customWidth="1"/>
    <col min="40" max="40" width="10.85546875" style="6" customWidth="1"/>
    <col min="41" max="42" width="9.140625" style="6" hidden="1" customWidth="1"/>
    <col min="43" max="43" width="9.140625" style="6"/>
    <col min="44" max="44" width="10" style="6" customWidth="1"/>
    <col min="45" max="46" width="9.140625" style="6" hidden="1" customWidth="1"/>
    <col min="47" max="47" width="9.140625" style="6"/>
    <col min="48" max="48" width="12" style="6" customWidth="1"/>
    <col min="49" max="50" width="9.140625" style="6" hidden="1" customWidth="1"/>
    <col min="51" max="51" width="10.42578125" style="6" bestFit="1" customWidth="1"/>
    <col min="52" max="52" width="10.28515625" style="6" customWidth="1"/>
    <col min="53" max="54" width="9.140625" style="6" hidden="1" customWidth="1"/>
    <col min="55" max="16384" width="9.140625" style="6"/>
  </cols>
  <sheetData>
    <row r="1" spans="1:55" ht="18.75" x14ac:dyDescent="0.3">
      <c r="C1" s="304" t="s">
        <v>113</v>
      </c>
      <c r="D1" s="304"/>
      <c r="E1" s="304"/>
      <c r="F1" s="304"/>
      <c r="G1" s="11"/>
      <c r="H1" s="11"/>
      <c r="I1" s="11"/>
      <c r="J1" s="11"/>
      <c r="K1" s="11"/>
      <c r="L1" s="11"/>
      <c r="M1" s="12"/>
      <c r="N1" s="12"/>
      <c r="O1" s="11"/>
      <c r="P1" s="11"/>
      <c r="Q1" s="11"/>
      <c r="R1" s="11"/>
      <c r="S1" s="11"/>
    </row>
    <row r="2" spans="1:55" x14ac:dyDescent="0.25">
      <c r="C2" s="305" t="s">
        <v>36</v>
      </c>
      <c r="D2" s="305"/>
      <c r="E2" s="305"/>
      <c r="F2" s="305"/>
      <c r="G2" s="37"/>
      <c r="H2" s="11"/>
      <c r="I2" s="11"/>
      <c r="J2" s="11"/>
      <c r="K2" s="11"/>
      <c r="L2" s="11"/>
      <c r="M2" s="12"/>
      <c r="N2" s="12"/>
      <c r="O2" s="11"/>
      <c r="P2" s="11"/>
      <c r="Q2" s="11"/>
      <c r="R2" s="11"/>
      <c r="S2" s="11"/>
    </row>
    <row r="3" spans="1:55" s="177" customFormat="1" hidden="1" x14ac:dyDescent="0.25">
      <c r="C3" s="238" t="s">
        <v>297</v>
      </c>
      <c r="D3" s="237"/>
      <c r="E3" s="237"/>
      <c r="F3" s="237"/>
      <c r="G3" s="237"/>
      <c r="H3" s="15"/>
      <c r="I3" s="15"/>
      <c r="J3" s="15"/>
      <c r="K3" s="15"/>
      <c r="L3" s="15"/>
      <c r="M3" s="186"/>
      <c r="N3" s="186"/>
      <c r="O3" s="15"/>
      <c r="P3" s="15"/>
      <c r="Q3" s="15"/>
      <c r="R3" s="15"/>
      <c r="S3" s="15"/>
    </row>
    <row r="4" spans="1:55" ht="13.5" customHeight="1" x14ac:dyDescent="0.3">
      <c r="C4" s="217"/>
      <c r="D4" s="217"/>
      <c r="E4" s="217"/>
      <c r="F4" s="217"/>
      <c r="G4" s="11"/>
      <c r="H4" s="11"/>
      <c r="I4" s="11"/>
      <c r="J4" s="11"/>
      <c r="K4" s="11"/>
      <c r="L4" s="11"/>
      <c r="M4" s="12"/>
      <c r="N4" s="12"/>
      <c r="O4" s="11"/>
      <c r="P4" s="11"/>
      <c r="Q4" s="11"/>
      <c r="R4" s="11"/>
      <c r="S4" s="11"/>
    </row>
    <row r="5" spans="1:55" ht="15.75" customHeight="1" x14ac:dyDescent="0.25">
      <c r="C5" s="13"/>
      <c r="D5" s="13"/>
      <c r="E5" s="13"/>
      <c r="F5" s="45" t="s">
        <v>78</v>
      </c>
      <c r="G5" s="29"/>
      <c r="H5" s="48" t="s">
        <v>58</v>
      </c>
      <c r="I5" s="97"/>
      <c r="J5" s="97"/>
      <c r="K5" s="97"/>
      <c r="L5" s="28"/>
      <c r="M5" s="27"/>
      <c r="N5" s="27"/>
      <c r="O5" s="27"/>
      <c r="P5" s="11"/>
      <c r="Q5" s="11"/>
      <c r="R5" s="11"/>
      <c r="S5" s="11"/>
      <c r="X5" s="11"/>
      <c r="Y5" s="11"/>
      <c r="Z5" s="11"/>
    </row>
    <row r="6" spans="1:55" ht="7.5" customHeight="1" x14ac:dyDescent="0.25">
      <c r="C6" s="13"/>
      <c r="D6" s="13"/>
      <c r="E6" s="13"/>
      <c r="F6" s="27"/>
      <c r="G6" s="27"/>
      <c r="H6" s="27"/>
      <c r="I6" s="27"/>
      <c r="J6" s="27"/>
      <c r="K6" s="27"/>
      <c r="L6" s="27"/>
      <c r="M6" s="27"/>
      <c r="N6" s="27"/>
      <c r="O6" s="27"/>
      <c r="P6" s="11"/>
      <c r="Q6" s="11"/>
      <c r="R6" s="11"/>
      <c r="S6" s="11"/>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row>
    <row r="7" spans="1:55" ht="51" customHeight="1" x14ac:dyDescent="0.25">
      <c r="C7" s="270" t="s">
        <v>270</v>
      </c>
      <c r="D7" s="307" t="s">
        <v>1</v>
      </c>
      <c r="E7" s="276" t="s">
        <v>60</v>
      </c>
      <c r="F7" s="276" t="s">
        <v>166</v>
      </c>
      <c r="G7" s="276" t="s">
        <v>59</v>
      </c>
      <c r="H7" s="276" t="s">
        <v>155</v>
      </c>
      <c r="I7" s="276" t="s">
        <v>154</v>
      </c>
      <c r="J7" s="276" t="s">
        <v>171</v>
      </c>
      <c r="K7" s="276" t="s">
        <v>170</v>
      </c>
      <c r="L7" s="276" t="s">
        <v>54</v>
      </c>
      <c r="M7" s="276" t="s">
        <v>55</v>
      </c>
      <c r="N7" s="276" t="s">
        <v>179</v>
      </c>
      <c r="O7" s="276" t="s">
        <v>56</v>
      </c>
      <c r="P7" s="276" t="s">
        <v>57</v>
      </c>
      <c r="Q7" s="276" t="s">
        <v>77</v>
      </c>
      <c r="R7" s="276" t="s">
        <v>66</v>
      </c>
      <c r="S7" s="276" t="str">
        <f>'Facility Information'!A53&amp;" Annual Throughput (gallons/yr)"</f>
        <v xml:space="preserve"> Annual Throughput (gallons/yr)</v>
      </c>
      <c r="T7" s="276" t="s">
        <v>75</v>
      </c>
      <c r="U7" s="361" t="s">
        <v>322</v>
      </c>
      <c r="X7" s="275" t="s">
        <v>167</v>
      </c>
      <c r="Y7" s="274" t="s">
        <v>129</v>
      </c>
      <c r="Z7" s="274" t="s">
        <v>130</v>
      </c>
      <c r="AA7" s="274" t="s">
        <v>17</v>
      </c>
      <c r="AB7" s="273" t="s">
        <v>168</v>
      </c>
      <c r="AC7" s="274" t="s">
        <v>129</v>
      </c>
      <c r="AD7" s="274" t="s">
        <v>130</v>
      </c>
      <c r="AE7" s="274" t="s">
        <v>17</v>
      </c>
      <c r="AF7" s="273" t="s">
        <v>169</v>
      </c>
      <c r="AG7" s="274" t="s">
        <v>129</v>
      </c>
      <c r="AH7" s="274" t="s">
        <v>130</v>
      </c>
      <c r="AI7" s="274" t="s">
        <v>17</v>
      </c>
      <c r="AJ7" s="273" t="s">
        <v>173</v>
      </c>
      <c r="AK7" s="274" t="s">
        <v>129</v>
      </c>
      <c r="AL7" s="274" t="s">
        <v>130</v>
      </c>
      <c r="AM7" s="274" t="s">
        <v>17</v>
      </c>
      <c r="AN7" s="273" t="s">
        <v>175</v>
      </c>
      <c r="AO7" s="274" t="s">
        <v>129</v>
      </c>
      <c r="AP7" s="274" t="s">
        <v>130</v>
      </c>
      <c r="AQ7" s="274" t="s">
        <v>17</v>
      </c>
      <c r="AR7" s="273" t="s">
        <v>174</v>
      </c>
      <c r="AS7" s="274" t="s">
        <v>129</v>
      </c>
      <c r="AT7" s="274" t="s">
        <v>130</v>
      </c>
      <c r="AU7" s="274" t="s">
        <v>17</v>
      </c>
      <c r="AV7" s="273" t="s">
        <v>176</v>
      </c>
      <c r="AW7" s="274" t="s">
        <v>129</v>
      </c>
      <c r="AX7" s="274" t="s">
        <v>130</v>
      </c>
      <c r="AY7" s="274" t="s">
        <v>17</v>
      </c>
      <c r="AZ7" s="273" t="s">
        <v>177</v>
      </c>
      <c r="BA7" s="274" t="s">
        <v>129</v>
      </c>
      <c r="BB7" s="274" t="s">
        <v>130</v>
      </c>
      <c r="BC7" s="274" t="s">
        <v>17</v>
      </c>
    </row>
    <row r="8" spans="1:55" ht="14.25" customHeight="1" x14ac:dyDescent="0.25">
      <c r="A8" s="6" t="s">
        <v>110</v>
      </c>
      <c r="B8" s="6" t="str">
        <f t="shared" ref="B8:B13" si="0">IF(F8="Diesel Generator&gt; 600 bhp","yes","no")</f>
        <v>no</v>
      </c>
      <c r="C8" s="42"/>
      <c r="D8" s="42"/>
      <c r="E8" s="42"/>
      <c r="F8" s="43"/>
      <c r="G8" s="42"/>
      <c r="H8" s="44"/>
      <c r="I8" s="44"/>
      <c r="J8" s="112"/>
      <c r="K8" s="44">
        <f>IF(B8="no",1,IF(J8="",0.5,J8))</f>
        <v>1</v>
      </c>
      <c r="L8" s="44"/>
      <c r="M8" s="44"/>
      <c r="N8" s="44"/>
      <c r="O8" s="44"/>
      <c r="P8" s="44"/>
      <c r="Q8" s="44"/>
      <c r="R8" s="47" t="str">
        <f t="shared" ref="R8:R13" si="1">IF(Q8="","",Q8*0.14)</f>
        <v/>
      </c>
      <c r="S8" s="44"/>
      <c r="T8" s="46" t="str">
        <f t="shared" ref="T8:T13" si="2">IF(S8="","",S8*0.14)</f>
        <v/>
      </c>
      <c r="U8" s="128" t="s">
        <v>172</v>
      </c>
      <c r="V8" s="128">
        <f t="shared" ref="V8:V28" si="3">IF(B8="no",H8*Q8*0.14,"")</f>
        <v>0</v>
      </c>
      <c r="W8" s="128" t="str">
        <f t="shared" ref="W8:W28" si="4">IF(B8="yes",H8*Q8*0.14,"")</f>
        <v/>
      </c>
      <c r="X8" s="46" t="str">
        <f>IF(F8="","",IF(B8="no",'Emission Factors'!$D$43,'Emission Factors'!$D$44))</f>
        <v/>
      </c>
      <c r="Y8" s="46" t="str">
        <f>IF(F8="","",X8*R8)</f>
        <v/>
      </c>
      <c r="Z8" s="46" t="str">
        <f>IF(F8="","",IF(I8&gt;0,I8*0.14*X8/2000,IF(H8&gt;0,X8*R8*H8/2000,Y8*8760/2000)))</f>
        <v/>
      </c>
      <c r="AA8" s="46" t="str">
        <f>IF(F8="","",T8*X8/2000)</f>
        <v/>
      </c>
      <c r="AB8" s="46" t="str">
        <f>IF(F8="","",IF(B8="no",'Emission Factors'!$F$43,'Emission Factors'!$F$44))</f>
        <v/>
      </c>
      <c r="AC8" s="46" t="str">
        <f>IF(F8="","",AB8*R8)</f>
        <v/>
      </c>
      <c r="AD8" s="46" t="str">
        <f>IF(F8="","",IF(I8&gt;0,I8*0.14*AB8/2000,IF(H8&gt;0,AB8*R8*H8/2000,AC8*8760/2000)))</f>
        <v/>
      </c>
      <c r="AE8" s="46" t="str">
        <f>IF(F8="","",T8*AB8/2000)</f>
        <v/>
      </c>
      <c r="AF8" s="46" t="str">
        <f>IF(F8="","",IF(B8="no",'Emission Factors'!$H$43,'Emission Factors'!$H$44))</f>
        <v/>
      </c>
      <c r="AG8" s="46" t="str">
        <f>IF(F8="","",AF8*R8)</f>
        <v/>
      </c>
      <c r="AH8" s="46" t="str">
        <f>IF(F8="","",IF(I8&gt;0,I8*0.14*AF8*K8/2000,IF(H8&gt;0,AF8*K8*R8*H8/2000,AG8*8760/2000)))</f>
        <v/>
      </c>
      <c r="AI8" s="46" t="str">
        <f>IF(F8="","",IF(AF8=1.01,IF($G$5="",T8*AF8*K8/2000,T8*AF8*$G$5/2000),AF8*T8/2000))</f>
        <v/>
      </c>
      <c r="AJ8" s="46" t="str">
        <f>IF(F8="","",IF(B8="no",'Emission Factors'!$J$43,'Emission Factors'!$J$44))</f>
        <v/>
      </c>
      <c r="AK8" s="46" t="str">
        <f>IF(F8="","",AJ8*R8)</f>
        <v/>
      </c>
      <c r="AL8" s="46" t="str">
        <f>IF(F8="","",IF(I8&gt;0,I8*0.14*AJ8/2000,IF(H8&gt;0,AJ8*R8*H8/2000,AK8*8760/2000)))</f>
        <v/>
      </c>
      <c r="AM8" s="46" t="str">
        <f>IF(F8="","",T8*AJ8/2000)</f>
        <v/>
      </c>
      <c r="AN8" s="46" t="str">
        <f>IF(F8="","",IF(B8="no",'Emission Factors'!$L$43,'Emission Factors'!$L$44))</f>
        <v/>
      </c>
      <c r="AO8" s="46" t="str">
        <f>IF(F8="","",AN8*R8)</f>
        <v/>
      </c>
      <c r="AP8" s="46" t="str">
        <f>IF(F8="","",IF(I8&gt;0,I8*0.14*AN8/2000,IF(H8&gt;0,AN8*R8*H8/2000,AO8*8760/2000)))</f>
        <v/>
      </c>
      <c r="AQ8" s="46" t="str">
        <f>IF(F8="","",T8*AN8/2000)</f>
        <v/>
      </c>
      <c r="AR8" s="46" t="str">
        <f>IF(F8="","",IF(B8="no",'Emission Factors'!$N$43,'Emission Factors'!$N$44))</f>
        <v/>
      </c>
      <c r="AS8" s="46" t="str">
        <f>IF(F8="","",AR8*R8)</f>
        <v/>
      </c>
      <c r="AT8" s="46" t="str">
        <f>IF(F8="","",IF(I8&gt;0,I8*0.14*AR8/2000,IF(H8&gt;0,AR8*R8*H8/2000,AS8*8760/2000)))</f>
        <v/>
      </c>
      <c r="AU8" s="46" t="str">
        <f>IF(F8="","",T8*AR8/2000)</f>
        <v/>
      </c>
      <c r="AV8" s="46" t="str">
        <f>IF(F8="","",IF(B8="no",'Emission Factors'!$P$43,'Emission Factors'!$P$44))</f>
        <v/>
      </c>
      <c r="AW8" s="46" t="str">
        <f>IF(F8="","",AV8*R8)</f>
        <v/>
      </c>
      <c r="AX8" s="46" t="str">
        <f>IF(F8="","",IF(I8&gt;0,I8*0.14*AV8/2000,IF(H8&gt;0,AV8*R8*H8/2000,AW8*8760/2000)))</f>
        <v/>
      </c>
      <c r="AY8" s="46" t="str">
        <f>IF(F8="","",T8*AV8/2000)</f>
        <v/>
      </c>
      <c r="AZ8" s="46" t="str">
        <f>IF(F8="","",IF(B8="no",'Emission Factors'!$R$43,'Emission Factors'!$R$44))</f>
        <v/>
      </c>
      <c r="BA8" s="46" t="str">
        <f>IF(F8="","",AZ8*R8)</f>
        <v/>
      </c>
      <c r="BB8" s="46" t="str">
        <f>IF(F8="","",IF(I8&gt;0,I8*0.14*AZ8/2000,IF(H8&gt;0,AZ8*R8*H8/2000,BA8*8760/2000)))</f>
        <v/>
      </c>
      <c r="BC8" s="46" t="str">
        <f>IF(F8="","",T8*AZ8/2000)</f>
        <v/>
      </c>
    </row>
    <row r="9" spans="1:55" ht="14.25" customHeight="1" x14ac:dyDescent="0.25">
      <c r="B9" s="6" t="str">
        <f t="shared" si="0"/>
        <v>no</v>
      </c>
      <c r="C9" s="42"/>
      <c r="D9" s="42"/>
      <c r="E9" s="42"/>
      <c r="F9" s="43"/>
      <c r="G9" s="42"/>
      <c r="H9" s="44"/>
      <c r="I9" s="44"/>
      <c r="J9" s="112"/>
      <c r="K9" s="44">
        <f t="shared" ref="K9:K49" si="5">IF(B9="no",1,IF(J9="",0.5,J9))</f>
        <v>1</v>
      </c>
      <c r="L9" s="44"/>
      <c r="M9" s="44"/>
      <c r="N9" s="44"/>
      <c r="O9" s="44"/>
      <c r="P9" s="44"/>
      <c r="Q9" s="44"/>
      <c r="R9" s="47" t="str">
        <f t="shared" si="1"/>
        <v/>
      </c>
      <c r="S9" s="44"/>
      <c r="T9" s="46" t="str">
        <f t="shared" si="2"/>
        <v/>
      </c>
      <c r="U9" s="128"/>
      <c r="V9" s="128">
        <f t="shared" si="3"/>
        <v>0</v>
      </c>
      <c r="W9" s="128" t="str">
        <f t="shared" si="4"/>
        <v/>
      </c>
      <c r="X9" s="46" t="str">
        <f>IF(F9="","",IF(B9="no",'Emission Factors'!$D$43,'Emission Factors'!$D$44))</f>
        <v/>
      </c>
      <c r="Y9" s="46" t="str">
        <f t="shared" ref="Y9:Y28" si="6">IF(F9="","",X9*R9)</f>
        <v/>
      </c>
      <c r="Z9" s="46" t="str">
        <f t="shared" ref="Z9:Z28" si="7">IF(F9="","",IF(I9&gt;0,I9*0.14*X9/2000,IF(H9&gt;0,X9*R9*H9/2000,Y9*8760/2000)))</f>
        <v/>
      </c>
      <c r="AA9" s="46" t="str">
        <f t="shared" ref="AA9:AA28" si="8">IF(F9="","",T9*X9/2000)</f>
        <v/>
      </c>
      <c r="AB9" s="46" t="str">
        <f>IF(F9="","",IF(B9="no",'Emission Factors'!$F$43,'Emission Factors'!$F$44))</f>
        <v/>
      </c>
      <c r="AC9" s="46" t="str">
        <f t="shared" ref="AC9:AC28" si="9">IF(F9="","",AB9*R9)</f>
        <v/>
      </c>
      <c r="AD9" s="46" t="str">
        <f t="shared" ref="AD9:AD28" si="10">IF(F9="","",IF(I9&gt;0,I9*0.14*AB9/2000,IF(H9&gt;0,AB9*R9*H9/2000,AC9*8760/2000)))</f>
        <v/>
      </c>
      <c r="AE9" s="46" t="str">
        <f t="shared" ref="AE9:AE28" si="11">IF(F9="","",T9*AB9/2000)</f>
        <v/>
      </c>
      <c r="AF9" s="46" t="str">
        <f>IF(F9="","",IF(B9="no",'Emission Factors'!$H$43,'Emission Factors'!$H$44))</f>
        <v/>
      </c>
      <c r="AG9" s="46" t="str">
        <f t="shared" ref="AG9:AG49" si="12">IF(F9="","",AF9*R9)</f>
        <v/>
      </c>
      <c r="AH9" s="46" t="str">
        <f t="shared" ref="AH9:AH28" si="13">IF(F9="","",IF(I9&gt;0,I9*0.14*AF9*K9/2000,IF(H9&gt;0,AF9*K9*R9*H9/2000,AG9*8760/2000)))</f>
        <v/>
      </c>
      <c r="AI9" s="46" t="str">
        <f t="shared" ref="AI9:AI49" si="14">IF(F9="","",IF(AF9=1.01,IF($G$5="",T9*AF9*K9/2000,T9*AF9*$G$5/2000),AF9*T9/2000))</f>
        <v/>
      </c>
      <c r="AJ9" s="46" t="str">
        <f>IF(F9="","",IF(B9="no",'Emission Factors'!$J$43,'Emission Factors'!$J$44))</f>
        <v/>
      </c>
      <c r="AK9" s="46" t="str">
        <f t="shared" ref="AK9:AK49" si="15">IF(F9="","",AJ9*R9)</f>
        <v/>
      </c>
      <c r="AL9" s="46" t="str">
        <f t="shared" ref="AL9:AL28" si="16">IF(F9="","",IF(I9&gt;0,I9*0.14*AJ9/2000,IF(H9&gt;0,AJ9*R9*H9/2000,AK9*8760/2000)))</f>
        <v/>
      </c>
      <c r="AM9" s="46" t="str">
        <f t="shared" ref="AM9:AM28" si="17">IF(F9="","",T9*AJ9/2000)</f>
        <v/>
      </c>
      <c r="AN9" s="46" t="str">
        <f>IF(F9="","",IF(B9="no",'Emission Factors'!$L$43,'Emission Factors'!$L$44))</f>
        <v/>
      </c>
      <c r="AO9" s="46" t="str">
        <f t="shared" ref="AO9:AO49" si="18">IF(F9="","",AN9*R9)</f>
        <v/>
      </c>
      <c r="AP9" s="46" t="str">
        <f t="shared" ref="AP9:AP28" si="19">IF(F9="","",IF(I9&gt;0,I9*0.14*AN9/2000,IF(H9&gt;0,AN9*R9*H9/2000,AO9*8760/2000)))</f>
        <v/>
      </c>
      <c r="AQ9" s="46" t="str">
        <f t="shared" ref="AQ9:AQ28" si="20">IF(F9="","",T9*AN9/2000)</f>
        <v/>
      </c>
      <c r="AR9" s="46" t="str">
        <f>IF(F9="","",IF(B9="no",'Emission Factors'!$N$43,'Emission Factors'!$N$44))</f>
        <v/>
      </c>
      <c r="AS9" s="46" t="str">
        <f t="shared" ref="AS9:AS49" si="21">IF(F9="","",AR9*R9)</f>
        <v/>
      </c>
      <c r="AT9" s="46" t="str">
        <f t="shared" ref="AT9:AT28" si="22">IF(F9="","",IF(I9&gt;0,I9*0.14*AR9/2000,IF(H9&gt;0,AR9*R9*H9/2000,AS9*8760/2000)))</f>
        <v/>
      </c>
      <c r="AU9" s="46" t="str">
        <f t="shared" ref="AU9:AU27" si="23">IF(F9="","",T9*AR9/2000)</f>
        <v/>
      </c>
      <c r="AV9" s="46" t="str">
        <f>IF(F9="","",IF(B9="no",'Emission Factors'!$P$43,'Emission Factors'!$P$44))</f>
        <v/>
      </c>
      <c r="AW9" s="46" t="str">
        <f t="shared" ref="AW9:AW28" si="24">IF(F9="","",AV9*R9)</f>
        <v/>
      </c>
      <c r="AX9" s="46" t="str">
        <f t="shared" ref="AX9:AX28" si="25">IF(F9="","",IF(I9&gt;0,I9*0.14*AV9/2000,IF(H9&gt;0,AV9*R9*H9/2000,AW9*8760/2000)))</f>
        <v/>
      </c>
      <c r="AY9" s="46" t="str">
        <f t="shared" ref="AY9:AY28" si="26">IF(F9="","",T9*AV9/2000)</f>
        <v/>
      </c>
      <c r="AZ9" s="46" t="str">
        <f>IF(F9="","",IF(B9="no",'Emission Factors'!$R$43,'Emission Factors'!$R$44))</f>
        <v/>
      </c>
      <c r="BA9" s="46" t="str">
        <f t="shared" ref="BA9:BA28" si="27">IF(F9="","",AZ9*R9)</f>
        <v/>
      </c>
      <c r="BB9" s="46" t="str">
        <f t="shared" ref="BB9:BB28" si="28">IF(F9="","",IF(I9&gt;0,I9*0.14*AZ9/2000,IF(H9&gt;0,AZ9*R9*H9/2000,BA9*8760/2000)))</f>
        <v/>
      </c>
      <c r="BC9" s="46" t="str">
        <f t="shared" ref="BC9:BC28" si="29">IF(F9="","",T9*AZ9/2000)</f>
        <v/>
      </c>
    </row>
    <row r="10" spans="1:55" ht="14.25" customHeight="1" x14ac:dyDescent="0.25">
      <c r="A10" s="6" t="str">
        <f>IF('Facility Information'!$C$21&gt;0,"AP-1","")</f>
        <v/>
      </c>
      <c r="B10" s="6" t="str">
        <f t="shared" si="0"/>
        <v>no</v>
      </c>
      <c r="C10" s="42"/>
      <c r="D10" s="42"/>
      <c r="E10" s="42"/>
      <c r="F10" s="43"/>
      <c r="G10" s="42"/>
      <c r="H10" s="44"/>
      <c r="I10" s="44"/>
      <c r="J10" s="112"/>
      <c r="K10" s="44">
        <f t="shared" si="5"/>
        <v>1</v>
      </c>
      <c r="L10" s="44"/>
      <c r="M10" s="44"/>
      <c r="N10" s="44"/>
      <c r="O10" s="44"/>
      <c r="P10" s="44"/>
      <c r="Q10" s="44"/>
      <c r="R10" s="47" t="str">
        <f t="shared" si="1"/>
        <v/>
      </c>
      <c r="S10" s="44"/>
      <c r="T10" s="46" t="str">
        <f t="shared" si="2"/>
        <v/>
      </c>
      <c r="U10" s="128"/>
      <c r="V10" s="128">
        <f t="shared" si="3"/>
        <v>0</v>
      </c>
      <c r="W10" s="128" t="str">
        <f t="shared" si="4"/>
        <v/>
      </c>
      <c r="X10" s="46" t="str">
        <f>IF(F10="","",IF(B10="no",'Emission Factors'!$D$43,'Emission Factors'!$D$44))</f>
        <v/>
      </c>
      <c r="Y10" s="46" t="str">
        <f t="shared" si="6"/>
        <v/>
      </c>
      <c r="Z10" s="46" t="str">
        <f t="shared" si="7"/>
        <v/>
      </c>
      <c r="AA10" s="46" t="str">
        <f t="shared" si="8"/>
        <v/>
      </c>
      <c r="AB10" s="46" t="str">
        <f>IF(F10="","",IF(B10="no",'Emission Factors'!$F$43,'Emission Factors'!$F$44))</f>
        <v/>
      </c>
      <c r="AC10" s="46" t="str">
        <f t="shared" si="9"/>
        <v/>
      </c>
      <c r="AD10" s="46" t="str">
        <f t="shared" si="10"/>
        <v/>
      </c>
      <c r="AE10" s="46" t="str">
        <f t="shared" si="11"/>
        <v/>
      </c>
      <c r="AF10" s="46" t="str">
        <f>IF(F10="","",IF(B10="no",'Emission Factors'!$H$43,'Emission Factors'!$H$44))</f>
        <v/>
      </c>
      <c r="AG10" s="46" t="str">
        <f t="shared" si="12"/>
        <v/>
      </c>
      <c r="AH10" s="46" t="str">
        <f t="shared" si="13"/>
        <v/>
      </c>
      <c r="AI10" s="46" t="str">
        <f t="shared" si="14"/>
        <v/>
      </c>
      <c r="AJ10" s="46" t="str">
        <f>IF(F10="","",IF(B10="no",'Emission Factors'!$J$43,'Emission Factors'!$J$44))</f>
        <v/>
      </c>
      <c r="AK10" s="46" t="str">
        <f t="shared" si="15"/>
        <v/>
      </c>
      <c r="AL10" s="46" t="str">
        <f t="shared" si="16"/>
        <v/>
      </c>
      <c r="AM10" s="46" t="str">
        <f t="shared" si="17"/>
        <v/>
      </c>
      <c r="AN10" s="46" t="str">
        <f>IF(F10="","",IF(B10="no",'Emission Factors'!$L$43,'Emission Factors'!$L$44))</f>
        <v/>
      </c>
      <c r="AO10" s="46" t="str">
        <f t="shared" si="18"/>
        <v/>
      </c>
      <c r="AP10" s="46" t="str">
        <f t="shared" si="19"/>
        <v/>
      </c>
      <c r="AQ10" s="46" t="str">
        <f t="shared" si="20"/>
        <v/>
      </c>
      <c r="AR10" s="46" t="str">
        <f>IF(F10="","",IF(B10="no",'Emission Factors'!$N$43,'Emission Factors'!$N$44))</f>
        <v/>
      </c>
      <c r="AS10" s="46" t="str">
        <f t="shared" si="21"/>
        <v/>
      </c>
      <c r="AT10" s="46" t="str">
        <f t="shared" si="22"/>
        <v/>
      </c>
      <c r="AU10" s="46" t="str">
        <f t="shared" si="23"/>
        <v/>
      </c>
      <c r="AV10" s="46" t="str">
        <f>IF(F10="","",IF(B10="no",'Emission Factors'!$P$43,'Emission Factors'!$P$44))</f>
        <v/>
      </c>
      <c r="AW10" s="46" t="str">
        <f t="shared" si="24"/>
        <v/>
      </c>
      <c r="AX10" s="46" t="str">
        <f t="shared" si="25"/>
        <v/>
      </c>
      <c r="AY10" s="46" t="str">
        <f t="shared" si="26"/>
        <v/>
      </c>
      <c r="AZ10" s="46" t="str">
        <f>IF(F10="","",IF(B10="no",'Emission Factors'!$R$43,'Emission Factors'!$R$44))</f>
        <v/>
      </c>
      <c r="BA10" s="46" t="str">
        <f t="shared" si="27"/>
        <v/>
      </c>
      <c r="BB10" s="46" t="str">
        <f t="shared" si="28"/>
        <v/>
      </c>
      <c r="BC10" s="46" t="str">
        <f t="shared" si="29"/>
        <v/>
      </c>
    </row>
    <row r="11" spans="1:55" ht="14.25" customHeight="1" x14ac:dyDescent="0.25">
      <c r="A11" s="6" t="str">
        <f>IF('Facility Information'!$C$21&gt;1,"AP-2","")</f>
        <v/>
      </c>
      <c r="B11" s="6" t="str">
        <f t="shared" si="0"/>
        <v>no</v>
      </c>
      <c r="C11" s="42"/>
      <c r="D11" s="42"/>
      <c r="E11" s="42"/>
      <c r="F11" s="43"/>
      <c r="G11" s="42"/>
      <c r="H11" s="44"/>
      <c r="I11" s="44"/>
      <c r="J11" s="112"/>
      <c r="K11" s="44">
        <f t="shared" si="5"/>
        <v>1</v>
      </c>
      <c r="L11" s="44"/>
      <c r="M11" s="44"/>
      <c r="N11" s="44"/>
      <c r="O11" s="44"/>
      <c r="P11" s="44"/>
      <c r="Q11" s="44"/>
      <c r="R11" s="47" t="str">
        <f t="shared" si="1"/>
        <v/>
      </c>
      <c r="S11" s="44"/>
      <c r="T11" s="46" t="str">
        <f t="shared" si="2"/>
        <v/>
      </c>
      <c r="U11" s="128"/>
      <c r="V11" s="128">
        <f t="shared" si="3"/>
        <v>0</v>
      </c>
      <c r="W11" s="128" t="str">
        <f t="shared" si="4"/>
        <v/>
      </c>
      <c r="X11" s="46" t="str">
        <f>IF(F11="","",IF(B11="no",'Emission Factors'!$D$43,'Emission Factors'!$D$44))</f>
        <v/>
      </c>
      <c r="Y11" s="46" t="str">
        <f t="shared" si="6"/>
        <v/>
      </c>
      <c r="Z11" s="46" t="str">
        <f t="shared" si="7"/>
        <v/>
      </c>
      <c r="AA11" s="46" t="str">
        <f t="shared" si="8"/>
        <v/>
      </c>
      <c r="AB11" s="46" t="str">
        <f>IF(F11="","",IF(B11="no",'Emission Factors'!$F$43,'Emission Factors'!$F$44))</f>
        <v/>
      </c>
      <c r="AC11" s="46" t="str">
        <f t="shared" si="9"/>
        <v/>
      </c>
      <c r="AD11" s="46" t="str">
        <f t="shared" si="10"/>
        <v/>
      </c>
      <c r="AE11" s="46" t="str">
        <f t="shared" si="11"/>
        <v/>
      </c>
      <c r="AF11" s="46" t="str">
        <f>IF(F11="","",IF(B11="no",'Emission Factors'!$H$43,'Emission Factors'!$H$44))</f>
        <v/>
      </c>
      <c r="AG11" s="46" t="str">
        <f t="shared" si="12"/>
        <v/>
      </c>
      <c r="AH11" s="46" t="str">
        <f t="shared" si="13"/>
        <v/>
      </c>
      <c r="AI11" s="46" t="str">
        <f t="shared" si="14"/>
        <v/>
      </c>
      <c r="AJ11" s="46" t="str">
        <f>IF(F11="","",IF(B11="no",'Emission Factors'!$J$43,'Emission Factors'!$J$44))</f>
        <v/>
      </c>
      <c r="AK11" s="46" t="str">
        <f t="shared" si="15"/>
        <v/>
      </c>
      <c r="AL11" s="46" t="str">
        <f t="shared" si="16"/>
        <v/>
      </c>
      <c r="AM11" s="46" t="str">
        <f t="shared" si="17"/>
        <v/>
      </c>
      <c r="AN11" s="46" t="str">
        <f>IF(F11="","",IF(B11="no",'Emission Factors'!$L$43,'Emission Factors'!$L$44))</f>
        <v/>
      </c>
      <c r="AO11" s="46" t="str">
        <f t="shared" si="18"/>
        <v/>
      </c>
      <c r="AP11" s="46" t="str">
        <f t="shared" si="19"/>
        <v/>
      </c>
      <c r="AQ11" s="46" t="str">
        <f t="shared" si="20"/>
        <v/>
      </c>
      <c r="AR11" s="46" t="str">
        <f>IF(F11="","",IF(B11="no",'Emission Factors'!$N$43,'Emission Factors'!$N$44))</f>
        <v/>
      </c>
      <c r="AS11" s="46" t="str">
        <f t="shared" si="21"/>
        <v/>
      </c>
      <c r="AT11" s="46" t="str">
        <f t="shared" si="22"/>
        <v/>
      </c>
      <c r="AU11" s="46" t="str">
        <f t="shared" si="23"/>
        <v/>
      </c>
      <c r="AV11" s="46" t="str">
        <f>IF(F11="","",IF(B11="no",'Emission Factors'!$P$43,'Emission Factors'!$P$44))</f>
        <v/>
      </c>
      <c r="AW11" s="46" t="str">
        <f t="shared" si="24"/>
        <v/>
      </c>
      <c r="AX11" s="46" t="str">
        <f t="shared" si="25"/>
        <v/>
      </c>
      <c r="AY11" s="46" t="str">
        <f t="shared" si="26"/>
        <v/>
      </c>
      <c r="AZ11" s="46" t="str">
        <f>IF(F11="","",IF(B11="no",'Emission Factors'!$R$43,'Emission Factors'!$R$44))</f>
        <v/>
      </c>
      <c r="BA11" s="46" t="str">
        <f t="shared" si="27"/>
        <v/>
      </c>
      <c r="BB11" s="46" t="str">
        <f t="shared" si="28"/>
        <v/>
      </c>
      <c r="BC11" s="46" t="str">
        <f t="shared" si="29"/>
        <v/>
      </c>
    </row>
    <row r="12" spans="1:55" ht="14.25" customHeight="1" x14ac:dyDescent="0.25">
      <c r="A12" s="6" t="str">
        <f>IF('Facility Information'!$C$21&gt;2,"AP-3","")</f>
        <v/>
      </c>
      <c r="B12" s="6" t="str">
        <f t="shared" si="0"/>
        <v>no</v>
      </c>
      <c r="C12" s="42"/>
      <c r="D12" s="42"/>
      <c r="E12" s="42"/>
      <c r="F12" s="43"/>
      <c r="G12" s="42"/>
      <c r="H12" s="44"/>
      <c r="I12" s="44"/>
      <c r="J12" s="112"/>
      <c r="K12" s="44">
        <f t="shared" si="5"/>
        <v>1</v>
      </c>
      <c r="L12" s="44"/>
      <c r="M12" s="44"/>
      <c r="N12" s="44"/>
      <c r="O12" s="44"/>
      <c r="P12" s="44"/>
      <c r="Q12" s="44"/>
      <c r="R12" s="47" t="str">
        <f t="shared" si="1"/>
        <v/>
      </c>
      <c r="S12" s="44"/>
      <c r="T12" s="46" t="str">
        <f t="shared" si="2"/>
        <v/>
      </c>
      <c r="U12" s="128"/>
      <c r="V12" s="128">
        <f t="shared" si="3"/>
        <v>0</v>
      </c>
      <c r="W12" s="128" t="str">
        <f t="shared" si="4"/>
        <v/>
      </c>
      <c r="X12" s="46" t="str">
        <f>IF(F12="","",IF(B12="no",'Emission Factors'!$D$43,'Emission Factors'!$D$44))</f>
        <v/>
      </c>
      <c r="Y12" s="46" t="str">
        <f t="shared" si="6"/>
        <v/>
      </c>
      <c r="Z12" s="46" t="str">
        <f t="shared" si="7"/>
        <v/>
      </c>
      <c r="AA12" s="46" t="str">
        <f t="shared" si="8"/>
        <v/>
      </c>
      <c r="AB12" s="46" t="str">
        <f>IF(F12="","",IF(B12="no",'Emission Factors'!$F$43,'Emission Factors'!$F$44))</f>
        <v/>
      </c>
      <c r="AC12" s="46" t="str">
        <f t="shared" si="9"/>
        <v/>
      </c>
      <c r="AD12" s="46" t="str">
        <f t="shared" si="10"/>
        <v/>
      </c>
      <c r="AE12" s="46" t="str">
        <f t="shared" si="11"/>
        <v/>
      </c>
      <c r="AF12" s="46" t="str">
        <f>IF(F12="","",IF(B12="no",'Emission Factors'!$H$43,'Emission Factors'!$H$44))</f>
        <v/>
      </c>
      <c r="AG12" s="46" t="str">
        <f t="shared" si="12"/>
        <v/>
      </c>
      <c r="AH12" s="46" t="str">
        <f t="shared" si="13"/>
        <v/>
      </c>
      <c r="AI12" s="46" t="str">
        <f t="shared" si="14"/>
        <v/>
      </c>
      <c r="AJ12" s="46" t="str">
        <f>IF(F12="","",IF(B12="no",'Emission Factors'!$J$43,'Emission Factors'!$J$44))</f>
        <v/>
      </c>
      <c r="AK12" s="46" t="str">
        <f t="shared" si="15"/>
        <v/>
      </c>
      <c r="AL12" s="46" t="str">
        <f t="shared" si="16"/>
        <v/>
      </c>
      <c r="AM12" s="46" t="str">
        <f t="shared" si="17"/>
        <v/>
      </c>
      <c r="AN12" s="46" t="str">
        <f>IF(F12="","",IF(B12="no",'Emission Factors'!$L$43,'Emission Factors'!$L$44))</f>
        <v/>
      </c>
      <c r="AO12" s="46" t="str">
        <f t="shared" si="18"/>
        <v/>
      </c>
      <c r="AP12" s="46" t="str">
        <f t="shared" si="19"/>
        <v/>
      </c>
      <c r="AQ12" s="46" t="str">
        <f t="shared" si="20"/>
        <v/>
      </c>
      <c r="AR12" s="46" t="str">
        <f>IF(F12="","",IF(B12="no",'Emission Factors'!$N$43,'Emission Factors'!$N$44))</f>
        <v/>
      </c>
      <c r="AS12" s="46" t="str">
        <f t="shared" si="21"/>
        <v/>
      </c>
      <c r="AT12" s="46" t="str">
        <f t="shared" si="22"/>
        <v/>
      </c>
      <c r="AU12" s="46" t="str">
        <f t="shared" si="23"/>
        <v/>
      </c>
      <c r="AV12" s="46" t="str">
        <f>IF(F12="","",IF(B12="no",'Emission Factors'!$P$43,'Emission Factors'!$P$44))</f>
        <v/>
      </c>
      <c r="AW12" s="46" t="str">
        <f t="shared" si="24"/>
        <v/>
      </c>
      <c r="AX12" s="46" t="str">
        <f t="shared" si="25"/>
        <v/>
      </c>
      <c r="AY12" s="46" t="str">
        <f t="shared" si="26"/>
        <v/>
      </c>
      <c r="AZ12" s="46" t="str">
        <f>IF(F12="","",IF(B12="no",'Emission Factors'!$R$43,'Emission Factors'!$R$44))</f>
        <v/>
      </c>
      <c r="BA12" s="46" t="str">
        <f t="shared" si="27"/>
        <v/>
      </c>
      <c r="BB12" s="46" t="str">
        <f t="shared" si="28"/>
        <v/>
      </c>
      <c r="BC12" s="46" t="str">
        <f t="shared" si="29"/>
        <v/>
      </c>
    </row>
    <row r="13" spans="1:55" ht="14.25" customHeight="1" x14ac:dyDescent="0.25">
      <c r="A13" s="6" t="str">
        <f>IF('Facility Information'!$C$21&gt;3,"AP-4","")</f>
        <v/>
      </c>
      <c r="B13" s="6" t="str">
        <f t="shared" si="0"/>
        <v>no</v>
      </c>
      <c r="C13" s="42"/>
      <c r="D13" s="42"/>
      <c r="E13" s="42"/>
      <c r="F13" s="43"/>
      <c r="G13" s="42"/>
      <c r="H13" s="44"/>
      <c r="I13" s="44"/>
      <c r="J13" s="112"/>
      <c r="K13" s="44">
        <f t="shared" si="5"/>
        <v>1</v>
      </c>
      <c r="L13" s="44"/>
      <c r="M13" s="44"/>
      <c r="N13" s="44"/>
      <c r="O13" s="44"/>
      <c r="P13" s="44"/>
      <c r="Q13" s="44"/>
      <c r="R13" s="47" t="str">
        <f t="shared" si="1"/>
        <v/>
      </c>
      <c r="S13" s="44"/>
      <c r="T13" s="46" t="str">
        <f t="shared" si="2"/>
        <v/>
      </c>
      <c r="U13" s="128"/>
      <c r="V13" s="128">
        <f t="shared" si="3"/>
        <v>0</v>
      </c>
      <c r="W13" s="128" t="str">
        <f t="shared" si="4"/>
        <v/>
      </c>
      <c r="X13" s="46" t="str">
        <f>IF(F13="","",IF(B13="no",'Emission Factors'!$D$43,'Emission Factors'!$D$44))</f>
        <v/>
      </c>
      <c r="Y13" s="46" t="str">
        <f t="shared" si="6"/>
        <v/>
      </c>
      <c r="Z13" s="46" t="str">
        <f t="shared" si="7"/>
        <v/>
      </c>
      <c r="AA13" s="46" t="str">
        <f t="shared" si="8"/>
        <v/>
      </c>
      <c r="AB13" s="46" t="str">
        <f>IF(F13="","",IF(B13="no",'Emission Factors'!$F$43,'Emission Factors'!$F$44))</f>
        <v/>
      </c>
      <c r="AC13" s="46" t="str">
        <f t="shared" si="9"/>
        <v/>
      </c>
      <c r="AD13" s="46" t="str">
        <f t="shared" si="10"/>
        <v/>
      </c>
      <c r="AE13" s="46" t="str">
        <f t="shared" si="11"/>
        <v/>
      </c>
      <c r="AF13" s="46" t="str">
        <f>IF(F13="","",IF(B13="no",'Emission Factors'!$H$43,'Emission Factors'!$H$44))</f>
        <v/>
      </c>
      <c r="AG13" s="46" t="str">
        <f t="shared" si="12"/>
        <v/>
      </c>
      <c r="AH13" s="46" t="str">
        <f t="shared" si="13"/>
        <v/>
      </c>
      <c r="AI13" s="46" t="str">
        <f t="shared" si="14"/>
        <v/>
      </c>
      <c r="AJ13" s="46" t="str">
        <f>IF(F13="","",IF(B13="no",'Emission Factors'!$J$43,'Emission Factors'!$J$44))</f>
        <v/>
      </c>
      <c r="AK13" s="46" t="str">
        <f t="shared" si="15"/>
        <v/>
      </c>
      <c r="AL13" s="46" t="str">
        <f t="shared" si="16"/>
        <v/>
      </c>
      <c r="AM13" s="46" t="str">
        <f t="shared" si="17"/>
        <v/>
      </c>
      <c r="AN13" s="46" t="str">
        <f>IF(F13="","",IF(B13="no",'Emission Factors'!$L$43,'Emission Factors'!$L$44))</f>
        <v/>
      </c>
      <c r="AO13" s="46" t="str">
        <f t="shared" si="18"/>
        <v/>
      </c>
      <c r="AP13" s="46" t="str">
        <f t="shared" si="19"/>
        <v/>
      </c>
      <c r="AQ13" s="46" t="str">
        <f t="shared" si="20"/>
        <v/>
      </c>
      <c r="AR13" s="46" t="str">
        <f>IF(F13="","",IF(B13="no",'Emission Factors'!$N$43,'Emission Factors'!$N$44))</f>
        <v/>
      </c>
      <c r="AS13" s="46" t="str">
        <f t="shared" si="21"/>
        <v/>
      </c>
      <c r="AT13" s="46" t="str">
        <f t="shared" si="22"/>
        <v/>
      </c>
      <c r="AU13" s="46" t="str">
        <f t="shared" si="23"/>
        <v/>
      </c>
      <c r="AV13" s="46" t="str">
        <f>IF(F13="","",IF(B13="no",'Emission Factors'!$P$43,'Emission Factors'!$P$44))</f>
        <v/>
      </c>
      <c r="AW13" s="46" t="str">
        <f t="shared" si="24"/>
        <v/>
      </c>
      <c r="AX13" s="46" t="str">
        <f t="shared" si="25"/>
        <v/>
      </c>
      <c r="AY13" s="46" t="str">
        <f t="shared" si="26"/>
        <v/>
      </c>
      <c r="AZ13" s="46" t="str">
        <f>IF(F13="","",IF(B13="no",'Emission Factors'!$R$43,'Emission Factors'!$R$44))</f>
        <v/>
      </c>
      <c r="BA13" s="46" t="str">
        <f t="shared" si="27"/>
        <v/>
      </c>
      <c r="BB13" s="46" t="str">
        <f t="shared" si="28"/>
        <v/>
      </c>
      <c r="BC13" s="46" t="str">
        <f t="shared" si="29"/>
        <v/>
      </c>
    </row>
    <row r="14" spans="1:55" ht="14.25" customHeight="1" x14ac:dyDescent="0.25">
      <c r="A14" s="6" t="str">
        <f>IF('Facility Information'!$C$21&gt;4,"AP-5","")</f>
        <v/>
      </c>
      <c r="B14" s="6" t="str">
        <f t="shared" ref="B14:B23" si="30">IF(F14="Diesel Generator&gt; 600 bhp","yes","no")</f>
        <v>no</v>
      </c>
      <c r="C14" s="42"/>
      <c r="D14" s="42"/>
      <c r="E14" s="42"/>
      <c r="F14" s="43"/>
      <c r="G14" s="42"/>
      <c r="H14" s="44"/>
      <c r="I14" s="44"/>
      <c r="J14" s="112"/>
      <c r="K14" s="44">
        <f t="shared" si="5"/>
        <v>1</v>
      </c>
      <c r="L14" s="44"/>
      <c r="M14" s="44"/>
      <c r="N14" s="44"/>
      <c r="O14" s="44"/>
      <c r="P14" s="44"/>
      <c r="Q14" s="44"/>
      <c r="R14" s="47" t="str">
        <f t="shared" ref="R14:R23" si="31">IF(Q14="","",Q14*0.14)</f>
        <v/>
      </c>
      <c r="S14" s="44"/>
      <c r="T14" s="46" t="str">
        <f t="shared" ref="T14:T23" si="32">IF(S14="","",S14*0.14)</f>
        <v/>
      </c>
      <c r="U14" s="128"/>
      <c r="V14" s="128">
        <f t="shared" si="3"/>
        <v>0</v>
      </c>
      <c r="W14" s="128" t="str">
        <f t="shared" si="4"/>
        <v/>
      </c>
      <c r="X14" s="46" t="str">
        <f>IF(F14="","",IF(B14="no",'Emission Factors'!$D$43,'Emission Factors'!$D$44))</f>
        <v/>
      </c>
      <c r="Y14" s="46" t="str">
        <f t="shared" si="6"/>
        <v/>
      </c>
      <c r="Z14" s="46" t="str">
        <f t="shared" si="7"/>
        <v/>
      </c>
      <c r="AA14" s="46" t="str">
        <f t="shared" si="8"/>
        <v/>
      </c>
      <c r="AB14" s="46" t="str">
        <f>IF(F14="","",IF(B14="no",'Emission Factors'!$F$43,'Emission Factors'!$F$44))</f>
        <v/>
      </c>
      <c r="AC14" s="46" t="str">
        <f t="shared" si="9"/>
        <v/>
      </c>
      <c r="AD14" s="46" t="str">
        <f t="shared" si="10"/>
        <v/>
      </c>
      <c r="AE14" s="46" t="str">
        <f t="shared" si="11"/>
        <v/>
      </c>
      <c r="AF14" s="46" t="str">
        <f>IF(F14="","",IF(B14="no",'Emission Factors'!$H$43,'Emission Factors'!$H$44))</f>
        <v/>
      </c>
      <c r="AG14" s="46" t="str">
        <f t="shared" si="12"/>
        <v/>
      </c>
      <c r="AH14" s="46" t="str">
        <f t="shared" si="13"/>
        <v/>
      </c>
      <c r="AI14" s="46" t="str">
        <f t="shared" si="14"/>
        <v/>
      </c>
      <c r="AJ14" s="46" t="str">
        <f>IF(F14="","",IF(B14="no",'Emission Factors'!$J$43,'Emission Factors'!$J$44))</f>
        <v/>
      </c>
      <c r="AK14" s="46" t="str">
        <f t="shared" si="15"/>
        <v/>
      </c>
      <c r="AL14" s="46" t="str">
        <f t="shared" si="16"/>
        <v/>
      </c>
      <c r="AM14" s="46" t="str">
        <f t="shared" si="17"/>
        <v/>
      </c>
      <c r="AN14" s="46" t="str">
        <f>IF(F14="","",IF(B14="no",'Emission Factors'!$L$43,'Emission Factors'!$L$44))</f>
        <v/>
      </c>
      <c r="AO14" s="46" t="str">
        <f t="shared" si="18"/>
        <v/>
      </c>
      <c r="AP14" s="46" t="str">
        <f t="shared" si="19"/>
        <v/>
      </c>
      <c r="AQ14" s="46" t="str">
        <f t="shared" si="20"/>
        <v/>
      </c>
      <c r="AR14" s="46" t="str">
        <f>IF(F14="","",IF(B14="no",'Emission Factors'!$N$43,'Emission Factors'!$N$44))</f>
        <v/>
      </c>
      <c r="AS14" s="46" t="str">
        <f t="shared" si="21"/>
        <v/>
      </c>
      <c r="AT14" s="46" t="str">
        <f t="shared" si="22"/>
        <v/>
      </c>
      <c r="AU14" s="46" t="str">
        <f t="shared" si="23"/>
        <v/>
      </c>
      <c r="AV14" s="46" t="str">
        <f>IF(F14="","",IF(B14="no",'Emission Factors'!$P$43,'Emission Factors'!$P$44))</f>
        <v/>
      </c>
      <c r="AW14" s="46" t="str">
        <f t="shared" si="24"/>
        <v/>
      </c>
      <c r="AX14" s="46" t="str">
        <f t="shared" si="25"/>
        <v/>
      </c>
      <c r="AY14" s="46" t="str">
        <f t="shared" si="26"/>
        <v/>
      </c>
      <c r="AZ14" s="46" t="str">
        <f>IF(F14="","",IF(B14="no",'Emission Factors'!$R$43,'Emission Factors'!$R$44))</f>
        <v/>
      </c>
      <c r="BA14" s="46" t="str">
        <f t="shared" si="27"/>
        <v/>
      </c>
      <c r="BB14" s="46" t="str">
        <f t="shared" si="28"/>
        <v/>
      </c>
      <c r="BC14" s="46" t="str">
        <f t="shared" si="29"/>
        <v/>
      </c>
    </row>
    <row r="15" spans="1:55" ht="14.25" customHeight="1" x14ac:dyDescent="0.25">
      <c r="A15" s="6" t="str">
        <f>IF('Facility Information'!$C$21&gt;5,"AP-6","")</f>
        <v/>
      </c>
      <c r="B15" s="6" t="str">
        <f t="shared" si="30"/>
        <v>no</v>
      </c>
      <c r="C15" s="42"/>
      <c r="D15" s="42"/>
      <c r="E15" s="42"/>
      <c r="F15" s="43"/>
      <c r="G15" s="42"/>
      <c r="H15" s="44"/>
      <c r="I15" s="44"/>
      <c r="J15" s="112"/>
      <c r="K15" s="44">
        <f t="shared" si="5"/>
        <v>1</v>
      </c>
      <c r="L15" s="44"/>
      <c r="M15" s="44"/>
      <c r="N15" s="44"/>
      <c r="O15" s="44"/>
      <c r="P15" s="44"/>
      <c r="Q15" s="44"/>
      <c r="R15" s="47" t="str">
        <f t="shared" si="31"/>
        <v/>
      </c>
      <c r="S15" s="44"/>
      <c r="T15" s="46" t="str">
        <f t="shared" si="32"/>
        <v/>
      </c>
      <c r="U15" s="128"/>
      <c r="V15" s="128">
        <f t="shared" si="3"/>
        <v>0</v>
      </c>
      <c r="W15" s="128" t="str">
        <f t="shared" si="4"/>
        <v/>
      </c>
      <c r="X15" s="46" t="str">
        <f>IF(F15="","",IF(B15="no",'Emission Factors'!$D$43,'Emission Factors'!$D$44))</f>
        <v/>
      </c>
      <c r="Y15" s="46" t="str">
        <f t="shared" si="6"/>
        <v/>
      </c>
      <c r="Z15" s="46" t="str">
        <f t="shared" si="7"/>
        <v/>
      </c>
      <c r="AA15" s="46" t="str">
        <f t="shared" si="8"/>
        <v/>
      </c>
      <c r="AB15" s="46" t="str">
        <f>IF(F15="","",IF(B15="no",'Emission Factors'!$F$43,'Emission Factors'!$F$44))</f>
        <v/>
      </c>
      <c r="AC15" s="46" t="str">
        <f t="shared" si="9"/>
        <v/>
      </c>
      <c r="AD15" s="46" t="str">
        <f t="shared" si="10"/>
        <v/>
      </c>
      <c r="AE15" s="46" t="str">
        <f t="shared" si="11"/>
        <v/>
      </c>
      <c r="AF15" s="46" t="str">
        <f>IF(F15="","",IF(B15="no",'Emission Factors'!$H$43,'Emission Factors'!$H$44))</f>
        <v/>
      </c>
      <c r="AG15" s="46" t="str">
        <f t="shared" si="12"/>
        <v/>
      </c>
      <c r="AH15" s="46" t="str">
        <f t="shared" si="13"/>
        <v/>
      </c>
      <c r="AI15" s="46" t="str">
        <f t="shared" si="14"/>
        <v/>
      </c>
      <c r="AJ15" s="46" t="str">
        <f>IF(F15="","",IF(B15="no",'Emission Factors'!$J$43,'Emission Factors'!$J$44))</f>
        <v/>
      </c>
      <c r="AK15" s="46" t="str">
        <f t="shared" si="15"/>
        <v/>
      </c>
      <c r="AL15" s="46" t="str">
        <f t="shared" si="16"/>
        <v/>
      </c>
      <c r="AM15" s="46" t="str">
        <f t="shared" si="17"/>
        <v/>
      </c>
      <c r="AN15" s="46" t="str">
        <f>IF(F15="","",IF(B15="no",'Emission Factors'!$L$43,'Emission Factors'!$L$44))</f>
        <v/>
      </c>
      <c r="AO15" s="46" t="str">
        <f t="shared" si="18"/>
        <v/>
      </c>
      <c r="AP15" s="46" t="str">
        <f t="shared" si="19"/>
        <v/>
      </c>
      <c r="AQ15" s="46" t="str">
        <f t="shared" si="20"/>
        <v/>
      </c>
      <c r="AR15" s="46" t="str">
        <f>IF(F15="","",IF(B15="no",'Emission Factors'!$N$43,'Emission Factors'!$N$44))</f>
        <v/>
      </c>
      <c r="AS15" s="46" t="str">
        <f t="shared" si="21"/>
        <v/>
      </c>
      <c r="AT15" s="46" t="str">
        <f t="shared" si="22"/>
        <v/>
      </c>
      <c r="AU15" s="46" t="str">
        <f t="shared" si="23"/>
        <v/>
      </c>
      <c r="AV15" s="46" t="str">
        <f>IF(F15="","",IF(B15="no",'Emission Factors'!$P$43,'Emission Factors'!$P$44))</f>
        <v/>
      </c>
      <c r="AW15" s="46" t="str">
        <f t="shared" si="24"/>
        <v/>
      </c>
      <c r="AX15" s="46" t="str">
        <f t="shared" si="25"/>
        <v/>
      </c>
      <c r="AY15" s="46" t="str">
        <f t="shared" si="26"/>
        <v/>
      </c>
      <c r="AZ15" s="46" t="str">
        <f>IF(F15="","",IF(B15="no",'Emission Factors'!$R$43,'Emission Factors'!$R$44))</f>
        <v/>
      </c>
      <c r="BA15" s="46" t="str">
        <f t="shared" si="27"/>
        <v/>
      </c>
      <c r="BB15" s="46" t="str">
        <f t="shared" si="28"/>
        <v/>
      </c>
      <c r="BC15" s="46" t="str">
        <f t="shared" si="29"/>
        <v/>
      </c>
    </row>
    <row r="16" spans="1:55" ht="14.25" customHeight="1" x14ac:dyDescent="0.25">
      <c r="A16" s="6" t="str">
        <f>IF('Facility Information'!$C$21&gt;6,"AP-7","")</f>
        <v/>
      </c>
      <c r="B16" s="6" t="str">
        <f t="shared" si="30"/>
        <v>no</v>
      </c>
      <c r="C16" s="42"/>
      <c r="D16" s="42"/>
      <c r="E16" s="42"/>
      <c r="F16" s="43"/>
      <c r="G16" s="42"/>
      <c r="H16" s="44"/>
      <c r="I16" s="44"/>
      <c r="J16" s="112"/>
      <c r="K16" s="44">
        <f t="shared" si="5"/>
        <v>1</v>
      </c>
      <c r="L16" s="44"/>
      <c r="M16" s="44"/>
      <c r="N16" s="44"/>
      <c r="O16" s="44"/>
      <c r="P16" s="44"/>
      <c r="Q16" s="44"/>
      <c r="R16" s="47" t="str">
        <f t="shared" si="31"/>
        <v/>
      </c>
      <c r="S16" s="44"/>
      <c r="T16" s="46" t="str">
        <f t="shared" si="32"/>
        <v/>
      </c>
      <c r="U16" s="128"/>
      <c r="V16" s="128">
        <f t="shared" si="3"/>
        <v>0</v>
      </c>
      <c r="W16" s="128" t="str">
        <f t="shared" si="4"/>
        <v/>
      </c>
      <c r="X16" s="46" t="str">
        <f>IF(F16="","",IF(B16="no",'Emission Factors'!$D$43,'Emission Factors'!$D$44))</f>
        <v/>
      </c>
      <c r="Y16" s="46" t="str">
        <f t="shared" si="6"/>
        <v/>
      </c>
      <c r="Z16" s="46" t="str">
        <f t="shared" si="7"/>
        <v/>
      </c>
      <c r="AA16" s="46" t="str">
        <f t="shared" si="8"/>
        <v/>
      </c>
      <c r="AB16" s="46" t="str">
        <f>IF(F16="","",IF(B16="no",'Emission Factors'!$F$43,'Emission Factors'!$F$44))</f>
        <v/>
      </c>
      <c r="AC16" s="46" t="str">
        <f t="shared" si="9"/>
        <v/>
      </c>
      <c r="AD16" s="46" t="str">
        <f t="shared" si="10"/>
        <v/>
      </c>
      <c r="AE16" s="46" t="str">
        <f t="shared" si="11"/>
        <v/>
      </c>
      <c r="AF16" s="46" t="str">
        <f>IF(F16="","",IF(B16="no",'Emission Factors'!$H$43,'Emission Factors'!$H$44))</f>
        <v/>
      </c>
      <c r="AG16" s="46" t="str">
        <f t="shared" si="12"/>
        <v/>
      </c>
      <c r="AH16" s="46" t="str">
        <f t="shared" si="13"/>
        <v/>
      </c>
      <c r="AI16" s="46" t="str">
        <f t="shared" si="14"/>
        <v/>
      </c>
      <c r="AJ16" s="46" t="str">
        <f>IF(F16="","",IF(B16="no",'Emission Factors'!$J$43,'Emission Factors'!$J$44))</f>
        <v/>
      </c>
      <c r="AK16" s="46" t="str">
        <f t="shared" si="15"/>
        <v/>
      </c>
      <c r="AL16" s="46" t="str">
        <f t="shared" si="16"/>
        <v/>
      </c>
      <c r="AM16" s="46" t="str">
        <f t="shared" si="17"/>
        <v/>
      </c>
      <c r="AN16" s="46" t="str">
        <f>IF(F16="","",IF(B16="no",'Emission Factors'!$L$43,'Emission Factors'!$L$44))</f>
        <v/>
      </c>
      <c r="AO16" s="46" t="str">
        <f t="shared" si="18"/>
        <v/>
      </c>
      <c r="AP16" s="46" t="str">
        <f t="shared" si="19"/>
        <v/>
      </c>
      <c r="AQ16" s="46" t="str">
        <f t="shared" si="20"/>
        <v/>
      </c>
      <c r="AR16" s="46" t="str">
        <f>IF(F16="","",IF(B16="no",'Emission Factors'!$N$43,'Emission Factors'!$N$44))</f>
        <v/>
      </c>
      <c r="AS16" s="46" t="str">
        <f t="shared" si="21"/>
        <v/>
      </c>
      <c r="AT16" s="46" t="str">
        <f t="shared" si="22"/>
        <v/>
      </c>
      <c r="AU16" s="46" t="str">
        <f t="shared" si="23"/>
        <v/>
      </c>
      <c r="AV16" s="46" t="str">
        <f>IF(F16="","",IF(B16="no",'Emission Factors'!$P$43,'Emission Factors'!$P$44))</f>
        <v/>
      </c>
      <c r="AW16" s="46" t="str">
        <f t="shared" si="24"/>
        <v/>
      </c>
      <c r="AX16" s="46" t="str">
        <f t="shared" si="25"/>
        <v/>
      </c>
      <c r="AY16" s="46" t="str">
        <f t="shared" si="26"/>
        <v/>
      </c>
      <c r="AZ16" s="46" t="str">
        <f>IF(F16="","",IF(B16="no",'Emission Factors'!$R$43,'Emission Factors'!$R$44))</f>
        <v/>
      </c>
      <c r="BA16" s="46" t="str">
        <f t="shared" si="27"/>
        <v/>
      </c>
      <c r="BB16" s="46" t="str">
        <f t="shared" si="28"/>
        <v/>
      </c>
      <c r="BC16" s="46" t="str">
        <f t="shared" si="29"/>
        <v/>
      </c>
    </row>
    <row r="17" spans="1:55" ht="14.25" customHeight="1" x14ac:dyDescent="0.25">
      <c r="A17" s="6" t="str">
        <f>IF('Facility Information'!$C$21&gt;7,"AP-8","")</f>
        <v/>
      </c>
      <c r="B17" s="6" t="str">
        <f t="shared" si="30"/>
        <v>no</v>
      </c>
      <c r="C17" s="42"/>
      <c r="D17" s="42"/>
      <c r="E17" s="42"/>
      <c r="F17" s="43"/>
      <c r="G17" s="42"/>
      <c r="H17" s="44"/>
      <c r="I17" s="44"/>
      <c r="J17" s="112"/>
      <c r="K17" s="44">
        <f t="shared" si="5"/>
        <v>1</v>
      </c>
      <c r="L17" s="44"/>
      <c r="M17" s="44"/>
      <c r="N17" s="44"/>
      <c r="O17" s="44"/>
      <c r="P17" s="44"/>
      <c r="Q17" s="44"/>
      <c r="R17" s="47" t="str">
        <f t="shared" si="31"/>
        <v/>
      </c>
      <c r="S17" s="44"/>
      <c r="T17" s="46" t="str">
        <f t="shared" si="32"/>
        <v/>
      </c>
      <c r="U17" s="128"/>
      <c r="V17" s="128">
        <f t="shared" si="3"/>
        <v>0</v>
      </c>
      <c r="W17" s="128" t="str">
        <f t="shared" si="4"/>
        <v/>
      </c>
      <c r="X17" s="46" t="str">
        <f>IF(F17="","",IF(B17="no",'Emission Factors'!$D$43,'Emission Factors'!$D$44))</f>
        <v/>
      </c>
      <c r="Y17" s="46" t="str">
        <f t="shared" si="6"/>
        <v/>
      </c>
      <c r="Z17" s="46" t="str">
        <f t="shared" si="7"/>
        <v/>
      </c>
      <c r="AA17" s="46" t="str">
        <f t="shared" si="8"/>
        <v/>
      </c>
      <c r="AB17" s="46" t="str">
        <f>IF(F17="","",IF(B17="no",'Emission Factors'!$F$43,'Emission Factors'!$F$44))</f>
        <v/>
      </c>
      <c r="AC17" s="46" t="str">
        <f t="shared" si="9"/>
        <v/>
      </c>
      <c r="AD17" s="46" t="str">
        <f t="shared" si="10"/>
        <v/>
      </c>
      <c r="AE17" s="46" t="str">
        <f t="shared" si="11"/>
        <v/>
      </c>
      <c r="AF17" s="46" t="str">
        <f>IF(F17="","",IF(B17="no",'Emission Factors'!$H$43,'Emission Factors'!$H$44))</f>
        <v/>
      </c>
      <c r="AG17" s="46" t="str">
        <f t="shared" si="12"/>
        <v/>
      </c>
      <c r="AH17" s="46" t="str">
        <f t="shared" si="13"/>
        <v/>
      </c>
      <c r="AI17" s="46" t="str">
        <f t="shared" si="14"/>
        <v/>
      </c>
      <c r="AJ17" s="46" t="str">
        <f>IF(F17="","",IF(B17="no",'Emission Factors'!$J$43,'Emission Factors'!$J$44))</f>
        <v/>
      </c>
      <c r="AK17" s="46" t="str">
        <f t="shared" si="15"/>
        <v/>
      </c>
      <c r="AL17" s="46" t="str">
        <f t="shared" si="16"/>
        <v/>
      </c>
      <c r="AM17" s="46" t="str">
        <f t="shared" si="17"/>
        <v/>
      </c>
      <c r="AN17" s="46" t="str">
        <f>IF(F17="","",IF(B17="no",'Emission Factors'!$L$43,'Emission Factors'!$L$44))</f>
        <v/>
      </c>
      <c r="AO17" s="46" t="str">
        <f t="shared" si="18"/>
        <v/>
      </c>
      <c r="AP17" s="46" t="str">
        <f t="shared" si="19"/>
        <v/>
      </c>
      <c r="AQ17" s="46" t="str">
        <f t="shared" si="20"/>
        <v/>
      </c>
      <c r="AR17" s="46" t="str">
        <f>IF(F17="","",IF(B17="no",'Emission Factors'!$N$43,'Emission Factors'!$N$44))</f>
        <v/>
      </c>
      <c r="AS17" s="46" t="str">
        <f t="shared" si="21"/>
        <v/>
      </c>
      <c r="AT17" s="46" t="str">
        <f t="shared" si="22"/>
        <v/>
      </c>
      <c r="AU17" s="46" t="str">
        <f t="shared" si="23"/>
        <v/>
      </c>
      <c r="AV17" s="46" t="str">
        <f>IF(F17="","",IF(B17="no",'Emission Factors'!$P$43,'Emission Factors'!$P$44))</f>
        <v/>
      </c>
      <c r="AW17" s="46" t="str">
        <f t="shared" si="24"/>
        <v/>
      </c>
      <c r="AX17" s="46" t="str">
        <f t="shared" si="25"/>
        <v/>
      </c>
      <c r="AY17" s="46" t="str">
        <f t="shared" si="26"/>
        <v/>
      </c>
      <c r="AZ17" s="46" t="str">
        <f>IF(F17="","",IF(B17="no",'Emission Factors'!$R$43,'Emission Factors'!$R$44))</f>
        <v/>
      </c>
      <c r="BA17" s="46" t="str">
        <f t="shared" si="27"/>
        <v/>
      </c>
      <c r="BB17" s="46" t="str">
        <f t="shared" si="28"/>
        <v/>
      </c>
      <c r="BC17" s="46" t="str">
        <f t="shared" si="29"/>
        <v/>
      </c>
    </row>
    <row r="18" spans="1:55" ht="14.25" customHeight="1" x14ac:dyDescent="0.25">
      <c r="A18" s="6" t="str">
        <f>IF('Facility Information'!$C$21&gt;8,"AP-9","")</f>
        <v/>
      </c>
      <c r="B18" s="6" t="str">
        <f t="shared" si="30"/>
        <v>no</v>
      </c>
      <c r="C18" s="42"/>
      <c r="D18" s="42"/>
      <c r="E18" s="42"/>
      <c r="F18" s="43"/>
      <c r="G18" s="42"/>
      <c r="H18" s="44"/>
      <c r="I18" s="44"/>
      <c r="J18" s="112"/>
      <c r="K18" s="44">
        <f t="shared" si="5"/>
        <v>1</v>
      </c>
      <c r="L18" s="44"/>
      <c r="M18" s="44"/>
      <c r="N18" s="44"/>
      <c r="O18" s="44"/>
      <c r="P18" s="44"/>
      <c r="Q18" s="44"/>
      <c r="R18" s="47" t="str">
        <f t="shared" si="31"/>
        <v/>
      </c>
      <c r="S18" s="44"/>
      <c r="T18" s="46" t="str">
        <f t="shared" si="32"/>
        <v/>
      </c>
      <c r="U18" s="128"/>
      <c r="V18" s="128">
        <f t="shared" si="3"/>
        <v>0</v>
      </c>
      <c r="W18" s="128" t="str">
        <f t="shared" si="4"/>
        <v/>
      </c>
      <c r="X18" s="46" t="str">
        <f>IF(F18="","",IF(B18="no",'Emission Factors'!$D$43,'Emission Factors'!$D$44))</f>
        <v/>
      </c>
      <c r="Y18" s="46" t="str">
        <f t="shared" si="6"/>
        <v/>
      </c>
      <c r="Z18" s="46" t="str">
        <f t="shared" si="7"/>
        <v/>
      </c>
      <c r="AA18" s="46" t="str">
        <f t="shared" si="8"/>
        <v/>
      </c>
      <c r="AB18" s="46" t="str">
        <f>IF(F18="","",IF(B18="no",'Emission Factors'!$F$43,'Emission Factors'!$F$44))</f>
        <v/>
      </c>
      <c r="AC18" s="46" t="str">
        <f t="shared" si="9"/>
        <v/>
      </c>
      <c r="AD18" s="46" t="str">
        <f t="shared" si="10"/>
        <v/>
      </c>
      <c r="AE18" s="46" t="str">
        <f t="shared" si="11"/>
        <v/>
      </c>
      <c r="AF18" s="46" t="str">
        <f>IF(F18="","",IF(B18="no",'Emission Factors'!$H$43,'Emission Factors'!$H$44))</f>
        <v/>
      </c>
      <c r="AG18" s="46" t="str">
        <f t="shared" si="12"/>
        <v/>
      </c>
      <c r="AH18" s="46" t="str">
        <f t="shared" si="13"/>
        <v/>
      </c>
      <c r="AI18" s="46" t="str">
        <f t="shared" si="14"/>
        <v/>
      </c>
      <c r="AJ18" s="46" t="str">
        <f>IF(F18="","",IF(B18="no",'Emission Factors'!$J$43,'Emission Factors'!$J$44))</f>
        <v/>
      </c>
      <c r="AK18" s="46" t="str">
        <f t="shared" si="15"/>
        <v/>
      </c>
      <c r="AL18" s="46" t="str">
        <f t="shared" si="16"/>
        <v/>
      </c>
      <c r="AM18" s="46" t="str">
        <f t="shared" si="17"/>
        <v/>
      </c>
      <c r="AN18" s="46" t="str">
        <f>IF(F18="","",IF(B18="no",'Emission Factors'!$L$43,'Emission Factors'!$L$44))</f>
        <v/>
      </c>
      <c r="AO18" s="46" t="str">
        <f t="shared" si="18"/>
        <v/>
      </c>
      <c r="AP18" s="46" t="str">
        <f t="shared" si="19"/>
        <v/>
      </c>
      <c r="AQ18" s="46" t="str">
        <f t="shared" si="20"/>
        <v/>
      </c>
      <c r="AR18" s="46" t="str">
        <f>IF(F18="","",IF(B18="no",'Emission Factors'!$N$43,'Emission Factors'!$N$44))</f>
        <v/>
      </c>
      <c r="AS18" s="46" t="str">
        <f t="shared" si="21"/>
        <v/>
      </c>
      <c r="AT18" s="46" t="str">
        <f t="shared" si="22"/>
        <v/>
      </c>
      <c r="AU18" s="46" t="str">
        <f t="shared" si="23"/>
        <v/>
      </c>
      <c r="AV18" s="46" t="str">
        <f>IF(F18="","",IF(B18="no",'Emission Factors'!$P$43,'Emission Factors'!$P$44))</f>
        <v/>
      </c>
      <c r="AW18" s="46" t="str">
        <f t="shared" si="24"/>
        <v/>
      </c>
      <c r="AX18" s="46" t="str">
        <f t="shared" si="25"/>
        <v/>
      </c>
      <c r="AY18" s="46" t="str">
        <f t="shared" si="26"/>
        <v/>
      </c>
      <c r="AZ18" s="46" t="str">
        <f>IF(F18="","",IF(B18="no",'Emission Factors'!$R$43,'Emission Factors'!$R$44))</f>
        <v/>
      </c>
      <c r="BA18" s="46" t="str">
        <f t="shared" si="27"/>
        <v/>
      </c>
      <c r="BB18" s="46" t="str">
        <f t="shared" si="28"/>
        <v/>
      </c>
      <c r="BC18" s="46" t="str">
        <f t="shared" si="29"/>
        <v/>
      </c>
    </row>
    <row r="19" spans="1:55" ht="14.25" customHeight="1" x14ac:dyDescent="0.25">
      <c r="A19" s="6" t="str">
        <f>IF('Facility Information'!$C$21&gt;9,"AP-10","")</f>
        <v/>
      </c>
      <c r="B19" s="6" t="str">
        <f t="shared" si="30"/>
        <v>no</v>
      </c>
      <c r="C19" s="42"/>
      <c r="D19" s="42"/>
      <c r="E19" s="42"/>
      <c r="F19" s="43"/>
      <c r="G19" s="42"/>
      <c r="H19" s="44"/>
      <c r="I19" s="44"/>
      <c r="J19" s="112"/>
      <c r="K19" s="44">
        <f t="shared" si="5"/>
        <v>1</v>
      </c>
      <c r="L19" s="44"/>
      <c r="M19" s="44"/>
      <c r="N19" s="44"/>
      <c r="O19" s="44"/>
      <c r="P19" s="44"/>
      <c r="Q19" s="44"/>
      <c r="R19" s="47" t="str">
        <f t="shared" si="31"/>
        <v/>
      </c>
      <c r="S19" s="44"/>
      <c r="T19" s="46" t="str">
        <f t="shared" si="32"/>
        <v/>
      </c>
      <c r="U19" s="128"/>
      <c r="V19" s="128">
        <f t="shared" si="3"/>
        <v>0</v>
      </c>
      <c r="W19" s="128" t="str">
        <f t="shared" si="4"/>
        <v/>
      </c>
      <c r="X19" s="46" t="str">
        <f>IF(F19="","",IF(B19="no",'Emission Factors'!$D$43,'Emission Factors'!$D$44))</f>
        <v/>
      </c>
      <c r="Y19" s="46" t="str">
        <f t="shared" si="6"/>
        <v/>
      </c>
      <c r="Z19" s="46" t="str">
        <f t="shared" si="7"/>
        <v/>
      </c>
      <c r="AA19" s="46" t="str">
        <f t="shared" si="8"/>
        <v/>
      </c>
      <c r="AB19" s="46" t="str">
        <f>IF(F19="","",IF(B19="no",'Emission Factors'!$F$43,'Emission Factors'!$F$44))</f>
        <v/>
      </c>
      <c r="AC19" s="46" t="str">
        <f t="shared" si="9"/>
        <v/>
      </c>
      <c r="AD19" s="46" t="str">
        <f t="shared" si="10"/>
        <v/>
      </c>
      <c r="AE19" s="46" t="str">
        <f t="shared" si="11"/>
        <v/>
      </c>
      <c r="AF19" s="46" t="str">
        <f>IF(F19="","",IF(B19="no",'Emission Factors'!$H$43,'Emission Factors'!$H$44))</f>
        <v/>
      </c>
      <c r="AG19" s="46" t="str">
        <f t="shared" si="12"/>
        <v/>
      </c>
      <c r="AH19" s="46" t="str">
        <f t="shared" si="13"/>
        <v/>
      </c>
      <c r="AI19" s="46" t="str">
        <f t="shared" si="14"/>
        <v/>
      </c>
      <c r="AJ19" s="46" t="str">
        <f>IF(F19="","",IF(B19="no",'Emission Factors'!$J$43,'Emission Factors'!$J$44))</f>
        <v/>
      </c>
      <c r="AK19" s="46" t="str">
        <f t="shared" si="15"/>
        <v/>
      </c>
      <c r="AL19" s="46" t="str">
        <f t="shared" si="16"/>
        <v/>
      </c>
      <c r="AM19" s="46" t="str">
        <f t="shared" si="17"/>
        <v/>
      </c>
      <c r="AN19" s="46" t="str">
        <f>IF(F19="","",IF(B19="no",'Emission Factors'!$L$43,'Emission Factors'!$L$44))</f>
        <v/>
      </c>
      <c r="AO19" s="46" t="str">
        <f t="shared" si="18"/>
        <v/>
      </c>
      <c r="AP19" s="46" t="str">
        <f t="shared" si="19"/>
        <v/>
      </c>
      <c r="AQ19" s="46" t="str">
        <f t="shared" si="20"/>
        <v/>
      </c>
      <c r="AR19" s="46" t="str">
        <f>IF(F19="","",IF(B19="no",'Emission Factors'!$N$43,'Emission Factors'!$N$44))</f>
        <v/>
      </c>
      <c r="AS19" s="46" t="str">
        <f t="shared" si="21"/>
        <v/>
      </c>
      <c r="AT19" s="46" t="str">
        <f t="shared" si="22"/>
        <v/>
      </c>
      <c r="AU19" s="46" t="str">
        <f t="shared" si="23"/>
        <v/>
      </c>
      <c r="AV19" s="46" t="str">
        <f>IF(F19="","",IF(B19="no",'Emission Factors'!$P$43,'Emission Factors'!$P$44))</f>
        <v/>
      </c>
      <c r="AW19" s="46" t="str">
        <f t="shared" si="24"/>
        <v/>
      </c>
      <c r="AX19" s="46" t="str">
        <f t="shared" si="25"/>
        <v/>
      </c>
      <c r="AY19" s="46" t="str">
        <f t="shared" si="26"/>
        <v/>
      </c>
      <c r="AZ19" s="46" t="str">
        <f>IF(F19="","",IF(B19="no",'Emission Factors'!$R$43,'Emission Factors'!$R$44))</f>
        <v/>
      </c>
      <c r="BA19" s="46" t="str">
        <f t="shared" si="27"/>
        <v/>
      </c>
      <c r="BB19" s="46" t="str">
        <f t="shared" si="28"/>
        <v/>
      </c>
      <c r="BC19" s="46" t="str">
        <f t="shared" si="29"/>
        <v/>
      </c>
    </row>
    <row r="20" spans="1:55" ht="14.25" customHeight="1" x14ac:dyDescent="0.25">
      <c r="B20" s="6" t="str">
        <f t="shared" si="30"/>
        <v>no</v>
      </c>
      <c r="C20" s="42"/>
      <c r="D20" s="42"/>
      <c r="E20" s="42"/>
      <c r="F20" s="43"/>
      <c r="G20" s="42"/>
      <c r="H20" s="44"/>
      <c r="I20" s="44"/>
      <c r="J20" s="112"/>
      <c r="K20" s="44">
        <f t="shared" si="5"/>
        <v>1</v>
      </c>
      <c r="L20" s="44"/>
      <c r="M20" s="44"/>
      <c r="N20" s="44"/>
      <c r="O20" s="44"/>
      <c r="P20" s="44"/>
      <c r="Q20" s="44"/>
      <c r="R20" s="47" t="str">
        <f t="shared" si="31"/>
        <v/>
      </c>
      <c r="S20" s="44"/>
      <c r="T20" s="46" t="str">
        <f t="shared" si="32"/>
        <v/>
      </c>
      <c r="U20" s="128"/>
      <c r="V20" s="128">
        <f t="shared" si="3"/>
        <v>0</v>
      </c>
      <c r="W20" s="128" t="str">
        <f t="shared" si="4"/>
        <v/>
      </c>
      <c r="X20" s="46" t="str">
        <f>IF(F20="","",IF(B20="no",'Emission Factors'!$D$43,'Emission Factors'!$D$44))</f>
        <v/>
      </c>
      <c r="Y20" s="46" t="str">
        <f t="shared" si="6"/>
        <v/>
      </c>
      <c r="Z20" s="46" t="str">
        <f t="shared" si="7"/>
        <v/>
      </c>
      <c r="AA20" s="46" t="str">
        <f t="shared" si="8"/>
        <v/>
      </c>
      <c r="AB20" s="46" t="str">
        <f>IF(F20="","",IF(B20="no",'Emission Factors'!$F$43,'Emission Factors'!$F$44))</f>
        <v/>
      </c>
      <c r="AC20" s="46" t="str">
        <f t="shared" si="9"/>
        <v/>
      </c>
      <c r="AD20" s="46" t="str">
        <f t="shared" si="10"/>
        <v/>
      </c>
      <c r="AE20" s="46" t="str">
        <f t="shared" si="11"/>
        <v/>
      </c>
      <c r="AF20" s="46" t="str">
        <f>IF(F20="","",IF(B20="no",'Emission Factors'!$H$43,'Emission Factors'!$H$44))</f>
        <v/>
      </c>
      <c r="AG20" s="46" t="str">
        <f t="shared" si="12"/>
        <v/>
      </c>
      <c r="AH20" s="46" t="str">
        <f t="shared" si="13"/>
        <v/>
      </c>
      <c r="AI20" s="46" t="str">
        <f t="shared" si="14"/>
        <v/>
      </c>
      <c r="AJ20" s="46" t="str">
        <f>IF(F20="","",IF(B20="no",'Emission Factors'!$J$43,'Emission Factors'!$J$44))</f>
        <v/>
      </c>
      <c r="AK20" s="46" t="str">
        <f t="shared" si="15"/>
        <v/>
      </c>
      <c r="AL20" s="46" t="str">
        <f t="shared" si="16"/>
        <v/>
      </c>
      <c r="AM20" s="46" t="str">
        <f t="shared" si="17"/>
        <v/>
      </c>
      <c r="AN20" s="46" t="str">
        <f>IF(F20="","",IF(B20="no",'Emission Factors'!$L$43,'Emission Factors'!$L$44))</f>
        <v/>
      </c>
      <c r="AO20" s="46" t="str">
        <f t="shared" si="18"/>
        <v/>
      </c>
      <c r="AP20" s="46" t="str">
        <f t="shared" si="19"/>
        <v/>
      </c>
      <c r="AQ20" s="46" t="str">
        <f t="shared" si="20"/>
        <v/>
      </c>
      <c r="AR20" s="46" t="str">
        <f>IF(F20="","",IF(B20="no",'Emission Factors'!$N$43,'Emission Factors'!$N$44))</f>
        <v/>
      </c>
      <c r="AS20" s="46" t="str">
        <f t="shared" si="21"/>
        <v/>
      </c>
      <c r="AT20" s="46" t="str">
        <f t="shared" si="22"/>
        <v/>
      </c>
      <c r="AU20" s="46" t="str">
        <f t="shared" si="23"/>
        <v/>
      </c>
      <c r="AV20" s="46" t="str">
        <f>IF(F20="","",IF(B20="no",'Emission Factors'!$P$43,'Emission Factors'!$P$44))</f>
        <v/>
      </c>
      <c r="AW20" s="46" t="str">
        <f t="shared" si="24"/>
        <v/>
      </c>
      <c r="AX20" s="46" t="str">
        <f t="shared" si="25"/>
        <v/>
      </c>
      <c r="AY20" s="46" t="str">
        <f t="shared" si="26"/>
        <v/>
      </c>
      <c r="AZ20" s="46" t="str">
        <f>IF(F20="","",IF(B20="no",'Emission Factors'!$R$43,'Emission Factors'!$R$44))</f>
        <v/>
      </c>
      <c r="BA20" s="46" t="str">
        <f t="shared" si="27"/>
        <v/>
      </c>
      <c r="BB20" s="46" t="str">
        <f t="shared" si="28"/>
        <v/>
      </c>
      <c r="BC20" s="46" t="str">
        <f t="shared" si="29"/>
        <v/>
      </c>
    </row>
    <row r="21" spans="1:55" ht="14.25" customHeight="1" x14ac:dyDescent="0.25">
      <c r="B21" s="6" t="str">
        <f t="shared" si="30"/>
        <v>no</v>
      </c>
      <c r="C21" s="42"/>
      <c r="D21" s="42"/>
      <c r="E21" s="42"/>
      <c r="F21" s="43"/>
      <c r="G21" s="42"/>
      <c r="H21" s="44"/>
      <c r="I21" s="44"/>
      <c r="J21" s="112"/>
      <c r="K21" s="44">
        <f t="shared" si="5"/>
        <v>1</v>
      </c>
      <c r="L21" s="44"/>
      <c r="M21" s="44"/>
      <c r="N21" s="44"/>
      <c r="O21" s="44"/>
      <c r="P21" s="44"/>
      <c r="Q21" s="44"/>
      <c r="R21" s="47" t="str">
        <f t="shared" si="31"/>
        <v/>
      </c>
      <c r="S21" s="44"/>
      <c r="T21" s="46" t="str">
        <f t="shared" si="32"/>
        <v/>
      </c>
      <c r="U21" s="128"/>
      <c r="V21" s="128">
        <f t="shared" si="3"/>
        <v>0</v>
      </c>
      <c r="W21" s="128" t="str">
        <f t="shared" si="4"/>
        <v/>
      </c>
      <c r="X21" s="46" t="str">
        <f>IF(F21="","",IF(B21="no",'Emission Factors'!$D$43,'Emission Factors'!$D$44))</f>
        <v/>
      </c>
      <c r="Y21" s="46" t="str">
        <f t="shared" si="6"/>
        <v/>
      </c>
      <c r="Z21" s="46" t="str">
        <f t="shared" si="7"/>
        <v/>
      </c>
      <c r="AA21" s="46" t="str">
        <f t="shared" si="8"/>
        <v/>
      </c>
      <c r="AB21" s="46" t="str">
        <f>IF(F21="","",IF(B21="no",'Emission Factors'!$F$43,'Emission Factors'!$F$44))</f>
        <v/>
      </c>
      <c r="AC21" s="46" t="str">
        <f t="shared" si="9"/>
        <v/>
      </c>
      <c r="AD21" s="46" t="str">
        <f t="shared" si="10"/>
        <v/>
      </c>
      <c r="AE21" s="46" t="str">
        <f t="shared" si="11"/>
        <v/>
      </c>
      <c r="AF21" s="46" t="str">
        <f>IF(F21="","",IF(B21="no",'Emission Factors'!$H$43,'Emission Factors'!$H$44))</f>
        <v/>
      </c>
      <c r="AG21" s="46" t="str">
        <f t="shared" si="12"/>
        <v/>
      </c>
      <c r="AH21" s="46" t="str">
        <f t="shared" si="13"/>
        <v/>
      </c>
      <c r="AI21" s="46" t="str">
        <f t="shared" si="14"/>
        <v/>
      </c>
      <c r="AJ21" s="46" t="str">
        <f>IF(F21="","",IF(B21="no",'Emission Factors'!$J$43,'Emission Factors'!$J$44))</f>
        <v/>
      </c>
      <c r="AK21" s="46" t="str">
        <f t="shared" si="15"/>
        <v/>
      </c>
      <c r="AL21" s="46" t="str">
        <f t="shared" si="16"/>
        <v/>
      </c>
      <c r="AM21" s="46" t="str">
        <f t="shared" si="17"/>
        <v/>
      </c>
      <c r="AN21" s="46" t="str">
        <f>IF(F21="","",IF(B21="no",'Emission Factors'!$L$43,'Emission Factors'!$L$44))</f>
        <v/>
      </c>
      <c r="AO21" s="46" t="str">
        <f t="shared" si="18"/>
        <v/>
      </c>
      <c r="AP21" s="46" t="str">
        <f t="shared" si="19"/>
        <v/>
      </c>
      <c r="AQ21" s="46" t="str">
        <f t="shared" si="20"/>
        <v/>
      </c>
      <c r="AR21" s="46" t="str">
        <f>IF(F21="","",IF(B21="no",'Emission Factors'!$N$43,'Emission Factors'!$N$44))</f>
        <v/>
      </c>
      <c r="AS21" s="46" t="str">
        <f t="shared" si="21"/>
        <v/>
      </c>
      <c r="AT21" s="46" t="str">
        <f t="shared" si="22"/>
        <v/>
      </c>
      <c r="AU21" s="46" t="str">
        <f t="shared" si="23"/>
        <v/>
      </c>
      <c r="AV21" s="46" t="str">
        <f>IF(F21="","",IF(B21="no",'Emission Factors'!$P$43,'Emission Factors'!$P$44))</f>
        <v/>
      </c>
      <c r="AW21" s="46" t="str">
        <f t="shared" si="24"/>
        <v/>
      </c>
      <c r="AX21" s="46" t="str">
        <f t="shared" si="25"/>
        <v/>
      </c>
      <c r="AY21" s="46" t="str">
        <f t="shared" si="26"/>
        <v/>
      </c>
      <c r="AZ21" s="46" t="str">
        <f>IF(F21="","",IF(B21="no",'Emission Factors'!$R$43,'Emission Factors'!$R$44))</f>
        <v/>
      </c>
      <c r="BA21" s="46" t="str">
        <f t="shared" si="27"/>
        <v/>
      </c>
      <c r="BB21" s="46" t="str">
        <f t="shared" si="28"/>
        <v/>
      </c>
      <c r="BC21" s="46" t="str">
        <f t="shared" si="29"/>
        <v/>
      </c>
    </row>
    <row r="22" spans="1:55" ht="14.25" customHeight="1" x14ac:dyDescent="0.25">
      <c r="B22" s="6" t="str">
        <f t="shared" si="30"/>
        <v>no</v>
      </c>
      <c r="C22" s="42"/>
      <c r="D22" s="42"/>
      <c r="E22" s="42"/>
      <c r="F22" s="43"/>
      <c r="G22" s="42"/>
      <c r="H22" s="44"/>
      <c r="I22" s="44"/>
      <c r="J22" s="112"/>
      <c r="K22" s="44">
        <f t="shared" si="5"/>
        <v>1</v>
      </c>
      <c r="L22" s="44"/>
      <c r="M22" s="44"/>
      <c r="N22" s="44"/>
      <c r="O22" s="44"/>
      <c r="P22" s="44"/>
      <c r="Q22" s="44"/>
      <c r="R22" s="47" t="str">
        <f t="shared" si="31"/>
        <v/>
      </c>
      <c r="S22" s="44"/>
      <c r="T22" s="46" t="str">
        <f t="shared" si="32"/>
        <v/>
      </c>
      <c r="U22" s="128"/>
      <c r="V22" s="128">
        <f t="shared" si="3"/>
        <v>0</v>
      </c>
      <c r="W22" s="128" t="str">
        <f t="shared" si="4"/>
        <v/>
      </c>
      <c r="X22" s="46" t="str">
        <f>IF(F22="","",IF(B22="no",'Emission Factors'!$D$43,'Emission Factors'!$D$44))</f>
        <v/>
      </c>
      <c r="Y22" s="46" t="str">
        <f t="shared" si="6"/>
        <v/>
      </c>
      <c r="Z22" s="46" t="str">
        <f t="shared" si="7"/>
        <v/>
      </c>
      <c r="AA22" s="46" t="str">
        <f t="shared" si="8"/>
        <v/>
      </c>
      <c r="AB22" s="46" t="str">
        <f>IF(F22="","",IF(B22="no",'Emission Factors'!$F$43,'Emission Factors'!$F$44))</f>
        <v/>
      </c>
      <c r="AC22" s="46" t="str">
        <f t="shared" si="9"/>
        <v/>
      </c>
      <c r="AD22" s="46" t="str">
        <f t="shared" si="10"/>
        <v/>
      </c>
      <c r="AE22" s="46" t="str">
        <f t="shared" si="11"/>
        <v/>
      </c>
      <c r="AF22" s="46" t="str">
        <f>IF(F22="","",IF(B22="no",'Emission Factors'!$H$43,'Emission Factors'!$H$44))</f>
        <v/>
      </c>
      <c r="AG22" s="46" t="str">
        <f t="shared" si="12"/>
        <v/>
      </c>
      <c r="AH22" s="46" t="str">
        <f t="shared" si="13"/>
        <v/>
      </c>
      <c r="AI22" s="46" t="str">
        <f t="shared" si="14"/>
        <v/>
      </c>
      <c r="AJ22" s="46" t="str">
        <f>IF(F22="","",IF(B22="no",'Emission Factors'!$J$43,'Emission Factors'!$J$44))</f>
        <v/>
      </c>
      <c r="AK22" s="46" t="str">
        <f t="shared" si="15"/>
        <v/>
      </c>
      <c r="AL22" s="46" t="str">
        <f t="shared" si="16"/>
        <v/>
      </c>
      <c r="AM22" s="46" t="str">
        <f t="shared" si="17"/>
        <v/>
      </c>
      <c r="AN22" s="46" t="str">
        <f>IF(F22="","",IF(B22="no",'Emission Factors'!$L$43,'Emission Factors'!$L$44))</f>
        <v/>
      </c>
      <c r="AO22" s="46" t="str">
        <f t="shared" si="18"/>
        <v/>
      </c>
      <c r="AP22" s="46" t="str">
        <f t="shared" si="19"/>
        <v/>
      </c>
      <c r="AQ22" s="46" t="str">
        <f t="shared" si="20"/>
        <v/>
      </c>
      <c r="AR22" s="46" t="str">
        <f>IF(F22="","",IF(B22="no",'Emission Factors'!$N$43,'Emission Factors'!$N$44))</f>
        <v/>
      </c>
      <c r="AS22" s="46" t="str">
        <f t="shared" si="21"/>
        <v/>
      </c>
      <c r="AT22" s="46" t="str">
        <f t="shared" si="22"/>
        <v/>
      </c>
      <c r="AU22" s="46" t="str">
        <f t="shared" si="23"/>
        <v/>
      </c>
      <c r="AV22" s="46" t="str">
        <f>IF(F22="","",IF(B22="no",'Emission Factors'!$P$43,'Emission Factors'!$P$44))</f>
        <v/>
      </c>
      <c r="AW22" s="46" t="str">
        <f t="shared" si="24"/>
        <v/>
      </c>
      <c r="AX22" s="46" t="str">
        <f t="shared" si="25"/>
        <v/>
      </c>
      <c r="AY22" s="46" t="str">
        <f t="shared" si="26"/>
        <v/>
      </c>
      <c r="AZ22" s="46" t="str">
        <f>IF(F22="","",IF(B22="no",'Emission Factors'!$R$43,'Emission Factors'!$R$44))</f>
        <v/>
      </c>
      <c r="BA22" s="46" t="str">
        <f t="shared" si="27"/>
        <v/>
      </c>
      <c r="BB22" s="46" t="str">
        <f t="shared" si="28"/>
        <v/>
      </c>
      <c r="BC22" s="46" t="str">
        <f t="shared" si="29"/>
        <v/>
      </c>
    </row>
    <row r="23" spans="1:55" ht="14.25" customHeight="1" x14ac:dyDescent="0.25">
      <c r="B23" s="6" t="str">
        <f t="shared" si="30"/>
        <v>no</v>
      </c>
      <c r="C23" s="42"/>
      <c r="D23" s="42"/>
      <c r="E23" s="42"/>
      <c r="F23" s="43"/>
      <c r="G23" s="42"/>
      <c r="H23" s="44"/>
      <c r="I23" s="44"/>
      <c r="J23" s="112"/>
      <c r="K23" s="44">
        <f t="shared" si="5"/>
        <v>1</v>
      </c>
      <c r="L23" s="44"/>
      <c r="M23" s="44"/>
      <c r="N23" s="44"/>
      <c r="O23" s="44"/>
      <c r="P23" s="44"/>
      <c r="Q23" s="44"/>
      <c r="R23" s="47" t="str">
        <f t="shared" si="31"/>
        <v/>
      </c>
      <c r="S23" s="44"/>
      <c r="T23" s="46" t="str">
        <f t="shared" si="32"/>
        <v/>
      </c>
      <c r="U23" s="128"/>
      <c r="V23" s="128">
        <f t="shared" si="3"/>
        <v>0</v>
      </c>
      <c r="W23" s="128" t="str">
        <f t="shared" si="4"/>
        <v/>
      </c>
      <c r="X23" s="46" t="str">
        <f>IF(F23="","",IF(B23="no",'Emission Factors'!$D$43,'Emission Factors'!$D$44))</f>
        <v/>
      </c>
      <c r="Y23" s="46" t="str">
        <f t="shared" si="6"/>
        <v/>
      </c>
      <c r="Z23" s="46" t="str">
        <f t="shared" si="7"/>
        <v/>
      </c>
      <c r="AA23" s="46" t="str">
        <f t="shared" si="8"/>
        <v/>
      </c>
      <c r="AB23" s="46" t="str">
        <f>IF(F23="","",IF(B23="no",'Emission Factors'!$F$43,'Emission Factors'!$F$44))</f>
        <v/>
      </c>
      <c r="AC23" s="46" t="str">
        <f t="shared" si="9"/>
        <v/>
      </c>
      <c r="AD23" s="46" t="str">
        <f t="shared" si="10"/>
        <v/>
      </c>
      <c r="AE23" s="46" t="str">
        <f t="shared" si="11"/>
        <v/>
      </c>
      <c r="AF23" s="46" t="str">
        <f>IF(F23="","",IF(B23="no",'Emission Factors'!$H$43,'Emission Factors'!$H$44))</f>
        <v/>
      </c>
      <c r="AG23" s="46" t="str">
        <f t="shared" si="12"/>
        <v/>
      </c>
      <c r="AH23" s="46" t="str">
        <f t="shared" si="13"/>
        <v/>
      </c>
      <c r="AI23" s="46" t="str">
        <f t="shared" si="14"/>
        <v/>
      </c>
      <c r="AJ23" s="46" t="str">
        <f>IF(F23="","",IF(B23="no",'Emission Factors'!$J$43,'Emission Factors'!$J$44))</f>
        <v/>
      </c>
      <c r="AK23" s="46" t="str">
        <f t="shared" si="15"/>
        <v/>
      </c>
      <c r="AL23" s="46" t="str">
        <f t="shared" si="16"/>
        <v/>
      </c>
      <c r="AM23" s="46" t="str">
        <f t="shared" si="17"/>
        <v/>
      </c>
      <c r="AN23" s="46" t="str">
        <f>IF(F23="","",IF(B23="no",'Emission Factors'!$L$43,'Emission Factors'!$L$44))</f>
        <v/>
      </c>
      <c r="AO23" s="46" t="str">
        <f t="shared" si="18"/>
        <v/>
      </c>
      <c r="AP23" s="46" t="str">
        <f t="shared" si="19"/>
        <v/>
      </c>
      <c r="AQ23" s="46" t="str">
        <f t="shared" si="20"/>
        <v/>
      </c>
      <c r="AR23" s="46" t="str">
        <f>IF(F23="","",IF(B23="no",'Emission Factors'!$N$43,'Emission Factors'!$N$44))</f>
        <v/>
      </c>
      <c r="AS23" s="46" t="str">
        <f t="shared" si="21"/>
        <v/>
      </c>
      <c r="AT23" s="46" t="str">
        <f t="shared" si="22"/>
        <v/>
      </c>
      <c r="AU23" s="46" t="str">
        <f t="shared" si="23"/>
        <v/>
      </c>
      <c r="AV23" s="46" t="str">
        <f>IF(F23="","",IF(B23="no",'Emission Factors'!$P$43,'Emission Factors'!$P$44))</f>
        <v/>
      </c>
      <c r="AW23" s="46" t="str">
        <f t="shared" si="24"/>
        <v/>
      </c>
      <c r="AX23" s="46" t="str">
        <f t="shared" si="25"/>
        <v/>
      </c>
      <c r="AY23" s="46" t="str">
        <f t="shared" si="26"/>
        <v/>
      </c>
      <c r="AZ23" s="46" t="str">
        <f>IF(F23="","",IF(B23="no",'Emission Factors'!$R$43,'Emission Factors'!$R$44))</f>
        <v/>
      </c>
      <c r="BA23" s="46" t="str">
        <f t="shared" si="27"/>
        <v/>
      </c>
      <c r="BB23" s="46" t="str">
        <f t="shared" si="28"/>
        <v/>
      </c>
      <c r="BC23" s="46" t="str">
        <f t="shared" si="29"/>
        <v/>
      </c>
    </row>
    <row r="24" spans="1:55" ht="14.25" customHeight="1" x14ac:dyDescent="0.25">
      <c r="B24" s="6" t="str">
        <f>IF(F24="Diesel Generator&gt; 600 bhp","yes","no")</f>
        <v>no</v>
      </c>
      <c r="C24" s="42"/>
      <c r="D24" s="42"/>
      <c r="E24" s="42"/>
      <c r="F24" s="43"/>
      <c r="G24" s="42"/>
      <c r="H24" s="44"/>
      <c r="I24" s="44"/>
      <c r="J24" s="112"/>
      <c r="K24" s="44">
        <f t="shared" si="5"/>
        <v>1</v>
      </c>
      <c r="L24" s="44"/>
      <c r="M24" s="44"/>
      <c r="N24" s="44"/>
      <c r="O24" s="44"/>
      <c r="P24" s="44"/>
      <c r="Q24" s="44"/>
      <c r="R24" s="47" t="str">
        <f>IF(Q24="","",Q24*0.14)</f>
        <v/>
      </c>
      <c r="S24" s="44"/>
      <c r="T24" s="46" t="str">
        <f>IF(S24="","",S24*0.14)</f>
        <v/>
      </c>
      <c r="U24" s="128"/>
      <c r="V24" s="128">
        <f t="shared" si="3"/>
        <v>0</v>
      </c>
      <c r="W24" s="128" t="str">
        <f t="shared" si="4"/>
        <v/>
      </c>
      <c r="X24" s="46" t="str">
        <f>IF(F24="","",IF(B24="no",'Emission Factors'!$D$43,'Emission Factors'!$D$44))</f>
        <v/>
      </c>
      <c r="Y24" s="46" t="str">
        <f t="shared" si="6"/>
        <v/>
      </c>
      <c r="Z24" s="46" t="str">
        <f t="shared" si="7"/>
        <v/>
      </c>
      <c r="AA24" s="46" t="str">
        <f t="shared" si="8"/>
        <v/>
      </c>
      <c r="AB24" s="46" t="str">
        <f>IF(F24="","",IF(B24="no",'Emission Factors'!$F$43,'Emission Factors'!$F$44))</f>
        <v/>
      </c>
      <c r="AC24" s="46" t="str">
        <f t="shared" si="9"/>
        <v/>
      </c>
      <c r="AD24" s="46" t="str">
        <f t="shared" si="10"/>
        <v/>
      </c>
      <c r="AE24" s="46" t="str">
        <f t="shared" si="11"/>
        <v/>
      </c>
      <c r="AF24" s="46" t="str">
        <f>IF(F24="","",IF(B24="no",'Emission Factors'!$H$43,'Emission Factors'!$H$44))</f>
        <v/>
      </c>
      <c r="AG24" s="46" t="str">
        <f t="shared" si="12"/>
        <v/>
      </c>
      <c r="AH24" s="46" t="str">
        <f t="shared" si="13"/>
        <v/>
      </c>
      <c r="AI24" s="46" t="str">
        <f t="shared" si="14"/>
        <v/>
      </c>
      <c r="AJ24" s="46" t="str">
        <f>IF(F24="","",IF(B24="no",'Emission Factors'!$J$43,'Emission Factors'!$J$44))</f>
        <v/>
      </c>
      <c r="AK24" s="46" t="str">
        <f t="shared" si="15"/>
        <v/>
      </c>
      <c r="AL24" s="46" t="str">
        <f t="shared" si="16"/>
        <v/>
      </c>
      <c r="AM24" s="46" t="str">
        <f t="shared" si="17"/>
        <v/>
      </c>
      <c r="AN24" s="46" t="str">
        <f>IF(F24="","",IF(B24="no",'Emission Factors'!$L$43,'Emission Factors'!$L$44))</f>
        <v/>
      </c>
      <c r="AO24" s="46" t="str">
        <f t="shared" si="18"/>
        <v/>
      </c>
      <c r="AP24" s="46" t="str">
        <f t="shared" si="19"/>
        <v/>
      </c>
      <c r="AQ24" s="46" t="str">
        <f t="shared" si="20"/>
        <v/>
      </c>
      <c r="AR24" s="46" t="str">
        <f>IF(F24="","",IF(B24="no",'Emission Factors'!$N$43,'Emission Factors'!$N$44))</f>
        <v/>
      </c>
      <c r="AS24" s="46" t="str">
        <f t="shared" si="21"/>
        <v/>
      </c>
      <c r="AT24" s="46" t="str">
        <f t="shared" si="22"/>
        <v/>
      </c>
      <c r="AU24" s="46" t="str">
        <f t="shared" si="23"/>
        <v/>
      </c>
      <c r="AV24" s="46" t="str">
        <f>IF(F24="","",IF(B24="no",'Emission Factors'!$P$43,'Emission Factors'!$P$44))</f>
        <v/>
      </c>
      <c r="AW24" s="46" t="str">
        <f t="shared" si="24"/>
        <v/>
      </c>
      <c r="AX24" s="46" t="str">
        <f t="shared" si="25"/>
        <v/>
      </c>
      <c r="AY24" s="46" t="str">
        <f t="shared" si="26"/>
        <v/>
      </c>
      <c r="AZ24" s="46" t="str">
        <f>IF(F24="","",IF(B24="no",'Emission Factors'!$R$43,'Emission Factors'!$R$44))</f>
        <v/>
      </c>
      <c r="BA24" s="46" t="str">
        <f t="shared" si="27"/>
        <v/>
      </c>
      <c r="BB24" s="46" t="str">
        <f t="shared" si="28"/>
        <v/>
      </c>
      <c r="BC24" s="46" t="str">
        <f t="shared" si="29"/>
        <v/>
      </c>
    </row>
    <row r="25" spans="1:55" ht="14.25" customHeight="1" x14ac:dyDescent="0.25">
      <c r="B25" s="6" t="str">
        <f>IF(F25="Diesel Generator&gt; 600 bhp","yes","no")</f>
        <v>no</v>
      </c>
      <c r="C25" s="42"/>
      <c r="D25" s="42"/>
      <c r="E25" s="42"/>
      <c r="F25" s="43"/>
      <c r="G25" s="42"/>
      <c r="H25" s="44"/>
      <c r="I25" s="44"/>
      <c r="J25" s="112"/>
      <c r="K25" s="44">
        <f t="shared" si="5"/>
        <v>1</v>
      </c>
      <c r="L25" s="44"/>
      <c r="M25" s="44"/>
      <c r="N25" s="44"/>
      <c r="O25" s="44"/>
      <c r="P25" s="44"/>
      <c r="Q25" s="44"/>
      <c r="R25" s="47" t="str">
        <f>IF(Q25="","",Q25*0.14)</f>
        <v/>
      </c>
      <c r="S25" s="44"/>
      <c r="T25" s="46" t="str">
        <f>IF(S25="","",S25*0.14)</f>
        <v/>
      </c>
      <c r="U25" s="128"/>
      <c r="V25" s="128">
        <f t="shared" si="3"/>
        <v>0</v>
      </c>
      <c r="W25" s="128" t="str">
        <f t="shared" si="4"/>
        <v/>
      </c>
      <c r="X25" s="46" t="str">
        <f>IF(F25="","",IF(B25="no",'Emission Factors'!$D$43,'Emission Factors'!$D$44))</f>
        <v/>
      </c>
      <c r="Y25" s="46" t="str">
        <f t="shared" si="6"/>
        <v/>
      </c>
      <c r="Z25" s="46" t="str">
        <f t="shared" si="7"/>
        <v/>
      </c>
      <c r="AA25" s="46" t="str">
        <f t="shared" si="8"/>
        <v/>
      </c>
      <c r="AB25" s="46" t="str">
        <f>IF(F25="","",IF(B25="no",'Emission Factors'!$F$43,'Emission Factors'!$F$44))</f>
        <v/>
      </c>
      <c r="AC25" s="46" t="str">
        <f t="shared" si="9"/>
        <v/>
      </c>
      <c r="AD25" s="46" t="str">
        <f t="shared" si="10"/>
        <v/>
      </c>
      <c r="AE25" s="46" t="str">
        <f t="shared" si="11"/>
        <v/>
      </c>
      <c r="AF25" s="46" t="str">
        <f>IF(F25="","",IF(B25="no",'Emission Factors'!$H$43,'Emission Factors'!$H$44))</f>
        <v/>
      </c>
      <c r="AG25" s="46" t="str">
        <f t="shared" si="12"/>
        <v/>
      </c>
      <c r="AH25" s="46" t="str">
        <f t="shared" si="13"/>
        <v/>
      </c>
      <c r="AI25" s="46" t="str">
        <f t="shared" si="14"/>
        <v/>
      </c>
      <c r="AJ25" s="46" t="str">
        <f>IF(F25="","",IF(B25="no",'Emission Factors'!$J$43,'Emission Factors'!$J$44))</f>
        <v/>
      </c>
      <c r="AK25" s="46" t="str">
        <f t="shared" si="15"/>
        <v/>
      </c>
      <c r="AL25" s="46" t="str">
        <f t="shared" si="16"/>
        <v/>
      </c>
      <c r="AM25" s="46" t="str">
        <f t="shared" si="17"/>
        <v/>
      </c>
      <c r="AN25" s="46" t="str">
        <f>IF(F25="","",IF(B25="no",'Emission Factors'!$L$43,'Emission Factors'!$L$44))</f>
        <v/>
      </c>
      <c r="AO25" s="46" t="str">
        <f t="shared" si="18"/>
        <v/>
      </c>
      <c r="AP25" s="46" t="str">
        <f t="shared" si="19"/>
        <v/>
      </c>
      <c r="AQ25" s="46" t="str">
        <f t="shared" si="20"/>
        <v/>
      </c>
      <c r="AR25" s="46" t="str">
        <f>IF(F25="","",IF(B25="no",'Emission Factors'!$N$43,'Emission Factors'!$N$44))</f>
        <v/>
      </c>
      <c r="AS25" s="46" t="str">
        <f t="shared" si="21"/>
        <v/>
      </c>
      <c r="AT25" s="46" t="str">
        <f t="shared" si="22"/>
        <v/>
      </c>
      <c r="AU25" s="46" t="str">
        <f t="shared" si="23"/>
        <v/>
      </c>
      <c r="AV25" s="46" t="str">
        <f>IF(F25="","",IF(B25="no",'Emission Factors'!$P$43,'Emission Factors'!$P$44))</f>
        <v/>
      </c>
      <c r="AW25" s="46" t="str">
        <f t="shared" si="24"/>
        <v/>
      </c>
      <c r="AX25" s="46" t="str">
        <f t="shared" si="25"/>
        <v/>
      </c>
      <c r="AY25" s="46" t="str">
        <f t="shared" si="26"/>
        <v/>
      </c>
      <c r="AZ25" s="46" t="str">
        <f>IF(F25="","",IF(B25="no",'Emission Factors'!$R$43,'Emission Factors'!$R$44))</f>
        <v/>
      </c>
      <c r="BA25" s="46" t="str">
        <f t="shared" si="27"/>
        <v/>
      </c>
      <c r="BB25" s="46" t="str">
        <f t="shared" si="28"/>
        <v/>
      </c>
      <c r="BC25" s="46" t="str">
        <f t="shared" si="29"/>
        <v/>
      </c>
    </row>
    <row r="26" spans="1:55" ht="14.25" customHeight="1" x14ac:dyDescent="0.25">
      <c r="B26" s="6" t="str">
        <f>IF(F26="Diesel Generator&gt; 600 bhp","yes","no")</f>
        <v>no</v>
      </c>
      <c r="C26" s="42"/>
      <c r="D26" s="42"/>
      <c r="E26" s="42"/>
      <c r="F26" s="43"/>
      <c r="G26" s="42"/>
      <c r="H26" s="44"/>
      <c r="I26" s="44"/>
      <c r="J26" s="112"/>
      <c r="K26" s="44">
        <f t="shared" si="5"/>
        <v>1</v>
      </c>
      <c r="L26" s="44"/>
      <c r="M26" s="44"/>
      <c r="N26" s="44"/>
      <c r="O26" s="44"/>
      <c r="P26" s="44"/>
      <c r="Q26" s="44"/>
      <c r="R26" s="47" t="str">
        <f>IF(Q26="","",Q26*0.14)</f>
        <v/>
      </c>
      <c r="S26" s="44"/>
      <c r="T26" s="46" t="str">
        <f>IF(S26="","",S26*0.14)</f>
        <v/>
      </c>
      <c r="U26" s="128"/>
      <c r="V26" s="128">
        <f t="shared" si="3"/>
        <v>0</v>
      </c>
      <c r="W26" s="128" t="str">
        <f t="shared" si="4"/>
        <v/>
      </c>
      <c r="X26" s="46" t="str">
        <f>IF(F26="","",IF(B26="no",'Emission Factors'!$D$43,'Emission Factors'!$D$44))</f>
        <v/>
      </c>
      <c r="Y26" s="46" t="str">
        <f t="shared" si="6"/>
        <v/>
      </c>
      <c r="Z26" s="46" t="str">
        <f t="shared" si="7"/>
        <v/>
      </c>
      <c r="AA26" s="46" t="str">
        <f t="shared" si="8"/>
        <v/>
      </c>
      <c r="AB26" s="46" t="str">
        <f>IF(F26="","",IF(B26="no",'Emission Factors'!$F$43,'Emission Factors'!$F$44))</f>
        <v/>
      </c>
      <c r="AC26" s="46" t="str">
        <f t="shared" si="9"/>
        <v/>
      </c>
      <c r="AD26" s="46" t="str">
        <f t="shared" si="10"/>
        <v/>
      </c>
      <c r="AE26" s="46" t="str">
        <f t="shared" si="11"/>
        <v/>
      </c>
      <c r="AF26" s="46" t="str">
        <f>IF(F26="","",IF(B26="no",'Emission Factors'!$H$43,'Emission Factors'!$H$44))</f>
        <v/>
      </c>
      <c r="AG26" s="46" t="str">
        <f t="shared" si="12"/>
        <v/>
      </c>
      <c r="AH26" s="46" t="str">
        <f t="shared" si="13"/>
        <v/>
      </c>
      <c r="AI26" s="46" t="str">
        <f t="shared" si="14"/>
        <v/>
      </c>
      <c r="AJ26" s="46" t="str">
        <f>IF(F26="","",IF(B26="no",'Emission Factors'!$J$43,'Emission Factors'!$J$44))</f>
        <v/>
      </c>
      <c r="AK26" s="46" t="str">
        <f t="shared" si="15"/>
        <v/>
      </c>
      <c r="AL26" s="46" t="str">
        <f t="shared" si="16"/>
        <v/>
      </c>
      <c r="AM26" s="46" t="str">
        <f t="shared" si="17"/>
        <v/>
      </c>
      <c r="AN26" s="46" t="str">
        <f>IF(F26="","",IF(B26="no",'Emission Factors'!$L$43,'Emission Factors'!$L$44))</f>
        <v/>
      </c>
      <c r="AO26" s="46" t="str">
        <f t="shared" si="18"/>
        <v/>
      </c>
      <c r="AP26" s="46" t="str">
        <f t="shared" si="19"/>
        <v/>
      </c>
      <c r="AQ26" s="46" t="str">
        <f t="shared" si="20"/>
        <v/>
      </c>
      <c r="AR26" s="46" t="str">
        <f>IF(F26="","",IF(B26="no",'Emission Factors'!$N$43,'Emission Factors'!$N$44))</f>
        <v/>
      </c>
      <c r="AS26" s="46" t="str">
        <f t="shared" si="21"/>
        <v/>
      </c>
      <c r="AT26" s="46" t="str">
        <f t="shared" si="22"/>
        <v/>
      </c>
      <c r="AU26" s="46" t="str">
        <f t="shared" si="23"/>
        <v/>
      </c>
      <c r="AV26" s="46" t="str">
        <f>IF(F26="","",IF(B26="no",'Emission Factors'!$P$43,'Emission Factors'!$P$44))</f>
        <v/>
      </c>
      <c r="AW26" s="46" t="str">
        <f t="shared" si="24"/>
        <v/>
      </c>
      <c r="AX26" s="46" t="str">
        <f t="shared" si="25"/>
        <v/>
      </c>
      <c r="AY26" s="46" t="str">
        <f t="shared" si="26"/>
        <v/>
      </c>
      <c r="AZ26" s="46" t="str">
        <f>IF(F26="","",IF(B26="no",'Emission Factors'!$R$43,'Emission Factors'!$R$44))</f>
        <v/>
      </c>
      <c r="BA26" s="46" t="str">
        <f t="shared" si="27"/>
        <v/>
      </c>
      <c r="BB26" s="46" t="str">
        <f t="shared" si="28"/>
        <v/>
      </c>
      <c r="BC26" s="46" t="str">
        <f t="shared" si="29"/>
        <v/>
      </c>
    </row>
    <row r="27" spans="1:55" ht="14.25" customHeight="1" x14ac:dyDescent="0.25">
      <c r="B27" s="6" t="str">
        <f>IF(F27="Diesel Generator&gt; 600 bhp","yes","no")</f>
        <v>no</v>
      </c>
      <c r="C27" s="42"/>
      <c r="D27" s="42"/>
      <c r="E27" s="42"/>
      <c r="F27" s="43"/>
      <c r="G27" s="42"/>
      <c r="H27" s="44"/>
      <c r="I27" s="44"/>
      <c r="J27" s="112"/>
      <c r="K27" s="44">
        <f t="shared" si="5"/>
        <v>1</v>
      </c>
      <c r="L27" s="44"/>
      <c r="M27" s="44"/>
      <c r="N27" s="44"/>
      <c r="O27" s="44"/>
      <c r="P27" s="44"/>
      <c r="Q27" s="44"/>
      <c r="R27" s="47" t="str">
        <f>IF(Q27="","",Q27*0.14)</f>
        <v/>
      </c>
      <c r="S27" s="44"/>
      <c r="T27" s="46" t="str">
        <f>IF(S27="","",S27*0.14)</f>
        <v/>
      </c>
      <c r="U27" s="128"/>
      <c r="V27" s="128">
        <f t="shared" si="3"/>
        <v>0</v>
      </c>
      <c r="W27" s="128" t="str">
        <f t="shared" si="4"/>
        <v/>
      </c>
      <c r="X27" s="46" t="str">
        <f>IF(F27="","",IF(B27="no",'Emission Factors'!$D$43,'Emission Factors'!$D$44))</f>
        <v/>
      </c>
      <c r="Y27" s="46" t="str">
        <f t="shared" si="6"/>
        <v/>
      </c>
      <c r="Z27" s="46" t="str">
        <f t="shared" si="7"/>
        <v/>
      </c>
      <c r="AA27" s="46" t="str">
        <f t="shared" si="8"/>
        <v/>
      </c>
      <c r="AB27" s="46" t="str">
        <f>IF(F27="","",IF(B27="no",'Emission Factors'!$F$43,'Emission Factors'!$F$44))</f>
        <v/>
      </c>
      <c r="AC27" s="46" t="str">
        <f t="shared" si="9"/>
        <v/>
      </c>
      <c r="AD27" s="46" t="str">
        <f t="shared" si="10"/>
        <v/>
      </c>
      <c r="AE27" s="46" t="str">
        <f t="shared" si="11"/>
        <v/>
      </c>
      <c r="AF27" s="46" t="str">
        <f>IF(F27="","",IF(B27="no",'Emission Factors'!$H$43,'Emission Factors'!$H$44))</f>
        <v/>
      </c>
      <c r="AG27" s="46" t="str">
        <f t="shared" si="12"/>
        <v/>
      </c>
      <c r="AH27" s="46" t="str">
        <f t="shared" si="13"/>
        <v/>
      </c>
      <c r="AI27" s="46" t="str">
        <f t="shared" si="14"/>
        <v/>
      </c>
      <c r="AJ27" s="46" t="str">
        <f>IF(F27="","",IF(B27="no",'Emission Factors'!$J$43,'Emission Factors'!$J$44))</f>
        <v/>
      </c>
      <c r="AK27" s="46" t="str">
        <f t="shared" si="15"/>
        <v/>
      </c>
      <c r="AL27" s="46" t="str">
        <f t="shared" si="16"/>
        <v/>
      </c>
      <c r="AM27" s="46" t="str">
        <f t="shared" si="17"/>
        <v/>
      </c>
      <c r="AN27" s="46" t="str">
        <f>IF(F27="","",IF(B27="no",'Emission Factors'!$L$43,'Emission Factors'!$L$44))</f>
        <v/>
      </c>
      <c r="AO27" s="46" t="str">
        <f t="shared" si="18"/>
        <v/>
      </c>
      <c r="AP27" s="46" t="str">
        <f t="shared" si="19"/>
        <v/>
      </c>
      <c r="AQ27" s="46" t="str">
        <f t="shared" si="20"/>
        <v/>
      </c>
      <c r="AR27" s="46" t="str">
        <f>IF(F27="","",IF(B27="no",'Emission Factors'!$N$43,'Emission Factors'!$N$44))</f>
        <v/>
      </c>
      <c r="AS27" s="46" t="str">
        <f t="shared" si="21"/>
        <v/>
      </c>
      <c r="AT27" s="46" t="str">
        <f t="shared" si="22"/>
        <v/>
      </c>
      <c r="AU27" s="46" t="str">
        <f t="shared" si="23"/>
        <v/>
      </c>
      <c r="AV27" s="46" t="str">
        <f>IF(F27="","",IF(B27="no",'Emission Factors'!$P$43,'Emission Factors'!$P$44))</f>
        <v/>
      </c>
      <c r="AW27" s="46" t="str">
        <f t="shared" si="24"/>
        <v/>
      </c>
      <c r="AX27" s="46" t="str">
        <f t="shared" si="25"/>
        <v/>
      </c>
      <c r="AY27" s="46" t="str">
        <f t="shared" si="26"/>
        <v/>
      </c>
      <c r="AZ27" s="46" t="str">
        <f>IF(F27="","",IF(B27="no",'Emission Factors'!$R$43,'Emission Factors'!$R$44))</f>
        <v/>
      </c>
      <c r="BA27" s="46" t="str">
        <f t="shared" si="27"/>
        <v/>
      </c>
      <c r="BB27" s="46" t="str">
        <f t="shared" si="28"/>
        <v/>
      </c>
      <c r="BC27" s="46" t="str">
        <f t="shared" si="29"/>
        <v/>
      </c>
    </row>
    <row r="28" spans="1:55" ht="14.25" customHeight="1" x14ac:dyDescent="0.25">
      <c r="B28" s="6" t="str">
        <f>IF(F28="Diesel Generator&gt; 600 bhp","yes","no")</f>
        <v>no</v>
      </c>
      <c r="C28" s="42"/>
      <c r="D28" s="42"/>
      <c r="E28" s="42"/>
      <c r="F28" s="43"/>
      <c r="G28" s="42"/>
      <c r="H28" s="44"/>
      <c r="I28" s="44"/>
      <c r="J28" s="112"/>
      <c r="K28" s="44">
        <f t="shared" si="5"/>
        <v>1</v>
      </c>
      <c r="L28" s="44"/>
      <c r="M28" s="44"/>
      <c r="N28" s="44"/>
      <c r="O28" s="44"/>
      <c r="P28" s="44"/>
      <c r="Q28" s="44"/>
      <c r="R28" s="47" t="str">
        <f>IF(Q28="","",Q28*0.14)</f>
        <v/>
      </c>
      <c r="S28" s="44"/>
      <c r="T28" s="46" t="str">
        <f>IF(S28="","",S28*0.14)</f>
        <v/>
      </c>
      <c r="U28" s="128"/>
      <c r="V28" s="128">
        <f t="shared" si="3"/>
        <v>0</v>
      </c>
      <c r="W28" s="128" t="str">
        <f t="shared" si="4"/>
        <v/>
      </c>
      <c r="X28" s="46" t="str">
        <f>IF(F28="","",IF(B28="no",'Emission Factors'!$D$43,'Emission Factors'!$D$44))</f>
        <v/>
      </c>
      <c r="Y28" s="46" t="str">
        <f t="shared" si="6"/>
        <v/>
      </c>
      <c r="Z28" s="46" t="str">
        <f t="shared" si="7"/>
        <v/>
      </c>
      <c r="AA28" s="46" t="str">
        <f t="shared" si="8"/>
        <v/>
      </c>
      <c r="AB28" s="46" t="str">
        <f>IF(F28="","",IF(B28="no",'Emission Factors'!$F$43,'Emission Factors'!$F$44))</f>
        <v/>
      </c>
      <c r="AC28" s="46" t="str">
        <f t="shared" si="9"/>
        <v/>
      </c>
      <c r="AD28" s="46" t="str">
        <f t="shared" si="10"/>
        <v/>
      </c>
      <c r="AE28" s="46" t="str">
        <f t="shared" si="11"/>
        <v/>
      </c>
      <c r="AF28" s="46" t="str">
        <f>IF(F28="","",IF(B28="no",'Emission Factors'!$H$43,'Emission Factors'!$H$44))</f>
        <v/>
      </c>
      <c r="AG28" s="46" t="str">
        <f t="shared" si="12"/>
        <v/>
      </c>
      <c r="AH28" s="46" t="str">
        <f t="shared" si="13"/>
        <v/>
      </c>
      <c r="AI28" s="46" t="str">
        <f t="shared" si="14"/>
        <v/>
      </c>
      <c r="AJ28" s="46" t="str">
        <f>IF(F28="","",IF(B28="no",'Emission Factors'!$J$43,'Emission Factors'!$J$44))</f>
        <v/>
      </c>
      <c r="AK28" s="46" t="str">
        <f t="shared" si="15"/>
        <v/>
      </c>
      <c r="AL28" s="46" t="str">
        <f t="shared" si="16"/>
        <v/>
      </c>
      <c r="AM28" s="46" t="str">
        <f t="shared" si="17"/>
        <v/>
      </c>
      <c r="AN28" s="46" t="str">
        <f>IF(F28="","",IF(B28="no",'Emission Factors'!$L$43,'Emission Factors'!$L$44))</f>
        <v/>
      </c>
      <c r="AO28" s="46" t="str">
        <f t="shared" si="18"/>
        <v/>
      </c>
      <c r="AP28" s="46" t="str">
        <f t="shared" si="19"/>
        <v/>
      </c>
      <c r="AQ28" s="46" t="str">
        <f t="shared" si="20"/>
        <v/>
      </c>
      <c r="AR28" s="46" t="str">
        <f>IF(F28="","",IF(B28="no",'Emission Factors'!$N$43,'Emission Factors'!$N$44))</f>
        <v/>
      </c>
      <c r="AS28" s="46" t="str">
        <f t="shared" si="21"/>
        <v/>
      </c>
      <c r="AT28" s="46" t="str">
        <f t="shared" si="22"/>
        <v/>
      </c>
      <c r="AU28" s="46"/>
      <c r="AV28" s="46" t="str">
        <f>IF(F28="","",IF(B28="no",'Emission Factors'!$P$43,'Emission Factors'!$P$44))</f>
        <v/>
      </c>
      <c r="AW28" s="46" t="str">
        <f t="shared" si="24"/>
        <v/>
      </c>
      <c r="AX28" s="46" t="str">
        <f t="shared" si="25"/>
        <v/>
      </c>
      <c r="AY28" s="46" t="str">
        <f t="shared" si="26"/>
        <v/>
      </c>
      <c r="AZ28" s="46" t="str">
        <f>IF(F28="","",IF(B28="no",'Emission Factors'!$R$43,'Emission Factors'!$R$44))</f>
        <v/>
      </c>
      <c r="BA28" s="46" t="str">
        <f t="shared" si="27"/>
        <v/>
      </c>
      <c r="BB28" s="46" t="str">
        <f t="shared" si="28"/>
        <v/>
      </c>
      <c r="BC28" s="46" t="str">
        <f t="shared" si="29"/>
        <v/>
      </c>
    </row>
    <row r="29" spans="1:55" ht="13.5" customHeight="1" x14ac:dyDescent="0.25">
      <c r="B29" s="6" t="str">
        <f t="shared" ref="B29:B44" si="33">IF(F29="Diesel Generator&gt; 600 bhp","yes","no")</f>
        <v>no</v>
      </c>
      <c r="C29" s="42"/>
      <c r="D29" s="42"/>
      <c r="E29" s="42"/>
      <c r="F29" s="43"/>
      <c r="G29" s="42"/>
      <c r="H29" s="44"/>
      <c r="I29" s="44"/>
      <c r="J29" s="112"/>
      <c r="K29" s="44">
        <f t="shared" si="5"/>
        <v>1</v>
      </c>
      <c r="L29" s="44"/>
      <c r="M29" s="44"/>
      <c r="N29" s="44"/>
      <c r="O29" s="44"/>
      <c r="P29" s="44"/>
      <c r="Q29" s="44"/>
      <c r="R29" s="47" t="str">
        <f t="shared" ref="R29:R44" si="34">IF(Q29="","",Q29*0.14)</f>
        <v/>
      </c>
      <c r="S29" s="44"/>
      <c r="T29" s="46" t="str">
        <f t="shared" ref="T29:T44" si="35">IF(S29="","",S29*0.14)</f>
        <v/>
      </c>
      <c r="U29" s="128"/>
      <c r="V29" s="128">
        <f t="shared" ref="V29:V49" si="36">IF(B29="no",H29*Q29*0.14,"")</f>
        <v>0</v>
      </c>
      <c r="W29" s="128" t="str">
        <f t="shared" ref="W29:W49" si="37">IF(B29="yes",H29*Q29*0.14,"")</f>
        <v/>
      </c>
      <c r="X29" s="46" t="str">
        <f>IF(F29="","",IF(B29="no",'Emission Factors'!$D$43,'Emission Factors'!$D$44))</f>
        <v/>
      </c>
      <c r="Y29" s="46" t="str">
        <f>IF(F29="","",X29*R29)</f>
        <v/>
      </c>
      <c r="Z29" s="46" t="str">
        <f>IF(F29="","",IF(I29&gt;0,I29*0.14*X29/2000,IF(H29&gt;0,X29*R29*H29/2000,Y29*8760/2000)))</f>
        <v/>
      </c>
      <c r="AA29" s="46" t="str">
        <f>IF(F29="","",T29*X29/2000)</f>
        <v/>
      </c>
      <c r="AB29" s="46" t="str">
        <f>IF(F29="","",IF(B29="no",'Emission Factors'!$F$43,'Emission Factors'!$F$44))</f>
        <v/>
      </c>
      <c r="AC29" s="46" t="str">
        <f>IF(F29="","",AB29*R29)</f>
        <v/>
      </c>
      <c r="AD29" s="46" t="str">
        <f>IF(F29="","",IF(I29&gt;0,I29*0.14*AB29/2000,IF(H29&gt;0,AB29*R29*H29/2000,AC29*8760/2000)))</f>
        <v/>
      </c>
      <c r="AE29" s="46" t="str">
        <f>IF(F29="","",T29*AB29/2000)</f>
        <v/>
      </c>
      <c r="AF29" s="46" t="str">
        <f>IF(F29="","",IF(B29="no",'Emission Factors'!$H$43,'Emission Factors'!$H$44))</f>
        <v/>
      </c>
      <c r="AG29" s="46" t="str">
        <f t="shared" si="12"/>
        <v/>
      </c>
      <c r="AH29" s="46" t="str">
        <f>IF(F29="","",IF(I29&gt;0,I29*0.14*AF29*K29/2000,IF(H29&gt;0,AF29*K29*R29*H29/2000,AG29*8760/2000)))</f>
        <v/>
      </c>
      <c r="AI29" s="46" t="str">
        <f t="shared" si="14"/>
        <v/>
      </c>
      <c r="AJ29" s="46" t="str">
        <f>IF(F29="","",IF(B29="no",'Emission Factors'!$J$43,'Emission Factors'!$J$44))</f>
        <v/>
      </c>
      <c r="AK29" s="46" t="str">
        <f t="shared" si="15"/>
        <v/>
      </c>
      <c r="AL29" s="46" t="str">
        <f>IF(F29="","",IF(I29&gt;0,I29*0.14*AJ29/2000,IF(H29&gt;0,AJ29*R29*H29/2000,AK29*8760/2000)))</f>
        <v/>
      </c>
      <c r="AM29" s="46" t="str">
        <f>IF(F29="","",T29*AJ29/2000)</f>
        <v/>
      </c>
      <c r="AN29" s="46" t="str">
        <f>IF(F29="","",IF(B29="no",'Emission Factors'!$L$43,'Emission Factors'!$L$44))</f>
        <v/>
      </c>
      <c r="AO29" s="46" t="str">
        <f t="shared" si="18"/>
        <v/>
      </c>
      <c r="AP29" s="46" t="str">
        <f>IF(F29="","",IF(I29&gt;0,I29*0.14*AN29/2000,IF(H29&gt;0,AN29*R29*H29/2000,AO29*8760/2000)))</f>
        <v/>
      </c>
      <c r="AQ29" s="46" t="str">
        <f>IF(F29="","",T29*AN29/2000)</f>
        <v/>
      </c>
      <c r="AR29" s="46" t="str">
        <f>IF(F29="","",IF(B29="no",'Emission Factors'!$N$43,'Emission Factors'!$N$44))</f>
        <v/>
      </c>
      <c r="AS29" s="46" t="str">
        <f t="shared" si="21"/>
        <v/>
      </c>
      <c r="AT29" s="46" t="str">
        <f>IF(F29="","",IF(I29&gt;0,I29*0.14*AR29/2000,IF(H29&gt;0,AR29*R29*H29/2000,AS29*8760/2000)))</f>
        <v/>
      </c>
      <c r="AU29" s="46" t="str">
        <f>IF(F29="","",T29*AR29/2000)</f>
        <v/>
      </c>
      <c r="AV29" s="46" t="str">
        <f>IF(F29="","",IF(B29="no",'Emission Factors'!$P$43,'Emission Factors'!$P$44))</f>
        <v/>
      </c>
      <c r="AW29" s="46" t="str">
        <f>IF(F29="","",AV29*R29)</f>
        <v/>
      </c>
      <c r="AX29" s="46" t="str">
        <f>IF(F29="","",IF(I29&gt;0,I29*0.14*AV29/2000,IF(H29&gt;0,AV29*R29*H29/2000,AW29*8760/2000)))</f>
        <v/>
      </c>
      <c r="AY29" s="46" t="str">
        <f>IF(F29="","",T29*AV29/2000)</f>
        <v/>
      </c>
      <c r="AZ29" s="46" t="str">
        <f>IF(F29="","",IF(B29="no",'Emission Factors'!$R$43,'Emission Factors'!$R$44))</f>
        <v/>
      </c>
      <c r="BA29" s="46" t="str">
        <f>IF(F29="","",AZ29*R29)</f>
        <v/>
      </c>
      <c r="BB29" s="46" t="str">
        <f>IF(F29="","",IF(I29&gt;0,I29*0.14*AZ29/2000,IF(H29&gt;0,AZ29*R29*H29/2000,BA29*8760/2000)))</f>
        <v/>
      </c>
      <c r="BC29" s="46" t="str">
        <f>IF(F29="","",T29*AZ29/2000)</f>
        <v/>
      </c>
    </row>
    <row r="30" spans="1:55" ht="13.5" customHeight="1" x14ac:dyDescent="0.25">
      <c r="B30" s="6" t="str">
        <f t="shared" si="33"/>
        <v>no</v>
      </c>
      <c r="C30" s="42"/>
      <c r="D30" s="42"/>
      <c r="E30" s="42"/>
      <c r="F30" s="43"/>
      <c r="G30" s="42"/>
      <c r="H30" s="44"/>
      <c r="I30" s="44"/>
      <c r="J30" s="112"/>
      <c r="K30" s="44">
        <f t="shared" si="5"/>
        <v>1</v>
      </c>
      <c r="L30" s="44"/>
      <c r="M30" s="44"/>
      <c r="N30" s="44"/>
      <c r="O30" s="44"/>
      <c r="P30" s="44"/>
      <c r="Q30" s="44"/>
      <c r="R30" s="47" t="str">
        <f t="shared" si="34"/>
        <v/>
      </c>
      <c r="S30" s="44"/>
      <c r="T30" s="46" t="str">
        <f t="shared" si="35"/>
        <v/>
      </c>
      <c r="U30" s="128"/>
      <c r="V30" s="128">
        <f t="shared" si="36"/>
        <v>0</v>
      </c>
      <c r="W30" s="128" t="str">
        <f t="shared" si="37"/>
        <v/>
      </c>
      <c r="X30" s="46" t="str">
        <f>IF(F30="","",IF(B30="no",'Emission Factors'!$D$43,'Emission Factors'!$D$44))</f>
        <v/>
      </c>
      <c r="Y30" s="46" t="str">
        <f t="shared" ref="Y30:Y49" si="38">IF(F30="","",X30*R30)</f>
        <v/>
      </c>
      <c r="Z30" s="46" t="str">
        <f t="shared" ref="Z30:Z49" si="39">IF(F30="","",IF(I30&gt;0,I30*0.14*X30/2000,IF(H30&gt;0,X30*R30*H30/2000,Y30*8760/2000)))</f>
        <v/>
      </c>
      <c r="AA30" s="46" t="str">
        <f t="shared" ref="AA30:AA49" si="40">IF(F30="","",T30*X30/2000)</f>
        <v/>
      </c>
      <c r="AB30" s="46" t="str">
        <f>IF(F30="","",IF(B30="no",'Emission Factors'!$F$43,'Emission Factors'!$F$44))</f>
        <v/>
      </c>
      <c r="AC30" s="46" t="str">
        <f t="shared" ref="AC30:AC49" si="41">IF(F30="","",AB30*R30)</f>
        <v/>
      </c>
      <c r="AD30" s="46" t="str">
        <f t="shared" ref="AD30:AD49" si="42">IF(F30="","",IF(I30&gt;0,I30*0.14*AB30/2000,IF(H30&gt;0,AB30*R30*H30/2000,AC30*8760/2000)))</f>
        <v/>
      </c>
      <c r="AE30" s="46" t="str">
        <f t="shared" ref="AE30:AE49" si="43">IF(F30="","",T30*AB30/2000)</f>
        <v/>
      </c>
      <c r="AF30" s="46" t="str">
        <f>IF(F30="","",IF(B30="no",'Emission Factors'!$H$43,'Emission Factors'!$H$44))</f>
        <v/>
      </c>
      <c r="AG30" s="46" t="str">
        <f t="shared" si="12"/>
        <v/>
      </c>
      <c r="AH30" s="46" t="str">
        <f t="shared" ref="AH30:AH49" si="44">IF(F30="","",IF(I30&gt;0,I30*0.14*AF30*K30/2000,IF(H30&gt;0,AF30*K30*R30*H30/2000,AG30*8760/2000)))</f>
        <v/>
      </c>
      <c r="AI30" s="46" t="str">
        <f t="shared" si="14"/>
        <v/>
      </c>
      <c r="AJ30" s="46" t="str">
        <f>IF(F30="","",IF(B30="no",'Emission Factors'!$J$43,'Emission Factors'!$J$44))</f>
        <v/>
      </c>
      <c r="AK30" s="46" t="str">
        <f t="shared" si="15"/>
        <v/>
      </c>
      <c r="AL30" s="46" t="str">
        <f t="shared" ref="AL30:AL49" si="45">IF(F30="","",IF(I30&gt;0,I30*0.14*AJ30/2000,IF(H30&gt;0,AJ30*R30*H30/2000,AK30*8760/2000)))</f>
        <v/>
      </c>
      <c r="AM30" s="46" t="str">
        <f t="shared" ref="AM30:AM49" si="46">IF(F30="","",T30*AJ30/2000)</f>
        <v/>
      </c>
      <c r="AN30" s="46" t="str">
        <f>IF(F30="","",IF(B30="no",'Emission Factors'!$L$43,'Emission Factors'!$L$44))</f>
        <v/>
      </c>
      <c r="AO30" s="46" t="str">
        <f t="shared" si="18"/>
        <v/>
      </c>
      <c r="AP30" s="46" t="str">
        <f t="shared" ref="AP30:AP49" si="47">IF(F30="","",IF(I30&gt;0,I30*0.14*AN30/2000,IF(H30&gt;0,AN30*R30*H30/2000,AO30*8760/2000)))</f>
        <v/>
      </c>
      <c r="AQ30" s="46" t="str">
        <f t="shared" ref="AQ30:AQ49" si="48">IF(F30="","",T30*AN30/2000)</f>
        <v/>
      </c>
      <c r="AR30" s="46" t="str">
        <f>IF(F30="","",IF(B30="no",'Emission Factors'!$N$43,'Emission Factors'!$N$44))</f>
        <v/>
      </c>
      <c r="AS30" s="46" t="str">
        <f t="shared" si="21"/>
        <v/>
      </c>
      <c r="AT30" s="46" t="str">
        <f t="shared" ref="AT30:AT49" si="49">IF(F30="","",IF(I30&gt;0,I30*0.14*AR30/2000,IF(H30&gt;0,AR30*R30*H30/2000,AS30*8760/2000)))</f>
        <v/>
      </c>
      <c r="AU30" s="46" t="str">
        <f t="shared" ref="AU30:AU48" si="50">IF(F30="","",T30*AR30/2000)</f>
        <v/>
      </c>
      <c r="AV30" s="46" t="str">
        <f>IF(F30="","",IF(B30="no",'Emission Factors'!$P$43,'Emission Factors'!$P$44))</f>
        <v/>
      </c>
      <c r="AW30" s="46" t="str">
        <f t="shared" ref="AW30:AW49" si="51">IF(F30="","",AV30*R30)</f>
        <v/>
      </c>
      <c r="AX30" s="46" t="str">
        <f t="shared" ref="AX30:AX49" si="52">IF(F30="","",IF(I30&gt;0,I30*0.14*AV30/2000,IF(H30&gt;0,AV30*R30*H30/2000,AW30*8760/2000)))</f>
        <v/>
      </c>
      <c r="AY30" s="46" t="str">
        <f t="shared" ref="AY30:AY49" si="53">IF(F30="","",T30*AV30/2000)</f>
        <v/>
      </c>
      <c r="AZ30" s="46" t="str">
        <f>IF(F30="","",IF(B30="no",'Emission Factors'!$R$43,'Emission Factors'!$R$44))</f>
        <v/>
      </c>
      <c r="BA30" s="46" t="str">
        <f t="shared" ref="BA30:BA49" si="54">IF(F30="","",AZ30*R30)</f>
        <v/>
      </c>
      <c r="BB30" s="46" t="str">
        <f t="shared" ref="BB30:BB49" si="55">IF(F30="","",IF(I30&gt;0,I30*0.14*AZ30/2000,IF(H30&gt;0,AZ30*R30*H30/2000,BA30*8760/2000)))</f>
        <v/>
      </c>
      <c r="BC30" s="46" t="str">
        <f t="shared" ref="BC30:BC49" si="56">IF(F30="","",T30*AZ30/2000)</f>
        <v/>
      </c>
    </row>
    <row r="31" spans="1:55" ht="13.5" customHeight="1" x14ac:dyDescent="0.25">
      <c r="B31" s="6" t="str">
        <f t="shared" si="33"/>
        <v>no</v>
      </c>
      <c r="C31" s="42"/>
      <c r="D31" s="42"/>
      <c r="E31" s="42"/>
      <c r="F31" s="43"/>
      <c r="G31" s="42"/>
      <c r="H31" s="44"/>
      <c r="I31" s="44"/>
      <c r="J31" s="112"/>
      <c r="K31" s="44">
        <f t="shared" si="5"/>
        <v>1</v>
      </c>
      <c r="L31" s="44"/>
      <c r="M31" s="44"/>
      <c r="N31" s="44"/>
      <c r="O31" s="44"/>
      <c r="P31" s="44"/>
      <c r="Q31" s="44"/>
      <c r="R31" s="47" t="str">
        <f t="shared" si="34"/>
        <v/>
      </c>
      <c r="S31" s="44"/>
      <c r="T31" s="46" t="str">
        <f t="shared" si="35"/>
        <v/>
      </c>
      <c r="U31" s="128"/>
      <c r="V31" s="128">
        <f t="shared" si="36"/>
        <v>0</v>
      </c>
      <c r="W31" s="128" t="str">
        <f t="shared" si="37"/>
        <v/>
      </c>
      <c r="X31" s="46" t="str">
        <f>IF(F31="","",IF(B31="no",'Emission Factors'!$D$43,'Emission Factors'!$D$44))</f>
        <v/>
      </c>
      <c r="Y31" s="46" t="str">
        <f t="shared" si="38"/>
        <v/>
      </c>
      <c r="Z31" s="46" t="str">
        <f t="shared" si="39"/>
        <v/>
      </c>
      <c r="AA31" s="46" t="str">
        <f t="shared" si="40"/>
        <v/>
      </c>
      <c r="AB31" s="46" t="str">
        <f>IF(F31="","",IF(B31="no",'Emission Factors'!$F$43,'Emission Factors'!$F$44))</f>
        <v/>
      </c>
      <c r="AC31" s="46" t="str">
        <f t="shared" si="41"/>
        <v/>
      </c>
      <c r="AD31" s="46" t="str">
        <f t="shared" si="42"/>
        <v/>
      </c>
      <c r="AE31" s="46" t="str">
        <f t="shared" si="43"/>
        <v/>
      </c>
      <c r="AF31" s="46" t="str">
        <f>IF(F31="","",IF(B31="no",'Emission Factors'!$H$43,'Emission Factors'!$H$44))</f>
        <v/>
      </c>
      <c r="AG31" s="46" t="str">
        <f t="shared" si="12"/>
        <v/>
      </c>
      <c r="AH31" s="46" t="str">
        <f t="shared" si="44"/>
        <v/>
      </c>
      <c r="AI31" s="46" t="str">
        <f t="shared" si="14"/>
        <v/>
      </c>
      <c r="AJ31" s="46" t="str">
        <f>IF(F31="","",IF(B31="no",'Emission Factors'!$J$43,'Emission Factors'!$J$44))</f>
        <v/>
      </c>
      <c r="AK31" s="46" t="str">
        <f t="shared" si="15"/>
        <v/>
      </c>
      <c r="AL31" s="46" t="str">
        <f t="shared" si="45"/>
        <v/>
      </c>
      <c r="AM31" s="46" t="str">
        <f t="shared" si="46"/>
        <v/>
      </c>
      <c r="AN31" s="46" t="str">
        <f>IF(F31="","",IF(B31="no",'Emission Factors'!$L$43,'Emission Factors'!$L$44))</f>
        <v/>
      </c>
      <c r="AO31" s="46" t="str">
        <f t="shared" si="18"/>
        <v/>
      </c>
      <c r="AP31" s="46" t="str">
        <f t="shared" si="47"/>
        <v/>
      </c>
      <c r="AQ31" s="46" t="str">
        <f t="shared" si="48"/>
        <v/>
      </c>
      <c r="AR31" s="46" t="str">
        <f>IF(F31="","",IF(B31="no",'Emission Factors'!$N$43,'Emission Factors'!$N$44))</f>
        <v/>
      </c>
      <c r="AS31" s="46" t="str">
        <f t="shared" si="21"/>
        <v/>
      </c>
      <c r="AT31" s="46" t="str">
        <f t="shared" si="49"/>
        <v/>
      </c>
      <c r="AU31" s="46" t="str">
        <f t="shared" si="50"/>
        <v/>
      </c>
      <c r="AV31" s="46" t="str">
        <f>IF(F31="","",IF(B31="no",'Emission Factors'!$P$43,'Emission Factors'!$P$44))</f>
        <v/>
      </c>
      <c r="AW31" s="46" t="str">
        <f t="shared" si="51"/>
        <v/>
      </c>
      <c r="AX31" s="46" t="str">
        <f t="shared" si="52"/>
        <v/>
      </c>
      <c r="AY31" s="46" t="str">
        <f t="shared" si="53"/>
        <v/>
      </c>
      <c r="AZ31" s="46" t="str">
        <f>IF(F31="","",IF(B31="no",'Emission Factors'!$R$43,'Emission Factors'!$R$44))</f>
        <v/>
      </c>
      <c r="BA31" s="46" t="str">
        <f t="shared" si="54"/>
        <v/>
      </c>
      <c r="BB31" s="46" t="str">
        <f t="shared" si="55"/>
        <v/>
      </c>
      <c r="BC31" s="46" t="str">
        <f t="shared" si="56"/>
        <v/>
      </c>
    </row>
    <row r="32" spans="1:55" ht="13.5" customHeight="1" x14ac:dyDescent="0.25">
      <c r="B32" s="6" t="str">
        <f t="shared" si="33"/>
        <v>no</v>
      </c>
      <c r="C32" s="42"/>
      <c r="D32" s="42"/>
      <c r="E32" s="42"/>
      <c r="F32" s="43"/>
      <c r="G32" s="42"/>
      <c r="H32" s="44"/>
      <c r="I32" s="44"/>
      <c r="J32" s="112"/>
      <c r="K32" s="44">
        <f t="shared" si="5"/>
        <v>1</v>
      </c>
      <c r="L32" s="44"/>
      <c r="M32" s="44"/>
      <c r="N32" s="44"/>
      <c r="O32" s="44"/>
      <c r="P32" s="44"/>
      <c r="Q32" s="44"/>
      <c r="R32" s="47" t="str">
        <f t="shared" si="34"/>
        <v/>
      </c>
      <c r="S32" s="44"/>
      <c r="T32" s="46" t="str">
        <f t="shared" si="35"/>
        <v/>
      </c>
      <c r="U32" s="128"/>
      <c r="V32" s="128">
        <f t="shared" si="36"/>
        <v>0</v>
      </c>
      <c r="W32" s="128" t="str">
        <f t="shared" si="37"/>
        <v/>
      </c>
      <c r="X32" s="46" t="str">
        <f>IF(F32="","",IF(B32="no",'Emission Factors'!$D$43,'Emission Factors'!$D$44))</f>
        <v/>
      </c>
      <c r="Y32" s="46" t="str">
        <f t="shared" si="38"/>
        <v/>
      </c>
      <c r="Z32" s="46" t="str">
        <f t="shared" si="39"/>
        <v/>
      </c>
      <c r="AA32" s="46" t="str">
        <f t="shared" si="40"/>
        <v/>
      </c>
      <c r="AB32" s="46" t="str">
        <f>IF(F32="","",IF(B32="no",'Emission Factors'!$F$43,'Emission Factors'!$F$44))</f>
        <v/>
      </c>
      <c r="AC32" s="46" t="str">
        <f t="shared" si="41"/>
        <v/>
      </c>
      <c r="AD32" s="46" t="str">
        <f t="shared" si="42"/>
        <v/>
      </c>
      <c r="AE32" s="46" t="str">
        <f t="shared" si="43"/>
        <v/>
      </c>
      <c r="AF32" s="46" t="str">
        <f>IF(F32="","",IF(B32="no",'Emission Factors'!$H$43,'Emission Factors'!$H$44))</f>
        <v/>
      </c>
      <c r="AG32" s="46" t="str">
        <f t="shared" si="12"/>
        <v/>
      </c>
      <c r="AH32" s="46" t="str">
        <f t="shared" si="44"/>
        <v/>
      </c>
      <c r="AI32" s="46" t="str">
        <f t="shared" si="14"/>
        <v/>
      </c>
      <c r="AJ32" s="46" t="str">
        <f>IF(F32="","",IF(B32="no",'Emission Factors'!$J$43,'Emission Factors'!$J$44))</f>
        <v/>
      </c>
      <c r="AK32" s="46" t="str">
        <f t="shared" si="15"/>
        <v/>
      </c>
      <c r="AL32" s="46" t="str">
        <f t="shared" si="45"/>
        <v/>
      </c>
      <c r="AM32" s="46" t="str">
        <f t="shared" si="46"/>
        <v/>
      </c>
      <c r="AN32" s="46" t="str">
        <f>IF(F32="","",IF(B32="no",'Emission Factors'!$L$43,'Emission Factors'!$L$44))</f>
        <v/>
      </c>
      <c r="AO32" s="46" t="str">
        <f t="shared" si="18"/>
        <v/>
      </c>
      <c r="AP32" s="46" t="str">
        <f t="shared" si="47"/>
        <v/>
      </c>
      <c r="AQ32" s="46" t="str">
        <f t="shared" si="48"/>
        <v/>
      </c>
      <c r="AR32" s="46" t="str">
        <f>IF(F32="","",IF(B32="no",'Emission Factors'!$N$43,'Emission Factors'!$N$44))</f>
        <v/>
      </c>
      <c r="AS32" s="46" t="str">
        <f t="shared" si="21"/>
        <v/>
      </c>
      <c r="AT32" s="46" t="str">
        <f t="shared" si="49"/>
        <v/>
      </c>
      <c r="AU32" s="46" t="str">
        <f t="shared" si="50"/>
        <v/>
      </c>
      <c r="AV32" s="46" t="str">
        <f>IF(F32="","",IF(B32="no",'Emission Factors'!$P$43,'Emission Factors'!$P$44))</f>
        <v/>
      </c>
      <c r="AW32" s="46" t="str">
        <f t="shared" si="51"/>
        <v/>
      </c>
      <c r="AX32" s="46" t="str">
        <f t="shared" si="52"/>
        <v/>
      </c>
      <c r="AY32" s="46" t="str">
        <f t="shared" si="53"/>
        <v/>
      </c>
      <c r="AZ32" s="46" t="str">
        <f>IF(F32="","",IF(B32="no",'Emission Factors'!$R$43,'Emission Factors'!$R$44))</f>
        <v/>
      </c>
      <c r="BA32" s="46" t="str">
        <f t="shared" si="54"/>
        <v/>
      </c>
      <c r="BB32" s="46" t="str">
        <f t="shared" si="55"/>
        <v/>
      </c>
      <c r="BC32" s="46" t="str">
        <f t="shared" si="56"/>
        <v/>
      </c>
    </row>
    <row r="33" spans="2:55" ht="13.5" customHeight="1" x14ac:dyDescent="0.25">
      <c r="B33" s="6" t="str">
        <f t="shared" si="33"/>
        <v>no</v>
      </c>
      <c r="C33" s="42"/>
      <c r="D33" s="42"/>
      <c r="E33" s="42"/>
      <c r="F33" s="43"/>
      <c r="G33" s="42"/>
      <c r="H33" s="44"/>
      <c r="I33" s="44"/>
      <c r="J33" s="112"/>
      <c r="K33" s="44">
        <f t="shared" si="5"/>
        <v>1</v>
      </c>
      <c r="L33" s="44"/>
      <c r="M33" s="44"/>
      <c r="N33" s="44"/>
      <c r="O33" s="44"/>
      <c r="P33" s="44"/>
      <c r="Q33" s="44"/>
      <c r="R33" s="47" t="str">
        <f t="shared" si="34"/>
        <v/>
      </c>
      <c r="S33" s="44"/>
      <c r="T33" s="46" t="str">
        <f t="shared" si="35"/>
        <v/>
      </c>
      <c r="U33" s="128"/>
      <c r="V33" s="128">
        <f t="shared" si="36"/>
        <v>0</v>
      </c>
      <c r="W33" s="128" t="str">
        <f t="shared" si="37"/>
        <v/>
      </c>
      <c r="X33" s="46" t="str">
        <f>IF(F33="","",IF(B33="no",'Emission Factors'!$D$43,'Emission Factors'!$D$44))</f>
        <v/>
      </c>
      <c r="Y33" s="46" t="str">
        <f t="shared" si="38"/>
        <v/>
      </c>
      <c r="Z33" s="46" t="str">
        <f t="shared" si="39"/>
        <v/>
      </c>
      <c r="AA33" s="46" t="str">
        <f t="shared" si="40"/>
        <v/>
      </c>
      <c r="AB33" s="46" t="str">
        <f>IF(F33="","",IF(B33="no",'Emission Factors'!$F$43,'Emission Factors'!$F$44))</f>
        <v/>
      </c>
      <c r="AC33" s="46" t="str">
        <f t="shared" si="41"/>
        <v/>
      </c>
      <c r="AD33" s="46" t="str">
        <f t="shared" si="42"/>
        <v/>
      </c>
      <c r="AE33" s="46" t="str">
        <f t="shared" si="43"/>
        <v/>
      </c>
      <c r="AF33" s="46" t="str">
        <f>IF(F33="","",IF(B33="no",'Emission Factors'!$H$43,'Emission Factors'!$H$44))</f>
        <v/>
      </c>
      <c r="AG33" s="46" t="str">
        <f t="shared" si="12"/>
        <v/>
      </c>
      <c r="AH33" s="46" t="str">
        <f t="shared" si="44"/>
        <v/>
      </c>
      <c r="AI33" s="46" t="str">
        <f t="shared" si="14"/>
        <v/>
      </c>
      <c r="AJ33" s="46" t="str">
        <f>IF(F33="","",IF(B33="no",'Emission Factors'!$J$43,'Emission Factors'!$J$44))</f>
        <v/>
      </c>
      <c r="AK33" s="46" t="str">
        <f t="shared" si="15"/>
        <v/>
      </c>
      <c r="AL33" s="46" t="str">
        <f t="shared" si="45"/>
        <v/>
      </c>
      <c r="AM33" s="46" t="str">
        <f t="shared" si="46"/>
        <v/>
      </c>
      <c r="AN33" s="46" t="str">
        <f>IF(F33="","",IF(B33="no",'Emission Factors'!$L$43,'Emission Factors'!$L$44))</f>
        <v/>
      </c>
      <c r="AO33" s="46" t="str">
        <f t="shared" si="18"/>
        <v/>
      </c>
      <c r="AP33" s="46" t="str">
        <f t="shared" si="47"/>
        <v/>
      </c>
      <c r="AQ33" s="46" t="str">
        <f t="shared" si="48"/>
        <v/>
      </c>
      <c r="AR33" s="46" t="str">
        <f>IF(F33="","",IF(B33="no",'Emission Factors'!$N$43,'Emission Factors'!$N$44))</f>
        <v/>
      </c>
      <c r="AS33" s="46" t="str">
        <f t="shared" si="21"/>
        <v/>
      </c>
      <c r="AT33" s="46" t="str">
        <f t="shared" si="49"/>
        <v/>
      </c>
      <c r="AU33" s="46" t="str">
        <f t="shared" si="50"/>
        <v/>
      </c>
      <c r="AV33" s="46" t="str">
        <f>IF(F33="","",IF(B33="no",'Emission Factors'!$P$43,'Emission Factors'!$P$44))</f>
        <v/>
      </c>
      <c r="AW33" s="46" t="str">
        <f t="shared" si="51"/>
        <v/>
      </c>
      <c r="AX33" s="46" t="str">
        <f t="shared" si="52"/>
        <v/>
      </c>
      <c r="AY33" s="46" t="str">
        <f t="shared" si="53"/>
        <v/>
      </c>
      <c r="AZ33" s="46" t="str">
        <f>IF(F33="","",IF(B33="no",'Emission Factors'!$R$43,'Emission Factors'!$R$44))</f>
        <v/>
      </c>
      <c r="BA33" s="46" t="str">
        <f t="shared" si="54"/>
        <v/>
      </c>
      <c r="BB33" s="46" t="str">
        <f t="shared" si="55"/>
        <v/>
      </c>
      <c r="BC33" s="46" t="str">
        <f t="shared" si="56"/>
        <v/>
      </c>
    </row>
    <row r="34" spans="2:55" ht="13.5" customHeight="1" x14ac:dyDescent="0.25">
      <c r="B34" s="6" t="str">
        <f t="shared" si="33"/>
        <v>no</v>
      </c>
      <c r="C34" s="42"/>
      <c r="D34" s="42"/>
      <c r="E34" s="42"/>
      <c r="F34" s="43"/>
      <c r="G34" s="42"/>
      <c r="H34" s="44"/>
      <c r="I34" s="44"/>
      <c r="J34" s="112"/>
      <c r="K34" s="44">
        <f t="shared" si="5"/>
        <v>1</v>
      </c>
      <c r="L34" s="44"/>
      <c r="M34" s="44"/>
      <c r="N34" s="44"/>
      <c r="O34" s="44"/>
      <c r="P34" s="44"/>
      <c r="Q34" s="44"/>
      <c r="R34" s="47" t="str">
        <f t="shared" si="34"/>
        <v/>
      </c>
      <c r="S34" s="44"/>
      <c r="T34" s="46" t="str">
        <f t="shared" si="35"/>
        <v/>
      </c>
      <c r="U34" s="128"/>
      <c r="V34" s="128">
        <f t="shared" si="36"/>
        <v>0</v>
      </c>
      <c r="W34" s="128" t="str">
        <f t="shared" si="37"/>
        <v/>
      </c>
      <c r="X34" s="46" t="str">
        <f>IF(F34="","",IF(B34="no",'Emission Factors'!$D$43,'Emission Factors'!$D$44))</f>
        <v/>
      </c>
      <c r="Y34" s="46" t="str">
        <f t="shared" si="38"/>
        <v/>
      </c>
      <c r="Z34" s="46" t="str">
        <f t="shared" si="39"/>
        <v/>
      </c>
      <c r="AA34" s="46" t="str">
        <f t="shared" si="40"/>
        <v/>
      </c>
      <c r="AB34" s="46" t="str">
        <f>IF(F34="","",IF(B34="no",'Emission Factors'!$F$43,'Emission Factors'!$F$44))</f>
        <v/>
      </c>
      <c r="AC34" s="46" t="str">
        <f t="shared" si="41"/>
        <v/>
      </c>
      <c r="AD34" s="46" t="str">
        <f t="shared" si="42"/>
        <v/>
      </c>
      <c r="AE34" s="46" t="str">
        <f t="shared" si="43"/>
        <v/>
      </c>
      <c r="AF34" s="46" t="str">
        <f>IF(F34="","",IF(B34="no",'Emission Factors'!$H$43,'Emission Factors'!$H$44))</f>
        <v/>
      </c>
      <c r="AG34" s="46" t="str">
        <f t="shared" si="12"/>
        <v/>
      </c>
      <c r="AH34" s="46" t="str">
        <f t="shared" si="44"/>
        <v/>
      </c>
      <c r="AI34" s="46" t="str">
        <f t="shared" si="14"/>
        <v/>
      </c>
      <c r="AJ34" s="46" t="str">
        <f>IF(F34="","",IF(B34="no",'Emission Factors'!$J$43,'Emission Factors'!$J$44))</f>
        <v/>
      </c>
      <c r="AK34" s="46" t="str">
        <f t="shared" si="15"/>
        <v/>
      </c>
      <c r="AL34" s="46" t="str">
        <f t="shared" si="45"/>
        <v/>
      </c>
      <c r="AM34" s="46" t="str">
        <f t="shared" si="46"/>
        <v/>
      </c>
      <c r="AN34" s="46" t="str">
        <f>IF(F34="","",IF(B34="no",'Emission Factors'!$L$43,'Emission Factors'!$L$44))</f>
        <v/>
      </c>
      <c r="AO34" s="46" t="str">
        <f t="shared" si="18"/>
        <v/>
      </c>
      <c r="AP34" s="46" t="str">
        <f t="shared" si="47"/>
        <v/>
      </c>
      <c r="AQ34" s="46" t="str">
        <f t="shared" si="48"/>
        <v/>
      </c>
      <c r="AR34" s="46" t="str">
        <f>IF(F34="","",IF(B34="no",'Emission Factors'!$N$43,'Emission Factors'!$N$44))</f>
        <v/>
      </c>
      <c r="AS34" s="46" t="str">
        <f t="shared" si="21"/>
        <v/>
      </c>
      <c r="AT34" s="46" t="str">
        <f t="shared" si="49"/>
        <v/>
      </c>
      <c r="AU34" s="46" t="str">
        <f t="shared" si="50"/>
        <v/>
      </c>
      <c r="AV34" s="46" t="str">
        <f>IF(F34="","",IF(B34="no",'Emission Factors'!$P$43,'Emission Factors'!$P$44))</f>
        <v/>
      </c>
      <c r="AW34" s="46" t="str">
        <f t="shared" si="51"/>
        <v/>
      </c>
      <c r="AX34" s="46" t="str">
        <f t="shared" si="52"/>
        <v/>
      </c>
      <c r="AY34" s="46" t="str">
        <f t="shared" si="53"/>
        <v/>
      </c>
      <c r="AZ34" s="46" t="str">
        <f>IF(F34="","",IF(B34="no",'Emission Factors'!$R$43,'Emission Factors'!$R$44))</f>
        <v/>
      </c>
      <c r="BA34" s="46" t="str">
        <f t="shared" si="54"/>
        <v/>
      </c>
      <c r="BB34" s="46" t="str">
        <f t="shared" si="55"/>
        <v/>
      </c>
      <c r="BC34" s="46" t="str">
        <f t="shared" si="56"/>
        <v/>
      </c>
    </row>
    <row r="35" spans="2:55" ht="13.5" customHeight="1" x14ac:dyDescent="0.25">
      <c r="B35" s="6" t="str">
        <f t="shared" si="33"/>
        <v>no</v>
      </c>
      <c r="C35" s="42"/>
      <c r="D35" s="42"/>
      <c r="E35" s="42"/>
      <c r="F35" s="43"/>
      <c r="G35" s="42"/>
      <c r="H35" s="44"/>
      <c r="I35" s="44"/>
      <c r="J35" s="112"/>
      <c r="K35" s="44">
        <f t="shared" si="5"/>
        <v>1</v>
      </c>
      <c r="L35" s="44"/>
      <c r="M35" s="44"/>
      <c r="N35" s="44"/>
      <c r="O35" s="44"/>
      <c r="P35" s="44"/>
      <c r="Q35" s="44"/>
      <c r="R35" s="47" t="str">
        <f t="shared" si="34"/>
        <v/>
      </c>
      <c r="S35" s="44"/>
      <c r="T35" s="46" t="str">
        <f t="shared" si="35"/>
        <v/>
      </c>
      <c r="U35" s="128"/>
      <c r="V35" s="128">
        <f t="shared" si="36"/>
        <v>0</v>
      </c>
      <c r="W35" s="128" t="str">
        <f t="shared" si="37"/>
        <v/>
      </c>
      <c r="X35" s="46" t="str">
        <f>IF(F35="","",IF(B35="no",'Emission Factors'!$D$43,'Emission Factors'!$D$44))</f>
        <v/>
      </c>
      <c r="Y35" s="46" t="str">
        <f t="shared" si="38"/>
        <v/>
      </c>
      <c r="Z35" s="46" t="str">
        <f t="shared" si="39"/>
        <v/>
      </c>
      <c r="AA35" s="46" t="str">
        <f t="shared" si="40"/>
        <v/>
      </c>
      <c r="AB35" s="46" t="str">
        <f>IF(F35="","",IF(B35="no",'Emission Factors'!$F$43,'Emission Factors'!$F$44))</f>
        <v/>
      </c>
      <c r="AC35" s="46" t="str">
        <f t="shared" si="41"/>
        <v/>
      </c>
      <c r="AD35" s="46" t="str">
        <f t="shared" si="42"/>
        <v/>
      </c>
      <c r="AE35" s="46" t="str">
        <f t="shared" si="43"/>
        <v/>
      </c>
      <c r="AF35" s="46" t="str">
        <f>IF(F35="","",IF(B35="no",'Emission Factors'!$H$43,'Emission Factors'!$H$44))</f>
        <v/>
      </c>
      <c r="AG35" s="46" t="str">
        <f t="shared" si="12"/>
        <v/>
      </c>
      <c r="AH35" s="46" t="str">
        <f t="shared" si="44"/>
        <v/>
      </c>
      <c r="AI35" s="46" t="str">
        <f t="shared" si="14"/>
        <v/>
      </c>
      <c r="AJ35" s="46" t="str">
        <f>IF(F35="","",IF(B35="no",'Emission Factors'!$J$43,'Emission Factors'!$J$44))</f>
        <v/>
      </c>
      <c r="AK35" s="46" t="str">
        <f t="shared" si="15"/>
        <v/>
      </c>
      <c r="AL35" s="46" t="str">
        <f t="shared" si="45"/>
        <v/>
      </c>
      <c r="AM35" s="46" t="str">
        <f t="shared" si="46"/>
        <v/>
      </c>
      <c r="AN35" s="46" t="str">
        <f>IF(F35="","",IF(B35="no",'Emission Factors'!$L$43,'Emission Factors'!$L$44))</f>
        <v/>
      </c>
      <c r="AO35" s="46" t="str">
        <f t="shared" si="18"/>
        <v/>
      </c>
      <c r="AP35" s="46" t="str">
        <f t="shared" si="47"/>
        <v/>
      </c>
      <c r="AQ35" s="46" t="str">
        <f t="shared" si="48"/>
        <v/>
      </c>
      <c r="AR35" s="46" t="str">
        <f>IF(F35="","",IF(B35="no",'Emission Factors'!$N$43,'Emission Factors'!$N$44))</f>
        <v/>
      </c>
      <c r="AS35" s="46" t="str">
        <f t="shared" si="21"/>
        <v/>
      </c>
      <c r="AT35" s="46" t="str">
        <f t="shared" si="49"/>
        <v/>
      </c>
      <c r="AU35" s="46" t="str">
        <f t="shared" si="50"/>
        <v/>
      </c>
      <c r="AV35" s="46" t="str">
        <f>IF(F35="","",IF(B35="no",'Emission Factors'!$P$43,'Emission Factors'!$P$44))</f>
        <v/>
      </c>
      <c r="AW35" s="46" t="str">
        <f t="shared" si="51"/>
        <v/>
      </c>
      <c r="AX35" s="46" t="str">
        <f t="shared" si="52"/>
        <v/>
      </c>
      <c r="AY35" s="46" t="str">
        <f t="shared" si="53"/>
        <v/>
      </c>
      <c r="AZ35" s="46" t="str">
        <f>IF(F35="","",IF(B35="no",'Emission Factors'!$R$43,'Emission Factors'!$R$44))</f>
        <v/>
      </c>
      <c r="BA35" s="46" t="str">
        <f t="shared" si="54"/>
        <v/>
      </c>
      <c r="BB35" s="46" t="str">
        <f t="shared" si="55"/>
        <v/>
      </c>
      <c r="BC35" s="46" t="str">
        <f t="shared" si="56"/>
        <v/>
      </c>
    </row>
    <row r="36" spans="2:55" ht="13.5" customHeight="1" x14ac:dyDescent="0.25">
      <c r="B36" s="6" t="str">
        <f t="shared" si="33"/>
        <v>no</v>
      </c>
      <c r="C36" s="42"/>
      <c r="D36" s="42"/>
      <c r="E36" s="42"/>
      <c r="F36" s="43"/>
      <c r="G36" s="42"/>
      <c r="H36" s="44"/>
      <c r="I36" s="44"/>
      <c r="J36" s="112"/>
      <c r="K36" s="44">
        <f t="shared" si="5"/>
        <v>1</v>
      </c>
      <c r="L36" s="44"/>
      <c r="M36" s="44"/>
      <c r="N36" s="44"/>
      <c r="O36" s="44"/>
      <c r="P36" s="44"/>
      <c r="Q36" s="44"/>
      <c r="R36" s="47" t="str">
        <f t="shared" si="34"/>
        <v/>
      </c>
      <c r="S36" s="44"/>
      <c r="T36" s="46" t="str">
        <f t="shared" si="35"/>
        <v/>
      </c>
      <c r="U36" s="128"/>
      <c r="V36" s="128">
        <f t="shared" si="36"/>
        <v>0</v>
      </c>
      <c r="W36" s="128" t="str">
        <f t="shared" si="37"/>
        <v/>
      </c>
      <c r="X36" s="46" t="str">
        <f>IF(F36="","",IF(B36="no",'Emission Factors'!$D$43,'Emission Factors'!$D$44))</f>
        <v/>
      </c>
      <c r="Y36" s="46" t="str">
        <f t="shared" si="38"/>
        <v/>
      </c>
      <c r="Z36" s="46" t="str">
        <f t="shared" si="39"/>
        <v/>
      </c>
      <c r="AA36" s="46" t="str">
        <f t="shared" si="40"/>
        <v/>
      </c>
      <c r="AB36" s="46" t="str">
        <f>IF(F36="","",IF(B36="no",'Emission Factors'!$F$43,'Emission Factors'!$F$44))</f>
        <v/>
      </c>
      <c r="AC36" s="46" t="str">
        <f t="shared" si="41"/>
        <v/>
      </c>
      <c r="AD36" s="46" t="str">
        <f t="shared" si="42"/>
        <v/>
      </c>
      <c r="AE36" s="46" t="str">
        <f t="shared" si="43"/>
        <v/>
      </c>
      <c r="AF36" s="46" t="str">
        <f>IF(F36="","",IF(B36="no",'Emission Factors'!$H$43,'Emission Factors'!$H$44))</f>
        <v/>
      </c>
      <c r="AG36" s="46" t="str">
        <f t="shared" si="12"/>
        <v/>
      </c>
      <c r="AH36" s="46" t="str">
        <f t="shared" si="44"/>
        <v/>
      </c>
      <c r="AI36" s="46" t="str">
        <f t="shared" si="14"/>
        <v/>
      </c>
      <c r="AJ36" s="46" t="str">
        <f>IF(F36="","",IF(B36="no",'Emission Factors'!$J$43,'Emission Factors'!$J$44))</f>
        <v/>
      </c>
      <c r="AK36" s="46" t="str">
        <f t="shared" si="15"/>
        <v/>
      </c>
      <c r="AL36" s="46" t="str">
        <f t="shared" si="45"/>
        <v/>
      </c>
      <c r="AM36" s="46" t="str">
        <f t="shared" si="46"/>
        <v/>
      </c>
      <c r="AN36" s="46" t="str">
        <f>IF(F36="","",IF(B36="no",'Emission Factors'!$L$43,'Emission Factors'!$L$44))</f>
        <v/>
      </c>
      <c r="AO36" s="46" t="str">
        <f t="shared" si="18"/>
        <v/>
      </c>
      <c r="AP36" s="46" t="str">
        <f t="shared" si="47"/>
        <v/>
      </c>
      <c r="AQ36" s="46" t="str">
        <f t="shared" si="48"/>
        <v/>
      </c>
      <c r="AR36" s="46" t="str">
        <f>IF(F36="","",IF(B36="no",'Emission Factors'!$N$43,'Emission Factors'!$N$44))</f>
        <v/>
      </c>
      <c r="AS36" s="46" t="str">
        <f t="shared" si="21"/>
        <v/>
      </c>
      <c r="AT36" s="46" t="str">
        <f t="shared" si="49"/>
        <v/>
      </c>
      <c r="AU36" s="46" t="str">
        <f t="shared" si="50"/>
        <v/>
      </c>
      <c r="AV36" s="46" t="str">
        <f>IF(F36="","",IF(B36="no",'Emission Factors'!$P$43,'Emission Factors'!$P$44))</f>
        <v/>
      </c>
      <c r="AW36" s="46" t="str">
        <f t="shared" si="51"/>
        <v/>
      </c>
      <c r="AX36" s="46" t="str">
        <f t="shared" si="52"/>
        <v/>
      </c>
      <c r="AY36" s="46" t="str">
        <f t="shared" si="53"/>
        <v/>
      </c>
      <c r="AZ36" s="46" t="str">
        <f>IF(F36="","",IF(B36="no",'Emission Factors'!$R$43,'Emission Factors'!$R$44))</f>
        <v/>
      </c>
      <c r="BA36" s="46" t="str">
        <f t="shared" si="54"/>
        <v/>
      </c>
      <c r="BB36" s="46" t="str">
        <f t="shared" si="55"/>
        <v/>
      </c>
      <c r="BC36" s="46" t="str">
        <f t="shared" si="56"/>
        <v/>
      </c>
    </row>
    <row r="37" spans="2:55" ht="13.5" customHeight="1" x14ac:dyDescent="0.25">
      <c r="B37" s="6" t="str">
        <f t="shared" si="33"/>
        <v>no</v>
      </c>
      <c r="C37" s="42"/>
      <c r="D37" s="42"/>
      <c r="E37" s="42"/>
      <c r="F37" s="43"/>
      <c r="G37" s="42"/>
      <c r="H37" s="44"/>
      <c r="I37" s="44"/>
      <c r="J37" s="112"/>
      <c r="K37" s="44">
        <f t="shared" si="5"/>
        <v>1</v>
      </c>
      <c r="L37" s="44"/>
      <c r="M37" s="44"/>
      <c r="N37" s="44"/>
      <c r="O37" s="44"/>
      <c r="P37" s="44"/>
      <c r="Q37" s="44"/>
      <c r="R37" s="47" t="str">
        <f t="shared" si="34"/>
        <v/>
      </c>
      <c r="S37" s="44"/>
      <c r="T37" s="46" t="str">
        <f t="shared" si="35"/>
        <v/>
      </c>
      <c r="U37" s="128"/>
      <c r="V37" s="128">
        <f t="shared" si="36"/>
        <v>0</v>
      </c>
      <c r="W37" s="128" t="str">
        <f t="shared" si="37"/>
        <v/>
      </c>
      <c r="X37" s="46" t="str">
        <f>IF(F37="","",IF(B37="no",'Emission Factors'!$D$43,'Emission Factors'!$D$44))</f>
        <v/>
      </c>
      <c r="Y37" s="46" t="str">
        <f t="shared" si="38"/>
        <v/>
      </c>
      <c r="Z37" s="46" t="str">
        <f t="shared" si="39"/>
        <v/>
      </c>
      <c r="AA37" s="46" t="str">
        <f t="shared" si="40"/>
        <v/>
      </c>
      <c r="AB37" s="46" t="str">
        <f>IF(F37="","",IF(B37="no",'Emission Factors'!$F$43,'Emission Factors'!$F$44))</f>
        <v/>
      </c>
      <c r="AC37" s="46" t="str">
        <f t="shared" si="41"/>
        <v/>
      </c>
      <c r="AD37" s="46" t="str">
        <f t="shared" si="42"/>
        <v/>
      </c>
      <c r="AE37" s="46" t="str">
        <f t="shared" si="43"/>
        <v/>
      </c>
      <c r="AF37" s="46" t="str">
        <f>IF(F37="","",IF(B37="no",'Emission Factors'!$H$43,'Emission Factors'!$H$44))</f>
        <v/>
      </c>
      <c r="AG37" s="46" t="str">
        <f t="shared" si="12"/>
        <v/>
      </c>
      <c r="AH37" s="46" t="str">
        <f t="shared" si="44"/>
        <v/>
      </c>
      <c r="AI37" s="46" t="str">
        <f t="shared" si="14"/>
        <v/>
      </c>
      <c r="AJ37" s="46" t="str">
        <f>IF(F37="","",IF(B37="no",'Emission Factors'!$J$43,'Emission Factors'!$J$44))</f>
        <v/>
      </c>
      <c r="AK37" s="46" t="str">
        <f t="shared" si="15"/>
        <v/>
      </c>
      <c r="AL37" s="46" t="str">
        <f t="shared" si="45"/>
        <v/>
      </c>
      <c r="AM37" s="46" t="str">
        <f t="shared" si="46"/>
        <v/>
      </c>
      <c r="AN37" s="46" t="str">
        <f>IF(F37="","",IF(B37="no",'Emission Factors'!$L$43,'Emission Factors'!$L$44))</f>
        <v/>
      </c>
      <c r="AO37" s="46" t="str">
        <f t="shared" si="18"/>
        <v/>
      </c>
      <c r="AP37" s="46" t="str">
        <f t="shared" si="47"/>
        <v/>
      </c>
      <c r="AQ37" s="46" t="str">
        <f t="shared" si="48"/>
        <v/>
      </c>
      <c r="AR37" s="46" t="str">
        <f>IF(F37="","",IF(B37="no",'Emission Factors'!$N$43,'Emission Factors'!$N$44))</f>
        <v/>
      </c>
      <c r="AS37" s="46" t="str">
        <f t="shared" si="21"/>
        <v/>
      </c>
      <c r="AT37" s="46" t="str">
        <f t="shared" si="49"/>
        <v/>
      </c>
      <c r="AU37" s="46" t="str">
        <f t="shared" si="50"/>
        <v/>
      </c>
      <c r="AV37" s="46" t="str">
        <f>IF(F37="","",IF(B37="no",'Emission Factors'!$P$43,'Emission Factors'!$P$44))</f>
        <v/>
      </c>
      <c r="AW37" s="46" t="str">
        <f t="shared" si="51"/>
        <v/>
      </c>
      <c r="AX37" s="46" t="str">
        <f t="shared" si="52"/>
        <v/>
      </c>
      <c r="AY37" s="46" t="str">
        <f t="shared" si="53"/>
        <v/>
      </c>
      <c r="AZ37" s="46" t="str">
        <f>IF(F37="","",IF(B37="no",'Emission Factors'!$R$43,'Emission Factors'!$R$44))</f>
        <v/>
      </c>
      <c r="BA37" s="46" t="str">
        <f t="shared" si="54"/>
        <v/>
      </c>
      <c r="BB37" s="46" t="str">
        <f t="shared" si="55"/>
        <v/>
      </c>
      <c r="BC37" s="46" t="str">
        <f t="shared" si="56"/>
        <v/>
      </c>
    </row>
    <row r="38" spans="2:55" ht="13.5" customHeight="1" x14ac:dyDescent="0.25">
      <c r="B38" s="6" t="str">
        <f t="shared" si="33"/>
        <v>no</v>
      </c>
      <c r="C38" s="42"/>
      <c r="D38" s="42"/>
      <c r="E38" s="42"/>
      <c r="F38" s="43"/>
      <c r="G38" s="42"/>
      <c r="H38" s="44"/>
      <c r="I38" s="44"/>
      <c r="J38" s="112"/>
      <c r="K38" s="44">
        <f t="shared" si="5"/>
        <v>1</v>
      </c>
      <c r="L38" s="44"/>
      <c r="M38" s="44"/>
      <c r="N38" s="44"/>
      <c r="O38" s="44"/>
      <c r="P38" s="44"/>
      <c r="Q38" s="44"/>
      <c r="R38" s="47" t="str">
        <f t="shared" si="34"/>
        <v/>
      </c>
      <c r="S38" s="44"/>
      <c r="T38" s="46" t="str">
        <f t="shared" si="35"/>
        <v/>
      </c>
      <c r="U38" s="128"/>
      <c r="V38" s="128">
        <f t="shared" si="36"/>
        <v>0</v>
      </c>
      <c r="W38" s="128" t="str">
        <f t="shared" si="37"/>
        <v/>
      </c>
      <c r="X38" s="46" t="str">
        <f>IF(F38="","",IF(B38="no",'Emission Factors'!$D$43,'Emission Factors'!$D$44))</f>
        <v/>
      </c>
      <c r="Y38" s="46" t="str">
        <f t="shared" si="38"/>
        <v/>
      </c>
      <c r="Z38" s="46" t="str">
        <f t="shared" si="39"/>
        <v/>
      </c>
      <c r="AA38" s="46" t="str">
        <f t="shared" si="40"/>
        <v/>
      </c>
      <c r="AB38" s="46" t="str">
        <f>IF(F38="","",IF(B38="no",'Emission Factors'!$F$43,'Emission Factors'!$F$44))</f>
        <v/>
      </c>
      <c r="AC38" s="46" t="str">
        <f t="shared" si="41"/>
        <v/>
      </c>
      <c r="AD38" s="46" t="str">
        <f t="shared" si="42"/>
        <v/>
      </c>
      <c r="AE38" s="46" t="str">
        <f t="shared" si="43"/>
        <v/>
      </c>
      <c r="AF38" s="46" t="str">
        <f>IF(F38="","",IF(B38="no",'Emission Factors'!$H$43,'Emission Factors'!$H$44))</f>
        <v/>
      </c>
      <c r="AG38" s="46" t="str">
        <f t="shared" si="12"/>
        <v/>
      </c>
      <c r="AH38" s="46" t="str">
        <f t="shared" si="44"/>
        <v/>
      </c>
      <c r="AI38" s="46" t="str">
        <f t="shared" si="14"/>
        <v/>
      </c>
      <c r="AJ38" s="46" t="str">
        <f>IF(F38="","",IF(B38="no",'Emission Factors'!$J$43,'Emission Factors'!$J$44))</f>
        <v/>
      </c>
      <c r="AK38" s="46" t="str">
        <f t="shared" si="15"/>
        <v/>
      </c>
      <c r="AL38" s="46" t="str">
        <f t="shared" si="45"/>
        <v/>
      </c>
      <c r="AM38" s="46" t="str">
        <f t="shared" si="46"/>
        <v/>
      </c>
      <c r="AN38" s="46" t="str">
        <f>IF(F38="","",IF(B38="no",'Emission Factors'!$L$43,'Emission Factors'!$L$44))</f>
        <v/>
      </c>
      <c r="AO38" s="46" t="str">
        <f t="shared" si="18"/>
        <v/>
      </c>
      <c r="AP38" s="46" t="str">
        <f t="shared" si="47"/>
        <v/>
      </c>
      <c r="AQ38" s="46" t="str">
        <f t="shared" si="48"/>
        <v/>
      </c>
      <c r="AR38" s="46" t="str">
        <f>IF(F38="","",IF(B38="no",'Emission Factors'!$N$43,'Emission Factors'!$N$44))</f>
        <v/>
      </c>
      <c r="AS38" s="46" t="str">
        <f t="shared" si="21"/>
        <v/>
      </c>
      <c r="AT38" s="46" t="str">
        <f t="shared" si="49"/>
        <v/>
      </c>
      <c r="AU38" s="46" t="str">
        <f t="shared" si="50"/>
        <v/>
      </c>
      <c r="AV38" s="46" t="str">
        <f>IF(F38="","",IF(B38="no",'Emission Factors'!$P$43,'Emission Factors'!$P$44))</f>
        <v/>
      </c>
      <c r="AW38" s="46" t="str">
        <f t="shared" si="51"/>
        <v/>
      </c>
      <c r="AX38" s="46" t="str">
        <f t="shared" si="52"/>
        <v/>
      </c>
      <c r="AY38" s="46" t="str">
        <f t="shared" si="53"/>
        <v/>
      </c>
      <c r="AZ38" s="46" t="str">
        <f>IF(F38="","",IF(B38="no",'Emission Factors'!$R$43,'Emission Factors'!$R$44))</f>
        <v/>
      </c>
      <c r="BA38" s="46" t="str">
        <f t="shared" si="54"/>
        <v/>
      </c>
      <c r="BB38" s="46" t="str">
        <f t="shared" si="55"/>
        <v/>
      </c>
      <c r="BC38" s="46" t="str">
        <f t="shared" si="56"/>
        <v/>
      </c>
    </row>
    <row r="39" spans="2:55" ht="13.5" customHeight="1" x14ac:dyDescent="0.25">
      <c r="B39" s="6" t="str">
        <f t="shared" si="33"/>
        <v>no</v>
      </c>
      <c r="C39" s="42"/>
      <c r="D39" s="42"/>
      <c r="E39" s="42"/>
      <c r="F39" s="43"/>
      <c r="G39" s="42"/>
      <c r="H39" s="44"/>
      <c r="I39" s="44"/>
      <c r="J39" s="112"/>
      <c r="K39" s="44">
        <f t="shared" si="5"/>
        <v>1</v>
      </c>
      <c r="L39" s="44"/>
      <c r="M39" s="44"/>
      <c r="N39" s="44"/>
      <c r="O39" s="44"/>
      <c r="P39" s="44"/>
      <c r="Q39" s="44"/>
      <c r="R39" s="47" t="str">
        <f t="shared" si="34"/>
        <v/>
      </c>
      <c r="S39" s="44"/>
      <c r="T39" s="46" t="str">
        <f t="shared" si="35"/>
        <v/>
      </c>
      <c r="U39" s="128"/>
      <c r="V39" s="128">
        <f t="shared" si="36"/>
        <v>0</v>
      </c>
      <c r="W39" s="128" t="str">
        <f t="shared" si="37"/>
        <v/>
      </c>
      <c r="X39" s="46" t="str">
        <f>IF(F39="","",IF(B39="no",'Emission Factors'!$D$43,'Emission Factors'!$D$44))</f>
        <v/>
      </c>
      <c r="Y39" s="46" t="str">
        <f t="shared" si="38"/>
        <v/>
      </c>
      <c r="Z39" s="46" t="str">
        <f t="shared" si="39"/>
        <v/>
      </c>
      <c r="AA39" s="46" t="str">
        <f t="shared" si="40"/>
        <v/>
      </c>
      <c r="AB39" s="46" t="str">
        <f>IF(F39="","",IF(B39="no",'Emission Factors'!$F$43,'Emission Factors'!$F$44))</f>
        <v/>
      </c>
      <c r="AC39" s="46" t="str">
        <f t="shared" si="41"/>
        <v/>
      </c>
      <c r="AD39" s="46" t="str">
        <f t="shared" si="42"/>
        <v/>
      </c>
      <c r="AE39" s="46" t="str">
        <f t="shared" si="43"/>
        <v/>
      </c>
      <c r="AF39" s="46" t="str">
        <f>IF(F39="","",IF(B39="no",'Emission Factors'!$H$43,'Emission Factors'!$H$44))</f>
        <v/>
      </c>
      <c r="AG39" s="46" t="str">
        <f t="shared" si="12"/>
        <v/>
      </c>
      <c r="AH39" s="46" t="str">
        <f t="shared" si="44"/>
        <v/>
      </c>
      <c r="AI39" s="46" t="str">
        <f t="shared" si="14"/>
        <v/>
      </c>
      <c r="AJ39" s="46" t="str">
        <f>IF(F39="","",IF(B39="no",'Emission Factors'!$J$43,'Emission Factors'!$J$44))</f>
        <v/>
      </c>
      <c r="AK39" s="46" t="str">
        <f t="shared" si="15"/>
        <v/>
      </c>
      <c r="AL39" s="46" t="str">
        <f t="shared" si="45"/>
        <v/>
      </c>
      <c r="AM39" s="46" t="str">
        <f t="shared" si="46"/>
        <v/>
      </c>
      <c r="AN39" s="46" t="str">
        <f>IF(F39="","",IF(B39="no",'Emission Factors'!$L$43,'Emission Factors'!$L$44))</f>
        <v/>
      </c>
      <c r="AO39" s="46" t="str">
        <f t="shared" si="18"/>
        <v/>
      </c>
      <c r="AP39" s="46" t="str">
        <f t="shared" si="47"/>
        <v/>
      </c>
      <c r="AQ39" s="46" t="str">
        <f t="shared" si="48"/>
        <v/>
      </c>
      <c r="AR39" s="46" t="str">
        <f>IF(F39="","",IF(B39="no",'Emission Factors'!$N$43,'Emission Factors'!$N$44))</f>
        <v/>
      </c>
      <c r="AS39" s="46" t="str">
        <f t="shared" si="21"/>
        <v/>
      </c>
      <c r="AT39" s="46" t="str">
        <f t="shared" si="49"/>
        <v/>
      </c>
      <c r="AU39" s="46" t="str">
        <f t="shared" si="50"/>
        <v/>
      </c>
      <c r="AV39" s="46" t="str">
        <f>IF(F39="","",IF(B39="no",'Emission Factors'!$P$43,'Emission Factors'!$P$44))</f>
        <v/>
      </c>
      <c r="AW39" s="46" t="str">
        <f t="shared" si="51"/>
        <v/>
      </c>
      <c r="AX39" s="46" t="str">
        <f t="shared" si="52"/>
        <v/>
      </c>
      <c r="AY39" s="46" t="str">
        <f t="shared" si="53"/>
        <v/>
      </c>
      <c r="AZ39" s="46" t="str">
        <f>IF(F39="","",IF(B39="no",'Emission Factors'!$R$43,'Emission Factors'!$R$44))</f>
        <v/>
      </c>
      <c r="BA39" s="46" t="str">
        <f t="shared" si="54"/>
        <v/>
      </c>
      <c r="BB39" s="46" t="str">
        <f t="shared" si="55"/>
        <v/>
      </c>
      <c r="BC39" s="46" t="str">
        <f t="shared" si="56"/>
        <v/>
      </c>
    </row>
    <row r="40" spans="2:55" ht="13.5" customHeight="1" x14ac:dyDescent="0.25">
      <c r="B40" s="6" t="str">
        <f t="shared" si="33"/>
        <v>no</v>
      </c>
      <c r="C40" s="42"/>
      <c r="D40" s="42"/>
      <c r="E40" s="42"/>
      <c r="F40" s="43"/>
      <c r="G40" s="42"/>
      <c r="H40" s="44"/>
      <c r="I40" s="44"/>
      <c r="J40" s="112"/>
      <c r="K40" s="44">
        <f t="shared" si="5"/>
        <v>1</v>
      </c>
      <c r="L40" s="44"/>
      <c r="M40" s="44"/>
      <c r="N40" s="44"/>
      <c r="O40" s="44"/>
      <c r="P40" s="44"/>
      <c r="Q40" s="44"/>
      <c r="R40" s="47" t="str">
        <f t="shared" si="34"/>
        <v/>
      </c>
      <c r="S40" s="44"/>
      <c r="T40" s="46" t="str">
        <f t="shared" si="35"/>
        <v/>
      </c>
      <c r="U40" s="128"/>
      <c r="V40" s="128">
        <f t="shared" si="36"/>
        <v>0</v>
      </c>
      <c r="W40" s="128" t="str">
        <f t="shared" si="37"/>
        <v/>
      </c>
      <c r="X40" s="46" t="str">
        <f>IF(F40="","",IF(B40="no",'Emission Factors'!$D$43,'Emission Factors'!$D$44))</f>
        <v/>
      </c>
      <c r="Y40" s="46" t="str">
        <f t="shared" si="38"/>
        <v/>
      </c>
      <c r="Z40" s="46" t="str">
        <f t="shared" si="39"/>
        <v/>
      </c>
      <c r="AA40" s="46" t="str">
        <f t="shared" si="40"/>
        <v/>
      </c>
      <c r="AB40" s="46" t="str">
        <f>IF(F40="","",IF(B40="no",'Emission Factors'!$F$43,'Emission Factors'!$F$44))</f>
        <v/>
      </c>
      <c r="AC40" s="46" t="str">
        <f t="shared" si="41"/>
        <v/>
      </c>
      <c r="AD40" s="46" t="str">
        <f t="shared" si="42"/>
        <v/>
      </c>
      <c r="AE40" s="46" t="str">
        <f t="shared" si="43"/>
        <v/>
      </c>
      <c r="AF40" s="46" t="str">
        <f>IF(F40="","",IF(B40="no",'Emission Factors'!$H$43,'Emission Factors'!$H$44))</f>
        <v/>
      </c>
      <c r="AG40" s="46" t="str">
        <f t="shared" si="12"/>
        <v/>
      </c>
      <c r="AH40" s="46" t="str">
        <f t="shared" si="44"/>
        <v/>
      </c>
      <c r="AI40" s="46" t="str">
        <f t="shared" si="14"/>
        <v/>
      </c>
      <c r="AJ40" s="46" t="str">
        <f>IF(F40="","",IF(B40="no",'Emission Factors'!$J$43,'Emission Factors'!$J$44))</f>
        <v/>
      </c>
      <c r="AK40" s="46" t="str">
        <f t="shared" si="15"/>
        <v/>
      </c>
      <c r="AL40" s="46" t="str">
        <f t="shared" si="45"/>
        <v/>
      </c>
      <c r="AM40" s="46" t="str">
        <f t="shared" si="46"/>
        <v/>
      </c>
      <c r="AN40" s="46" t="str">
        <f>IF(F40="","",IF(B40="no",'Emission Factors'!$L$43,'Emission Factors'!$L$44))</f>
        <v/>
      </c>
      <c r="AO40" s="46" t="str">
        <f t="shared" si="18"/>
        <v/>
      </c>
      <c r="AP40" s="46" t="str">
        <f t="shared" si="47"/>
        <v/>
      </c>
      <c r="AQ40" s="46" t="str">
        <f t="shared" si="48"/>
        <v/>
      </c>
      <c r="AR40" s="46" t="str">
        <f>IF(F40="","",IF(B40="no",'Emission Factors'!$N$43,'Emission Factors'!$N$44))</f>
        <v/>
      </c>
      <c r="AS40" s="46" t="str">
        <f t="shared" si="21"/>
        <v/>
      </c>
      <c r="AT40" s="46" t="str">
        <f t="shared" si="49"/>
        <v/>
      </c>
      <c r="AU40" s="46" t="str">
        <f t="shared" si="50"/>
        <v/>
      </c>
      <c r="AV40" s="46" t="str">
        <f>IF(F40="","",IF(B40="no",'Emission Factors'!$P$43,'Emission Factors'!$P$44))</f>
        <v/>
      </c>
      <c r="AW40" s="46" t="str">
        <f t="shared" si="51"/>
        <v/>
      </c>
      <c r="AX40" s="46" t="str">
        <f t="shared" si="52"/>
        <v/>
      </c>
      <c r="AY40" s="46" t="str">
        <f t="shared" si="53"/>
        <v/>
      </c>
      <c r="AZ40" s="46" t="str">
        <f>IF(F40="","",IF(B40="no",'Emission Factors'!$R$43,'Emission Factors'!$R$44))</f>
        <v/>
      </c>
      <c r="BA40" s="46" t="str">
        <f t="shared" si="54"/>
        <v/>
      </c>
      <c r="BB40" s="46" t="str">
        <f t="shared" si="55"/>
        <v/>
      </c>
      <c r="BC40" s="46" t="str">
        <f t="shared" si="56"/>
        <v/>
      </c>
    </row>
    <row r="41" spans="2:55" ht="13.5" customHeight="1" x14ac:dyDescent="0.25">
      <c r="B41" s="6" t="str">
        <f t="shared" si="33"/>
        <v>no</v>
      </c>
      <c r="C41" s="42"/>
      <c r="D41" s="42"/>
      <c r="E41" s="42"/>
      <c r="F41" s="43"/>
      <c r="G41" s="42"/>
      <c r="H41" s="44"/>
      <c r="I41" s="44"/>
      <c r="J41" s="112"/>
      <c r="K41" s="44">
        <f t="shared" si="5"/>
        <v>1</v>
      </c>
      <c r="L41" s="44"/>
      <c r="M41" s="44"/>
      <c r="N41" s="44"/>
      <c r="O41" s="44"/>
      <c r="P41" s="44"/>
      <c r="Q41" s="44"/>
      <c r="R41" s="47" t="str">
        <f t="shared" si="34"/>
        <v/>
      </c>
      <c r="S41" s="44"/>
      <c r="T41" s="46" t="str">
        <f t="shared" si="35"/>
        <v/>
      </c>
      <c r="U41" s="128"/>
      <c r="V41" s="128">
        <f t="shared" si="36"/>
        <v>0</v>
      </c>
      <c r="W41" s="128" t="str">
        <f t="shared" si="37"/>
        <v/>
      </c>
      <c r="X41" s="46" t="str">
        <f>IF(F41="","",IF(B41="no",'Emission Factors'!$D$43,'Emission Factors'!$D$44))</f>
        <v/>
      </c>
      <c r="Y41" s="46" t="str">
        <f t="shared" si="38"/>
        <v/>
      </c>
      <c r="Z41" s="46" t="str">
        <f t="shared" si="39"/>
        <v/>
      </c>
      <c r="AA41" s="46" t="str">
        <f t="shared" si="40"/>
        <v/>
      </c>
      <c r="AB41" s="46" t="str">
        <f>IF(F41="","",IF(B41="no",'Emission Factors'!$F$43,'Emission Factors'!$F$44))</f>
        <v/>
      </c>
      <c r="AC41" s="46" t="str">
        <f t="shared" si="41"/>
        <v/>
      </c>
      <c r="AD41" s="46" t="str">
        <f t="shared" si="42"/>
        <v/>
      </c>
      <c r="AE41" s="46" t="str">
        <f t="shared" si="43"/>
        <v/>
      </c>
      <c r="AF41" s="46" t="str">
        <f>IF(F41="","",IF(B41="no",'Emission Factors'!$H$43,'Emission Factors'!$H$44))</f>
        <v/>
      </c>
      <c r="AG41" s="46" t="str">
        <f t="shared" si="12"/>
        <v/>
      </c>
      <c r="AH41" s="46" t="str">
        <f t="shared" si="44"/>
        <v/>
      </c>
      <c r="AI41" s="46" t="str">
        <f t="shared" si="14"/>
        <v/>
      </c>
      <c r="AJ41" s="46" t="str">
        <f>IF(F41="","",IF(B41="no",'Emission Factors'!$J$43,'Emission Factors'!$J$44))</f>
        <v/>
      </c>
      <c r="AK41" s="46" t="str">
        <f t="shared" si="15"/>
        <v/>
      </c>
      <c r="AL41" s="46" t="str">
        <f t="shared" si="45"/>
        <v/>
      </c>
      <c r="AM41" s="46" t="str">
        <f t="shared" si="46"/>
        <v/>
      </c>
      <c r="AN41" s="46" t="str">
        <f>IF(F41="","",IF(B41="no",'Emission Factors'!$L$43,'Emission Factors'!$L$44))</f>
        <v/>
      </c>
      <c r="AO41" s="46" t="str">
        <f t="shared" si="18"/>
        <v/>
      </c>
      <c r="AP41" s="46" t="str">
        <f t="shared" si="47"/>
        <v/>
      </c>
      <c r="AQ41" s="46" t="str">
        <f t="shared" si="48"/>
        <v/>
      </c>
      <c r="AR41" s="46" t="str">
        <f>IF(F41="","",IF(B41="no",'Emission Factors'!$N$43,'Emission Factors'!$N$44))</f>
        <v/>
      </c>
      <c r="AS41" s="46" t="str">
        <f t="shared" si="21"/>
        <v/>
      </c>
      <c r="AT41" s="46" t="str">
        <f t="shared" si="49"/>
        <v/>
      </c>
      <c r="AU41" s="46" t="str">
        <f t="shared" si="50"/>
        <v/>
      </c>
      <c r="AV41" s="46" t="str">
        <f>IF(F41="","",IF(B41="no",'Emission Factors'!$P$43,'Emission Factors'!$P$44))</f>
        <v/>
      </c>
      <c r="AW41" s="46" t="str">
        <f t="shared" si="51"/>
        <v/>
      </c>
      <c r="AX41" s="46" t="str">
        <f t="shared" si="52"/>
        <v/>
      </c>
      <c r="AY41" s="46" t="str">
        <f t="shared" si="53"/>
        <v/>
      </c>
      <c r="AZ41" s="46" t="str">
        <f>IF(F41="","",IF(B41="no",'Emission Factors'!$R$43,'Emission Factors'!$R$44))</f>
        <v/>
      </c>
      <c r="BA41" s="46" t="str">
        <f t="shared" si="54"/>
        <v/>
      </c>
      <c r="BB41" s="46" t="str">
        <f t="shared" si="55"/>
        <v/>
      </c>
      <c r="BC41" s="46" t="str">
        <f t="shared" si="56"/>
        <v/>
      </c>
    </row>
    <row r="42" spans="2:55" ht="13.5" customHeight="1" x14ac:dyDescent="0.25">
      <c r="B42" s="6" t="str">
        <f t="shared" si="33"/>
        <v>no</v>
      </c>
      <c r="C42" s="42"/>
      <c r="D42" s="42"/>
      <c r="E42" s="42"/>
      <c r="F42" s="43"/>
      <c r="G42" s="42"/>
      <c r="H42" s="44"/>
      <c r="I42" s="44"/>
      <c r="J42" s="112"/>
      <c r="K42" s="44">
        <f t="shared" si="5"/>
        <v>1</v>
      </c>
      <c r="L42" s="44"/>
      <c r="M42" s="44"/>
      <c r="N42" s="44"/>
      <c r="O42" s="44"/>
      <c r="P42" s="44"/>
      <c r="Q42" s="44"/>
      <c r="R42" s="47" t="str">
        <f t="shared" si="34"/>
        <v/>
      </c>
      <c r="S42" s="44"/>
      <c r="T42" s="46" t="str">
        <f t="shared" si="35"/>
        <v/>
      </c>
      <c r="U42" s="128"/>
      <c r="V42" s="128">
        <f t="shared" si="36"/>
        <v>0</v>
      </c>
      <c r="W42" s="128" t="str">
        <f t="shared" si="37"/>
        <v/>
      </c>
      <c r="X42" s="46" t="str">
        <f>IF(F42="","",IF(B42="no",'Emission Factors'!$D$43,'Emission Factors'!$D$44))</f>
        <v/>
      </c>
      <c r="Y42" s="46" t="str">
        <f t="shared" si="38"/>
        <v/>
      </c>
      <c r="Z42" s="46" t="str">
        <f t="shared" si="39"/>
        <v/>
      </c>
      <c r="AA42" s="46" t="str">
        <f t="shared" si="40"/>
        <v/>
      </c>
      <c r="AB42" s="46" t="str">
        <f>IF(F42="","",IF(B42="no",'Emission Factors'!$F$43,'Emission Factors'!$F$44))</f>
        <v/>
      </c>
      <c r="AC42" s="46" t="str">
        <f t="shared" si="41"/>
        <v/>
      </c>
      <c r="AD42" s="46" t="str">
        <f t="shared" si="42"/>
        <v/>
      </c>
      <c r="AE42" s="46" t="str">
        <f t="shared" si="43"/>
        <v/>
      </c>
      <c r="AF42" s="46" t="str">
        <f>IF(F42="","",IF(B42="no",'Emission Factors'!$H$43,'Emission Factors'!$H$44))</f>
        <v/>
      </c>
      <c r="AG42" s="46" t="str">
        <f t="shared" si="12"/>
        <v/>
      </c>
      <c r="AH42" s="46" t="str">
        <f t="shared" si="44"/>
        <v/>
      </c>
      <c r="AI42" s="46" t="str">
        <f t="shared" si="14"/>
        <v/>
      </c>
      <c r="AJ42" s="46" t="str">
        <f>IF(F42="","",IF(B42="no",'Emission Factors'!$J$43,'Emission Factors'!$J$44))</f>
        <v/>
      </c>
      <c r="AK42" s="46" t="str">
        <f t="shared" si="15"/>
        <v/>
      </c>
      <c r="AL42" s="46" t="str">
        <f t="shared" si="45"/>
        <v/>
      </c>
      <c r="AM42" s="46" t="str">
        <f t="shared" si="46"/>
        <v/>
      </c>
      <c r="AN42" s="46" t="str">
        <f>IF(F42="","",IF(B42="no",'Emission Factors'!$L$43,'Emission Factors'!$L$44))</f>
        <v/>
      </c>
      <c r="AO42" s="46" t="str">
        <f t="shared" si="18"/>
        <v/>
      </c>
      <c r="AP42" s="46" t="str">
        <f t="shared" si="47"/>
        <v/>
      </c>
      <c r="AQ42" s="46" t="str">
        <f t="shared" si="48"/>
        <v/>
      </c>
      <c r="AR42" s="46" t="str">
        <f>IF(F42="","",IF(B42="no",'Emission Factors'!$N$43,'Emission Factors'!$N$44))</f>
        <v/>
      </c>
      <c r="AS42" s="46" t="str">
        <f t="shared" si="21"/>
        <v/>
      </c>
      <c r="AT42" s="46" t="str">
        <f t="shared" si="49"/>
        <v/>
      </c>
      <c r="AU42" s="46" t="str">
        <f t="shared" si="50"/>
        <v/>
      </c>
      <c r="AV42" s="46" t="str">
        <f>IF(F42="","",IF(B42="no",'Emission Factors'!$P$43,'Emission Factors'!$P$44))</f>
        <v/>
      </c>
      <c r="AW42" s="46" t="str">
        <f t="shared" si="51"/>
        <v/>
      </c>
      <c r="AX42" s="46" t="str">
        <f t="shared" si="52"/>
        <v/>
      </c>
      <c r="AY42" s="46" t="str">
        <f t="shared" si="53"/>
        <v/>
      </c>
      <c r="AZ42" s="46" t="str">
        <f>IF(F42="","",IF(B42="no",'Emission Factors'!$R$43,'Emission Factors'!$R$44))</f>
        <v/>
      </c>
      <c r="BA42" s="46" t="str">
        <f t="shared" si="54"/>
        <v/>
      </c>
      <c r="BB42" s="46" t="str">
        <f t="shared" si="55"/>
        <v/>
      </c>
      <c r="BC42" s="46" t="str">
        <f t="shared" si="56"/>
        <v/>
      </c>
    </row>
    <row r="43" spans="2:55" ht="13.5" customHeight="1" x14ac:dyDescent="0.25">
      <c r="B43" s="6" t="str">
        <f t="shared" si="33"/>
        <v>no</v>
      </c>
      <c r="C43" s="42"/>
      <c r="D43" s="42"/>
      <c r="E43" s="42"/>
      <c r="F43" s="43"/>
      <c r="G43" s="42"/>
      <c r="H43" s="44"/>
      <c r="I43" s="44"/>
      <c r="J43" s="112"/>
      <c r="K43" s="44">
        <f t="shared" si="5"/>
        <v>1</v>
      </c>
      <c r="L43" s="44"/>
      <c r="M43" s="44"/>
      <c r="N43" s="44"/>
      <c r="O43" s="44"/>
      <c r="P43" s="44"/>
      <c r="Q43" s="44"/>
      <c r="R43" s="47" t="str">
        <f t="shared" si="34"/>
        <v/>
      </c>
      <c r="S43" s="44"/>
      <c r="T43" s="46" t="str">
        <f t="shared" si="35"/>
        <v/>
      </c>
      <c r="U43" s="128"/>
      <c r="V43" s="128">
        <f t="shared" si="36"/>
        <v>0</v>
      </c>
      <c r="W43" s="128" t="str">
        <f t="shared" si="37"/>
        <v/>
      </c>
      <c r="X43" s="46" t="str">
        <f>IF(F43="","",IF(B43="no",'Emission Factors'!$D$43,'Emission Factors'!$D$44))</f>
        <v/>
      </c>
      <c r="Y43" s="46" t="str">
        <f t="shared" si="38"/>
        <v/>
      </c>
      <c r="Z43" s="46" t="str">
        <f t="shared" si="39"/>
        <v/>
      </c>
      <c r="AA43" s="46" t="str">
        <f t="shared" si="40"/>
        <v/>
      </c>
      <c r="AB43" s="46" t="str">
        <f>IF(F43="","",IF(B43="no",'Emission Factors'!$F$43,'Emission Factors'!$F$44))</f>
        <v/>
      </c>
      <c r="AC43" s="46" t="str">
        <f t="shared" si="41"/>
        <v/>
      </c>
      <c r="AD43" s="46" t="str">
        <f t="shared" si="42"/>
        <v/>
      </c>
      <c r="AE43" s="46" t="str">
        <f t="shared" si="43"/>
        <v/>
      </c>
      <c r="AF43" s="46" t="str">
        <f>IF(F43="","",IF(B43="no",'Emission Factors'!$H$43,'Emission Factors'!$H$44))</f>
        <v/>
      </c>
      <c r="AG43" s="46" t="str">
        <f t="shared" si="12"/>
        <v/>
      </c>
      <c r="AH43" s="46" t="str">
        <f t="shared" si="44"/>
        <v/>
      </c>
      <c r="AI43" s="46" t="str">
        <f t="shared" si="14"/>
        <v/>
      </c>
      <c r="AJ43" s="46" t="str">
        <f>IF(F43="","",IF(B43="no",'Emission Factors'!$J$43,'Emission Factors'!$J$44))</f>
        <v/>
      </c>
      <c r="AK43" s="46" t="str">
        <f t="shared" si="15"/>
        <v/>
      </c>
      <c r="AL43" s="46" t="str">
        <f t="shared" si="45"/>
        <v/>
      </c>
      <c r="AM43" s="46" t="str">
        <f t="shared" si="46"/>
        <v/>
      </c>
      <c r="AN43" s="46" t="str">
        <f>IF(F43="","",IF(B43="no",'Emission Factors'!$L$43,'Emission Factors'!$L$44))</f>
        <v/>
      </c>
      <c r="AO43" s="46" t="str">
        <f t="shared" si="18"/>
        <v/>
      </c>
      <c r="AP43" s="46" t="str">
        <f t="shared" si="47"/>
        <v/>
      </c>
      <c r="AQ43" s="46" t="str">
        <f t="shared" si="48"/>
        <v/>
      </c>
      <c r="AR43" s="46" t="str">
        <f>IF(F43="","",IF(B43="no",'Emission Factors'!$N$43,'Emission Factors'!$N$44))</f>
        <v/>
      </c>
      <c r="AS43" s="46" t="str">
        <f t="shared" si="21"/>
        <v/>
      </c>
      <c r="AT43" s="46" t="str">
        <f t="shared" si="49"/>
        <v/>
      </c>
      <c r="AU43" s="46" t="str">
        <f t="shared" si="50"/>
        <v/>
      </c>
      <c r="AV43" s="46" t="str">
        <f>IF(F43="","",IF(B43="no",'Emission Factors'!$P$43,'Emission Factors'!$P$44))</f>
        <v/>
      </c>
      <c r="AW43" s="46" t="str">
        <f t="shared" si="51"/>
        <v/>
      </c>
      <c r="AX43" s="46" t="str">
        <f t="shared" si="52"/>
        <v/>
      </c>
      <c r="AY43" s="46" t="str">
        <f t="shared" si="53"/>
        <v/>
      </c>
      <c r="AZ43" s="46" t="str">
        <f>IF(F43="","",IF(B43="no",'Emission Factors'!$R$43,'Emission Factors'!$R$44))</f>
        <v/>
      </c>
      <c r="BA43" s="46" t="str">
        <f t="shared" si="54"/>
        <v/>
      </c>
      <c r="BB43" s="46" t="str">
        <f t="shared" si="55"/>
        <v/>
      </c>
      <c r="BC43" s="46" t="str">
        <f t="shared" si="56"/>
        <v/>
      </c>
    </row>
    <row r="44" spans="2:55" ht="13.5" customHeight="1" x14ac:dyDescent="0.25">
      <c r="B44" s="6" t="str">
        <f t="shared" si="33"/>
        <v>no</v>
      </c>
      <c r="C44" s="42"/>
      <c r="D44" s="42"/>
      <c r="E44" s="42"/>
      <c r="F44" s="43"/>
      <c r="G44" s="42"/>
      <c r="H44" s="44"/>
      <c r="I44" s="44"/>
      <c r="J44" s="112"/>
      <c r="K44" s="44">
        <f t="shared" si="5"/>
        <v>1</v>
      </c>
      <c r="L44" s="44"/>
      <c r="M44" s="44"/>
      <c r="N44" s="44"/>
      <c r="O44" s="44"/>
      <c r="P44" s="44"/>
      <c r="Q44" s="44"/>
      <c r="R44" s="47" t="str">
        <f t="shared" si="34"/>
        <v/>
      </c>
      <c r="S44" s="44"/>
      <c r="T44" s="46" t="str">
        <f t="shared" si="35"/>
        <v/>
      </c>
      <c r="U44" s="128"/>
      <c r="V44" s="128">
        <f t="shared" si="36"/>
        <v>0</v>
      </c>
      <c r="W44" s="128" t="str">
        <f t="shared" si="37"/>
        <v/>
      </c>
      <c r="X44" s="46" t="str">
        <f>IF(F44="","",IF(B44="no",'Emission Factors'!$D$43,'Emission Factors'!$D$44))</f>
        <v/>
      </c>
      <c r="Y44" s="46" t="str">
        <f t="shared" si="38"/>
        <v/>
      </c>
      <c r="Z44" s="46" t="str">
        <f t="shared" si="39"/>
        <v/>
      </c>
      <c r="AA44" s="46" t="str">
        <f t="shared" si="40"/>
        <v/>
      </c>
      <c r="AB44" s="46" t="str">
        <f>IF(F44="","",IF(B44="no",'Emission Factors'!$F$43,'Emission Factors'!$F$44))</f>
        <v/>
      </c>
      <c r="AC44" s="46" t="str">
        <f t="shared" si="41"/>
        <v/>
      </c>
      <c r="AD44" s="46" t="str">
        <f t="shared" si="42"/>
        <v/>
      </c>
      <c r="AE44" s="46" t="str">
        <f t="shared" si="43"/>
        <v/>
      </c>
      <c r="AF44" s="46" t="str">
        <f>IF(F44="","",IF(B44="no",'Emission Factors'!$H$43,'Emission Factors'!$H$44))</f>
        <v/>
      </c>
      <c r="AG44" s="46" t="str">
        <f t="shared" si="12"/>
        <v/>
      </c>
      <c r="AH44" s="46" t="str">
        <f t="shared" si="44"/>
        <v/>
      </c>
      <c r="AI44" s="46" t="str">
        <f t="shared" si="14"/>
        <v/>
      </c>
      <c r="AJ44" s="46" t="str">
        <f>IF(F44="","",IF(B44="no",'Emission Factors'!$J$43,'Emission Factors'!$J$44))</f>
        <v/>
      </c>
      <c r="AK44" s="46" t="str">
        <f t="shared" si="15"/>
        <v/>
      </c>
      <c r="AL44" s="46" t="str">
        <f t="shared" si="45"/>
        <v/>
      </c>
      <c r="AM44" s="46" t="str">
        <f t="shared" si="46"/>
        <v/>
      </c>
      <c r="AN44" s="46" t="str">
        <f>IF(F44="","",IF(B44="no",'Emission Factors'!$L$43,'Emission Factors'!$L$44))</f>
        <v/>
      </c>
      <c r="AO44" s="46" t="str">
        <f t="shared" si="18"/>
        <v/>
      </c>
      <c r="AP44" s="46" t="str">
        <f t="shared" si="47"/>
        <v/>
      </c>
      <c r="AQ44" s="46" t="str">
        <f t="shared" si="48"/>
        <v/>
      </c>
      <c r="AR44" s="46" t="str">
        <f>IF(F44="","",IF(B44="no",'Emission Factors'!$N$43,'Emission Factors'!$N$44))</f>
        <v/>
      </c>
      <c r="AS44" s="46" t="str">
        <f t="shared" si="21"/>
        <v/>
      </c>
      <c r="AT44" s="46" t="str">
        <f t="shared" si="49"/>
        <v/>
      </c>
      <c r="AU44" s="46" t="str">
        <f t="shared" si="50"/>
        <v/>
      </c>
      <c r="AV44" s="46" t="str">
        <f>IF(F44="","",IF(B44="no",'Emission Factors'!$P$43,'Emission Factors'!$P$44))</f>
        <v/>
      </c>
      <c r="AW44" s="46" t="str">
        <f t="shared" si="51"/>
        <v/>
      </c>
      <c r="AX44" s="46" t="str">
        <f t="shared" si="52"/>
        <v/>
      </c>
      <c r="AY44" s="46" t="str">
        <f t="shared" si="53"/>
        <v/>
      </c>
      <c r="AZ44" s="46" t="str">
        <f>IF(F44="","",IF(B44="no",'Emission Factors'!$R$43,'Emission Factors'!$R$44))</f>
        <v/>
      </c>
      <c r="BA44" s="46" t="str">
        <f t="shared" si="54"/>
        <v/>
      </c>
      <c r="BB44" s="46" t="str">
        <f t="shared" si="55"/>
        <v/>
      </c>
      <c r="BC44" s="46" t="str">
        <f t="shared" si="56"/>
        <v/>
      </c>
    </row>
    <row r="45" spans="2:55" ht="13.5" customHeight="1" x14ac:dyDescent="0.25">
      <c r="B45" s="6" t="str">
        <f>IF(F45="Diesel Generator&gt; 600 bhp","yes","no")</f>
        <v>no</v>
      </c>
      <c r="C45" s="42"/>
      <c r="D45" s="42"/>
      <c r="E45" s="42"/>
      <c r="F45" s="43"/>
      <c r="G45" s="42"/>
      <c r="H45" s="44"/>
      <c r="I45" s="44"/>
      <c r="J45" s="112"/>
      <c r="K45" s="44">
        <f t="shared" si="5"/>
        <v>1</v>
      </c>
      <c r="L45" s="44"/>
      <c r="M45" s="44"/>
      <c r="N45" s="44"/>
      <c r="O45" s="44"/>
      <c r="P45" s="44"/>
      <c r="Q45" s="44"/>
      <c r="R45" s="47" t="str">
        <f>IF(Q45="","",Q45*0.14)</f>
        <v/>
      </c>
      <c r="S45" s="44"/>
      <c r="T45" s="46" t="str">
        <f>IF(S45="","",S45*0.14)</f>
        <v/>
      </c>
      <c r="U45" s="128"/>
      <c r="V45" s="128">
        <f t="shared" si="36"/>
        <v>0</v>
      </c>
      <c r="W45" s="128" t="str">
        <f t="shared" si="37"/>
        <v/>
      </c>
      <c r="X45" s="46" t="str">
        <f>IF(F45="","",IF(B45="no",'Emission Factors'!$D$43,'Emission Factors'!$D$44))</f>
        <v/>
      </c>
      <c r="Y45" s="46" t="str">
        <f t="shared" si="38"/>
        <v/>
      </c>
      <c r="Z45" s="46" t="str">
        <f t="shared" si="39"/>
        <v/>
      </c>
      <c r="AA45" s="46" t="str">
        <f t="shared" si="40"/>
        <v/>
      </c>
      <c r="AB45" s="46" t="str">
        <f>IF(F45="","",IF(B45="no",'Emission Factors'!$F$43,'Emission Factors'!$F$44))</f>
        <v/>
      </c>
      <c r="AC45" s="46" t="str">
        <f t="shared" si="41"/>
        <v/>
      </c>
      <c r="AD45" s="46" t="str">
        <f t="shared" si="42"/>
        <v/>
      </c>
      <c r="AE45" s="46" t="str">
        <f t="shared" si="43"/>
        <v/>
      </c>
      <c r="AF45" s="46" t="str">
        <f>IF(F45="","",IF(B45="no",'Emission Factors'!$H$43,'Emission Factors'!$H$44))</f>
        <v/>
      </c>
      <c r="AG45" s="46" t="str">
        <f t="shared" si="12"/>
        <v/>
      </c>
      <c r="AH45" s="46" t="str">
        <f t="shared" si="44"/>
        <v/>
      </c>
      <c r="AI45" s="46" t="str">
        <f t="shared" si="14"/>
        <v/>
      </c>
      <c r="AJ45" s="46" t="str">
        <f>IF(F45="","",IF(B45="no",'Emission Factors'!$J$43,'Emission Factors'!$J$44))</f>
        <v/>
      </c>
      <c r="AK45" s="46" t="str">
        <f t="shared" si="15"/>
        <v/>
      </c>
      <c r="AL45" s="46" t="str">
        <f t="shared" si="45"/>
        <v/>
      </c>
      <c r="AM45" s="46" t="str">
        <f t="shared" si="46"/>
        <v/>
      </c>
      <c r="AN45" s="46" t="str">
        <f>IF(F45="","",IF(B45="no",'Emission Factors'!$L$43,'Emission Factors'!$L$44))</f>
        <v/>
      </c>
      <c r="AO45" s="46" t="str">
        <f t="shared" si="18"/>
        <v/>
      </c>
      <c r="AP45" s="46" t="str">
        <f t="shared" si="47"/>
        <v/>
      </c>
      <c r="AQ45" s="46" t="str">
        <f t="shared" si="48"/>
        <v/>
      </c>
      <c r="AR45" s="46" t="str">
        <f>IF(F45="","",IF(B45="no",'Emission Factors'!$N$43,'Emission Factors'!$N$44))</f>
        <v/>
      </c>
      <c r="AS45" s="46" t="str">
        <f t="shared" si="21"/>
        <v/>
      </c>
      <c r="AT45" s="46" t="str">
        <f t="shared" si="49"/>
        <v/>
      </c>
      <c r="AU45" s="46" t="str">
        <f t="shared" si="50"/>
        <v/>
      </c>
      <c r="AV45" s="46" t="str">
        <f>IF(F45="","",IF(B45="no",'Emission Factors'!$P$43,'Emission Factors'!$P$44))</f>
        <v/>
      </c>
      <c r="AW45" s="46" t="str">
        <f t="shared" si="51"/>
        <v/>
      </c>
      <c r="AX45" s="46" t="str">
        <f t="shared" si="52"/>
        <v/>
      </c>
      <c r="AY45" s="46" t="str">
        <f t="shared" si="53"/>
        <v/>
      </c>
      <c r="AZ45" s="46" t="str">
        <f>IF(F45="","",IF(B45="no",'Emission Factors'!$R$43,'Emission Factors'!$R$44))</f>
        <v/>
      </c>
      <c r="BA45" s="46" t="str">
        <f t="shared" si="54"/>
        <v/>
      </c>
      <c r="BB45" s="46" t="str">
        <f t="shared" si="55"/>
        <v/>
      </c>
      <c r="BC45" s="46" t="str">
        <f t="shared" si="56"/>
        <v/>
      </c>
    </row>
    <row r="46" spans="2:55" ht="13.5" customHeight="1" x14ac:dyDescent="0.25">
      <c r="B46" s="6" t="str">
        <f>IF(F46="Diesel Generator&gt; 600 bhp","yes","no")</f>
        <v>no</v>
      </c>
      <c r="C46" s="42"/>
      <c r="D46" s="42"/>
      <c r="E46" s="42"/>
      <c r="F46" s="43"/>
      <c r="G46" s="42"/>
      <c r="H46" s="44"/>
      <c r="I46" s="44"/>
      <c r="J46" s="112"/>
      <c r="K46" s="44">
        <f t="shared" si="5"/>
        <v>1</v>
      </c>
      <c r="L46" s="44"/>
      <c r="M46" s="44"/>
      <c r="N46" s="44"/>
      <c r="O46" s="44"/>
      <c r="P46" s="44"/>
      <c r="Q46" s="44"/>
      <c r="R46" s="47" t="str">
        <f>IF(Q46="","",Q46*0.14)</f>
        <v/>
      </c>
      <c r="S46" s="44"/>
      <c r="T46" s="46" t="str">
        <f>IF(S46="","",S46*0.14)</f>
        <v/>
      </c>
      <c r="U46" s="128"/>
      <c r="V46" s="128">
        <f t="shared" si="36"/>
        <v>0</v>
      </c>
      <c r="W46" s="128" t="str">
        <f t="shared" si="37"/>
        <v/>
      </c>
      <c r="X46" s="46" t="str">
        <f>IF(F46="","",IF(B46="no",'Emission Factors'!$D$43,'Emission Factors'!$D$44))</f>
        <v/>
      </c>
      <c r="Y46" s="46" t="str">
        <f t="shared" si="38"/>
        <v/>
      </c>
      <c r="Z46" s="46" t="str">
        <f t="shared" si="39"/>
        <v/>
      </c>
      <c r="AA46" s="46" t="str">
        <f t="shared" si="40"/>
        <v/>
      </c>
      <c r="AB46" s="46" t="str">
        <f>IF(F46="","",IF(B46="no",'Emission Factors'!$F$43,'Emission Factors'!$F$44))</f>
        <v/>
      </c>
      <c r="AC46" s="46" t="str">
        <f t="shared" si="41"/>
        <v/>
      </c>
      <c r="AD46" s="46" t="str">
        <f t="shared" si="42"/>
        <v/>
      </c>
      <c r="AE46" s="46" t="str">
        <f t="shared" si="43"/>
        <v/>
      </c>
      <c r="AF46" s="46" t="str">
        <f>IF(F46="","",IF(B46="no",'Emission Factors'!$H$43,'Emission Factors'!$H$44))</f>
        <v/>
      </c>
      <c r="AG46" s="46" t="str">
        <f t="shared" si="12"/>
        <v/>
      </c>
      <c r="AH46" s="46" t="str">
        <f t="shared" si="44"/>
        <v/>
      </c>
      <c r="AI46" s="46" t="str">
        <f t="shared" si="14"/>
        <v/>
      </c>
      <c r="AJ46" s="46" t="str">
        <f>IF(F46="","",IF(B46="no",'Emission Factors'!$J$43,'Emission Factors'!$J$44))</f>
        <v/>
      </c>
      <c r="AK46" s="46" t="str">
        <f t="shared" si="15"/>
        <v/>
      </c>
      <c r="AL46" s="46" t="str">
        <f t="shared" si="45"/>
        <v/>
      </c>
      <c r="AM46" s="46" t="str">
        <f t="shared" si="46"/>
        <v/>
      </c>
      <c r="AN46" s="46" t="str">
        <f>IF(F46="","",IF(B46="no",'Emission Factors'!$L$43,'Emission Factors'!$L$44))</f>
        <v/>
      </c>
      <c r="AO46" s="46" t="str">
        <f t="shared" si="18"/>
        <v/>
      </c>
      <c r="AP46" s="46" t="str">
        <f t="shared" si="47"/>
        <v/>
      </c>
      <c r="AQ46" s="46" t="str">
        <f t="shared" si="48"/>
        <v/>
      </c>
      <c r="AR46" s="46" t="str">
        <f>IF(F46="","",IF(B46="no",'Emission Factors'!$N$43,'Emission Factors'!$N$44))</f>
        <v/>
      </c>
      <c r="AS46" s="46" t="str">
        <f t="shared" si="21"/>
        <v/>
      </c>
      <c r="AT46" s="46" t="str">
        <f t="shared" si="49"/>
        <v/>
      </c>
      <c r="AU46" s="46" t="str">
        <f t="shared" si="50"/>
        <v/>
      </c>
      <c r="AV46" s="46" t="str">
        <f>IF(F46="","",IF(B46="no",'Emission Factors'!$P$43,'Emission Factors'!$P$44))</f>
        <v/>
      </c>
      <c r="AW46" s="46" t="str">
        <f t="shared" si="51"/>
        <v/>
      </c>
      <c r="AX46" s="46" t="str">
        <f t="shared" si="52"/>
        <v/>
      </c>
      <c r="AY46" s="46" t="str">
        <f t="shared" si="53"/>
        <v/>
      </c>
      <c r="AZ46" s="46" t="str">
        <f>IF(F46="","",IF(B46="no",'Emission Factors'!$R$43,'Emission Factors'!$R$44))</f>
        <v/>
      </c>
      <c r="BA46" s="46" t="str">
        <f t="shared" si="54"/>
        <v/>
      </c>
      <c r="BB46" s="46" t="str">
        <f t="shared" si="55"/>
        <v/>
      </c>
      <c r="BC46" s="46" t="str">
        <f t="shared" si="56"/>
        <v/>
      </c>
    </row>
    <row r="47" spans="2:55" ht="13.5" customHeight="1" x14ac:dyDescent="0.25">
      <c r="B47" s="6" t="str">
        <f>IF(F47="Diesel Generator&gt; 600 bhp","yes","no")</f>
        <v>no</v>
      </c>
      <c r="C47" s="42"/>
      <c r="D47" s="42"/>
      <c r="E47" s="42"/>
      <c r="F47" s="43"/>
      <c r="G47" s="42"/>
      <c r="H47" s="44"/>
      <c r="I47" s="44"/>
      <c r="J47" s="112"/>
      <c r="K47" s="44">
        <f t="shared" si="5"/>
        <v>1</v>
      </c>
      <c r="L47" s="44"/>
      <c r="M47" s="44"/>
      <c r="N47" s="44"/>
      <c r="O47" s="44"/>
      <c r="P47" s="44"/>
      <c r="Q47" s="44"/>
      <c r="R47" s="47" t="str">
        <f>IF(Q47="","",Q47*0.14)</f>
        <v/>
      </c>
      <c r="S47" s="44"/>
      <c r="T47" s="46" t="str">
        <f>IF(S47="","",S47*0.14)</f>
        <v/>
      </c>
      <c r="U47" s="128"/>
      <c r="V47" s="128">
        <f t="shared" si="36"/>
        <v>0</v>
      </c>
      <c r="W47" s="128" t="str">
        <f t="shared" si="37"/>
        <v/>
      </c>
      <c r="X47" s="46" t="str">
        <f>IF(F47="","",IF(B47="no",'Emission Factors'!$D$43,'Emission Factors'!$D$44))</f>
        <v/>
      </c>
      <c r="Y47" s="46" t="str">
        <f t="shared" si="38"/>
        <v/>
      </c>
      <c r="Z47" s="46" t="str">
        <f t="shared" si="39"/>
        <v/>
      </c>
      <c r="AA47" s="46" t="str">
        <f t="shared" si="40"/>
        <v/>
      </c>
      <c r="AB47" s="46" t="str">
        <f>IF(F47="","",IF(B47="no",'Emission Factors'!$F$43,'Emission Factors'!$F$44))</f>
        <v/>
      </c>
      <c r="AC47" s="46" t="str">
        <f t="shared" si="41"/>
        <v/>
      </c>
      <c r="AD47" s="46" t="str">
        <f t="shared" si="42"/>
        <v/>
      </c>
      <c r="AE47" s="46" t="str">
        <f t="shared" si="43"/>
        <v/>
      </c>
      <c r="AF47" s="46" t="str">
        <f>IF(F47="","",IF(B47="no",'Emission Factors'!$H$43,'Emission Factors'!$H$44))</f>
        <v/>
      </c>
      <c r="AG47" s="46" t="str">
        <f t="shared" si="12"/>
        <v/>
      </c>
      <c r="AH47" s="46" t="str">
        <f t="shared" si="44"/>
        <v/>
      </c>
      <c r="AI47" s="46" t="str">
        <f t="shared" si="14"/>
        <v/>
      </c>
      <c r="AJ47" s="46" t="str">
        <f>IF(F47="","",IF(B47="no",'Emission Factors'!$J$43,'Emission Factors'!$J$44))</f>
        <v/>
      </c>
      <c r="AK47" s="46" t="str">
        <f t="shared" si="15"/>
        <v/>
      </c>
      <c r="AL47" s="46" t="str">
        <f t="shared" si="45"/>
        <v/>
      </c>
      <c r="AM47" s="46" t="str">
        <f t="shared" si="46"/>
        <v/>
      </c>
      <c r="AN47" s="46" t="str">
        <f>IF(F47="","",IF(B47="no",'Emission Factors'!$L$43,'Emission Factors'!$L$44))</f>
        <v/>
      </c>
      <c r="AO47" s="46" t="str">
        <f t="shared" si="18"/>
        <v/>
      </c>
      <c r="AP47" s="46" t="str">
        <f t="shared" si="47"/>
        <v/>
      </c>
      <c r="AQ47" s="46" t="str">
        <f t="shared" si="48"/>
        <v/>
      </c>
      <c r="AR47" s="46" t="str">
        <f>IF(F47="","",IF(B47="no",'Emission Factors'!$N$43,'Emission Factors'!$N$44))</f>
        <v/>
      </c>
      <c r="AS47" s="46" t="str">
        <f t="shared" si="21"/>
        <v/>
      </c>
      <c r="AT47" s="46" t="str">
        <f t="shared" si="49"/>
        <v/>
      </c>
      <c r="AU47" s="46" t="str">
        <f t="shared" si="50"/>
        <v/>
      </c>
      <c r="AV47" s="46" t="str">
        <f>IF(F47="","",IF(B47="no",'Emission Factors'!$P$43,'Emission Factors'!$P$44))</f>
        <v/>
      </c>
      <c r="AW47" s="46" t="str">
        <f t="shared" si="51"/>
        <v/>
      </c>
      <c r="AX47" s="46" t="str">
        <f t="shared" si="52"/>
        <v/>
      </c>
      <c r="AY47" s="46" t="str">
        <f t="shared" si="53"/>
        <v/>
      </c>
      <c r="AZ47" s="46" t="str">
        <f>IF(F47="","",IF(B47="no",'Emission Factors'!$R$43,'Emission Factors'!$R$44))</f>
        <v/>
      </c>
      <c r="BA47" s="46" t="str">
        <f t="shared" si="54"/>
        <v/>
      </c>
      <c r="BB47" s="46" t="str">
        <f t="shared" si="55"/>
        <v/>
      </c>
      <c r="BC47" s="46" t="str">
        <f t="shared" si="56"/>
        <v/>
      </c>
    </row>
    <row r="48" spans="2:55" ht="13.5" customHeight="1" x14ac:dyDescent="0.25">
      <c r="B48" s="6" t="str">
        <f>IF(F48="Diesel Generator&gt; 600 bhp","yes","no")</f>
        <v>no</v>
      </c>
      <c r="C48" s="42"/>
      <c r="D48" s="42"/>
      <c r="E48" s="42"/>
      <c r="F48" s="43"/>
      <c r="G48" s="42"/>
      <c r="H48" s="44"/>
      <c r="I48" s="44"/>
      <c r="J48" s="112"/>
      <c r="K48" s="44">
        <f t="shared" si="5"/>
        <v>1</v>
      </c>
      <c r="L48" s="44"/>
      <c r="M48" s="44"/>
      <c r="N48" s="44"/>
      <c r="O48" s="44"/>
      <c r="P48" s="44"/>
      <c r="Q48" s="44"/>
      <c r="R48" s="47" t="str">
        <f>IF(Q48="","",Q48*0.14)</f>
        <v/>
      </c>
      <c r="S48" s="44"/>
      <c r="T48" s="46" t="str">
        <f>IF(S48="","",S48*0.14)</f>
        <v/>
      </c>
      <c r="U48" s="128"/>
      <c r="V48" s="128">
        <f t="shared" si="36"/>
        <v>0</v>
      </c>
      <c r="W48" s="128" t="str">
        <f t="shared" si="37"/>
        <v/>
      </c>
      <c r="X48" s="46" t="str">
        <f>IF(F48="","",IF(B48="no",'Emission Factors'!$D$43,'Emission Factors'!$D$44))</f>
        <v/>
      </c>
      <c r="Y48" s="46" t="str">
        <f t="shared" si="38"/>
        <v/>
      </c>
      <c r="Z48" s="46" t="str">
        <f t="shared" si="39"/>
        <v/>
      </c>
      <c r="AA48" s="46" t="str">
        <f t="shared" si="40"/>
        <v/>
      </c>
      <c r="AB48" s="46" t="str">
        <f>IF(F48="","",IF(B48="no",'Emission Factors'!$F$43,'Emission Factors'!$F$44))</f>
        <v/>
      </c>
      <c r="AC48" s="46" t="str">
        <f t="shared" si="41"/>
        <v/>
      </c>
      <c r="AD48" s="46" t="str">
        <f t="shared" si="42"/>
        <v/>
      </c>
      <c r="AE48" s="46" t="str">
        <f t="shared" si="43"/>
        <v/>
      </c>
      <c r="AF48" s="46" t="str">
        <f>IF(F48="","",IF(B48="no",'Emission Factors'!$H$43,'Emission Factors'!$H$44))</f>
        <v/>
      </c>
      <c r="AG48" s="46" t="str">
        <f t="shared" si="12"/>
        <v/>
      </c>
      <c r="AH48" s="46" t="str">
        <f t="shared" si="44"/>
        <v/>
      </c>
      <c r="AI48" s="46" t="str">
        <f t="shared" si="14"/>
        <v/>
      </c>
      <c r="AJ48" s="46" t="str">
        <f>IF(F48="","",IF(B48="no",'Emission Factors'!$J$43,'Emission Factors'!$J$44))</f>
        <v/>
      </c>
      <c r="AK48" s="46" t="str">
        <f t="shared" si="15"/>
        <v/>
      </c>
      <c r="AL48" s="46" t="str">
        <f t="shared" si="45"/>
        <v/>
      </c>
      <c r="AM48" s="46" t="str">
        <f t="shared" si="46"/>
        <v/>
      </c>
      <c r="AN48" s="46" t="str">
        <f>IF(F48="","",IF(B48="no",'Emission Factors'!$L$43,'Emission Factors'!$L$44))</f>
        <v/>
      </c>
      <c r="AO48" s="46" t="str">
        <f t="shared" si="18"/>
        <v/>
      </c>
      <c r="AP48" s="46" t="str">
        <f t="shared" si="47"/>
        <v/>
      </c>
      <c r="AQ48" s="46" t="str">
        <f t="shared" si="48"/>
        <v/>
      </c>
      <c r="AR48" s="46" t="str">
        <f>IF(F48="","",IF(B48="no",'Emission Factors'!$N$43,'Emission Factors'!$N$44))</f>
        <v/>
      </c>
      <c r="AS48" s="46" t="str">
        <f t="shared" si="21"/>
        <v/>
      </c>
      <c r="AT48" s="46" t="str">
        <f t="shared" si="49"/>
        <v/>
      </c>
      <c r="AU48" s="46" t="str">
        <f t="shared" si="50"/>
        <v/>
      </c>
      <c r="AV48" s="46" t="str">
        <f>IF(F48="","",IF(B48="no",'Emission Factors'!$P$43,'Emission Factors'!$P$44))</f>
        <v/>
      </c>
      <c r="AW48" s="46" t="str">
        <f t="shared" si="51"/>
        <v/>
      </c>
      <c r="AX48" s="46" t="str">
        <f t="shared" si="52"/>
        <v/>
      </c>
      <c r="AY48" s="46" t="str">
        <f t="shared" si="53"/>
        <v/>
      </c>
      <c r="AZ48" s="46" t="str">
        <f>IF(F48="","",IF(B48="no",'Emission Factors'!$R$43,'Emission Factors'!$R$44))</f>
        <v/>
      </c>
      <c r="BA48" s="46" t="str">
        <f t="shared" si="54"/>
        <v/>
      </c>
      <c r="BB48" s="46" t="str">
        <f t="shared" si="55"/>
        <v/>
      </c>
      <c r="BC48" s="46" t="str">
        <f t="shared" si="56"/>
        <v/>
      </c>
    </row>
    <row r="49" spans="1:55" ht="13.5" customHeight="1" x14ac:dyDescent="0.25">
      <c r="B49" s="6" t="str">
        <f>IF(F49="Diesel Generator&gt; 600 bhp","yes","no")</f>
        <v>no</v>
      </c>
      <c r="C49" s="42"/>
      <c r="D49" s="42"/>
      <c r="E49" s="42"/>
      <c r="F49" s="43"/>
      <c r="G49" s="42"/>
      <c r="H49" s="44"/>
      <c r="I49" s="44"/>
      <c r="J49" s="112"/>
      <c r="K49" s="44">
        <f t="shared" si="5"/>
        <v>1</v>
      </c>
      <c r="L49" s="44"/>
      <c r="M49" s="44"/>
      <c r="N49" s="44"/>
      <c r="O49" s="44"/>
      <c r="P49" s="44"/>
      <c r="Q49" s="44"/>
      <c r="R49" s="47" t="str">
        <f>IF(Q49="","",Q49*0.14)</f>
        <v/>
      </c>
      <c r="S49" s="44"/>
      <c r="T49" s="46" t="str">
        <f>IF(S49="","",S49*0.14)</f>
        <v/>
      </c>
      <c r="U49" s="128"/>
      <c r="V49" s="128">
        <f t="shared" si="36"/>
        <v>0</v>
      </c>
      <c r="W49" s="128" t="str">
        <f t="shared" si="37"/>
        <v/>
      </c>
      <c r="X49" s="46" t="str">
        <f>IF(F49="","",IF(B49="no",'Emission Factors'!$D$43,'Emission Factors'!$D$44))</f>
        <v/>
      </c>
      <c r="Y49" s="46" t="str">
        <f t="shared" si="38"/>
        <v/>
      </c>
      <c r="Z49" s="46" t="str">
        <f t="shared" si="39"/>
        <v/>
      </c>
      <c r="AA49" s="46" t="str">
        <f t="shared" si="40"/>
        <v/>
      </c>
      <c r="AB49" s="46" t="str">
        <f>IF(F49="","",IF(B49="no",'Emission Factors'!$F$43,'Emission Factors'!$F$44))</f>
        <v/>
      </c>
      <c r="AC49" s="46" t="str">
        <f t="shared" si="41"/>
        <v/>
      </c>
      <c r="AD49" s="46" t="str">
        <f t="shared" si="42"/>
        <v/>
      </c>
      <c r="AE49" s="46" t="str">
        <f t="shared" si="43"/>
        <v/>
      </c>
      <c r="AF49" s="46" t="str">
        <f>IF(F49="","",IF(B49="no",'Emission Factors'!$H$43,'Emission Factors'!$H$44))</f>
        <v/>
      </c>
      <c r="AG49" s="46" t="str">
        <f t="shared" si="12"/>
        <v/>
      </c>
      <c r="AH49" s="46" t="str">
        <f t="shared" si="44"/>
        <v/>
      </c>
      <c r="AI49" s="46" t="str">
        <f t="shared" si="14"/>
        <v/>
      </c>
      <c r="AJ49" s="46" t="str">
        <f>IF(F49="","",IF(B49="no",'Emission Factors'!$J$43,'Emission Factors'!$J$44))</f>
        <v/>
      </c>
      <c r="AK49" s="46" t="str">
        <f t="shared" si="15"/>
        <v/>
      </c>
      <c r="AL49" s="46" t="str">
        <f t="shared" si="45"/>
        <v/>
      </c>
      <c r="AM49" s="46" t="str">
        <f t="shared" si="46"/>
        <v/>
      </c>
      <c r="AN49" s="46" t="str">
        <f>IF(F49="","",IF(B49="no",'Emission Factors'!$L$43,'Emission Factors'!$L$44))</f>
        <v/>
      </c>
      <c r="AO49" s="46" t="str">
        <f t="shared" si="18"/>
        <v/>
      </c>
      <c r="AP49" s="46" t="str">
        <f t="shared" si="47"/>
        <v/>
      </c>
      <c r="AQ49" s="46" t="str">
        <f t="shared" si="48"/>
        <v/>
      </c>
      <c r="AR49" s="46" t="str">
        <f>IF(F49="","",IF(B49="no",'Emission Factors'!$N$43,'Emission Factors'!$N$44))</f>
        <v/>
      </c>
      <c r="AS49" s="46" t="str">
        <f t="shared" si="21"/>
        <v/>
      </c>
      <c r="AT49" s="46" t="str">
        <f t="shared" si="49"/>
        <v/>
      </c>
      <c r="AU49" s="46"/>
      <c r="AV49" s="46" t="str">
        <f>IF(F49="","",IF(B49="no",'Emission Factors'!$P$43,'Emission Factors'!$P$44))</f>
        <v/>
      </c>
      <c r="AW49" s="46" t="str">
        <f t="shared" si="51"/>
        <v/>
      </c>
      <c r="AX49" s="46" t="str">
        <f t="shared" si="52"/>
        <v/>
      </c>
      <c r="AY49" s="46" t="str">
        <f t="shared" si="53"/>
        <v/>
      </c>
      <c r="AZ49" s="46" t="str">
        <f>IF(F49="","",IF(B49="no",'Emission Factors'!$R$43,'Emission Factors'!$R$44))</f>
        <v/>
      </c>
      <c r="BA49" s="46" t="str">
        <f t="shared" si="54"/>
        <v/>
      </c>
      <c r="BB49" s="46" t="str">
        <f t="shared" si="55"/>
        <v/>
      </c>
      <c r="BC49" s="46" t="str">
        <f t="shared" si="56"/>
        <v/>
      </c>
    </row>
    <row r="50" spans="1:55" ht="13.5" customHeight="1" x14ac:dyDescent="0.25">
      <c r="L50" s="126"/>
      <c r="M50" s="11"/>
      <c r="N50" s="308" t="s">
        <v>310</v>
      </c>
      <c r="O50" s="308"/>
      <c r="P50" s="308"/>
      <c r="Q50" s="129">
        <f>SUM(IF($B$8="no",Q8),IF($B$9="no",Q9),IF($B$10="no",Q10),IF($B$11="no",Q11),IF($B$12="no",Q12),IF($B$13="no",Q13),IF($B$14="no",Q14),IF($B$15="no",Q15),IF($B$16="no",Q16),IF($B$17="no",Q17),IF($B$18="no",Q18),IF($B$19="no",Q19),IF($B$20="no",Q20),IF($B$21="no",Q21),IF($B$22="no",Q22),IF($B$23="no",Q23),IF($B$24="no",Q24),IF($B$25="no",Q25),IF($B$26="no",Q26),IF($B$27="no",Q27),IF($B$28="no",Q28),IF($B$29="no",Q29),IF($B$30="no",Q30),IF($B$31="no",Q31),IF($B$32="no",Q32),IF($B$33="no",Q33),IF($B$34="no",Q34),IF($B$35="no",Q35),IF($B$36="no",Q36),IF($B$37="no",Q37),IF($B$38="no",Q38),IF($B$39="no",Q39),IF($B$40="no",Q40),IF($B$41="no",Q41),IF($B$42="no",Q42),IF($B$43="no",Q43),IF($B$44="no",Q44),IF($B$45="no",Q45),IF($B$46="no",Q46),IF($B$47="no",Q47),IF($B$48="no",Q48),IF($B$49="no",Q49))</f>
        <v>0</v>
      </c>
      <c r="R50" s="129">
        <f>SUM(IF($B$8="no",R8),IF($B$9="no",R9),IF($B$10="no",R10),IF($B$11="no",R11),IF($B$12="no",R12),IF($B$13="no",R13),IF($B$14="no",R14),IF($B$15="no",R15),IF($B$16="no",R16),IF($B$17="no",R17),IF($B$18="no",R18),IF($B$19="no",R19),IF($B$20="no",R20),IF($B$21="no",R21),IF($B$22="no",R22),IF($B$23="no",R23),IF($B$24="no",R24),IF($B$25="no",R25),IF($B$26="no",R26),IF($B$27="no",R27),IF($B$28="no",R28),IF($B$29="no",R29),IF($B$30="no",R30),IF($B$31="no",R31),IF($B$32="no",R32),IF($B$33="no",R33),IF($B$34="no",R34),IF($B$35="no",R35),IF($B$36="no",R36),IF($B$37="no",R37),IF($B$38="no",R38),IF($B$39="no",R39),IF($B$40="no",R40),IF($B$41="no",R41),IF($B$42="no",R42),IF($B$43="no",R43),IF($B$44="no",R44),IF($B$45="no",R45),IF($B$46="no",R46),IF($B$47="no",R47),IF($B$48="no",R48),IF($B$49="no",R49))</f>
        <v>0</v>
      </c>
      <c r="S50" s="129">
        <f>SUM(IF($B$8="no",S8),IF($B$9="no",S9),IF($B$10="no",S10),IF($B$11="no",S11),IF($B$12="no",S12),IF($B$13="no",S13),IF($B$14="no",S14),IF($B$15="no",S15),IF($B$16="no",S16),IF($B$17="no",S17),IF($B$18="no",S18),IF($B$19="no",S19),IF($B$20="no",S20),IF($B$21="no",S21),IF($B$22="no",S22),IF($B$23="no",S23),IF($B$24="no",S24),IF($B$25="no",S25),IF($B$26="no",S26),IF($B$27="no",S27),IF($B$28="no",S28),IF($B$29="no",S29),IF($B$30="no",S30),IF($B$31="no",S31),IF($B$32="no",S32),IF($B$33="no",S33),IF($B$34="no",S34),IF($B$35="no",S35),IF($B$36="no",S36),IF($B$37="no",S37),IF($B$38="no",S38),IF($B$39="no",S39),IF($B$40="no",S40),IF($B$41="no",S41),IF($B$42="no",S42),IF($B$43="no",S43),IF($B$44="no",S44),IF($B$45="no",S45),IF($B$46="no",S46),IF($B$47="no",S47),IF($B$48="no",S48),IF($B$49="no",S49))</f>
        <v>0</v>
      </c>
      <c r="T50" s="129">
        <f>SUM(IF($B$8="no",T8),IF($B$9="no",T9),IF($B$10="no",T10),IF($B$11="no",T11),IF($B$12="no",T12),IF($B$13="no",T13),IF($B$14="no",T14),IF($B$15="no",T15),IF($B$16="no",T16),IF($B$17="no",T17),IF($B$18="no",T18),IF($B$19="no",T19),IF($B$20="no",T20),IF($B$21="no",T21),IF($B$22="no",T22),IF($B$23="no",T23),IF($B$24="no",T24),IF($B$25="no",T25),IF($B$26="no",T26),IF($B$27="no",T27),IF($B$28="no",T28),IF($B$29="no",T29),IF($B$30="no",T30),IF($B$31="no",T31),IF($B$32="no",T32),IF($B$33="no",T33),IF($B$34="no",T34),IF($B$35="no",T35),IF($B$36="no",T36),IF($B$37="no",T37),IF($B$38="no",T38),IF($B$39="no",T39),IF($B$40="no",T40),IF($B$41="no",T41),IF($B$42="no",T42),IF($B$43="no",T43),IF($B$44="no",T44),IF($B$45="no",T45),IF($B$46="no",T46),IF($B$47="no",T47),IF($B$48="no",T48),IF($B$49="no",T49))</f>
        <v>0</v>
      </c>
    </row>
    <row r="51" spans="1:55" ht="13.5" customHeight="1" x14ac:dyDescent="0.25">
      <c r="A51" s="6" t="s">
        <v>259</v>
      </c>
      <c r="B51" s="6">
        <f t="array" ref="B51">MAX(IF($C$8:$C$49="AP-1",$I$8:$I$49))</f>
        <v>0</v>
      </c>
      <c r="M51" s="127"/>
      <c r="N51" s="309" t="s">
        <v>311</v>
      </c>
      <c r="O51" s="309"/>
      <c r="P51" s="309"/>
      <c r="Q51" s="129">
        <f>SUM(IF($B$8="yes",Q8),IF($B$9="yes",Q9),IF($B$10="yes",Q10),IF($B$11="yes",Q11),IF($B$12="yes",Q12),IF($B$13="yes",Q13),IF($B$14="yes",Q14),IF($B$15="yes",Q15),IF($B$16="yes",Q16),IF($B$17="yes",Q17),IF($B$18="yes",Q18),IF($B$19="yes",Q19),IF($B$20="yes",Q20),IF($B$21="yes",Q21),IF($B$22="yes",Q22),IF($B$23="yes",Q23),IF($B$24="yes",Q24),IF($B$25="yes",Q25),IF($B$26="yes",Q26),IF($B$27="yes",Q27),IF($B$28="yes",Q28),IF($B$29="yes",Q29),IF($B$30="yes",Q30),IF($B$31="yes",Q31),IF($B$32="yes",Q32),IF($B$33="yes",Q33),IF($B$34="yes",Q34),IF($B$35="yes",Q35),IF($B$36="yes",Q36),IF($B$37="yes",Q37),IF($B$38="yes",Q38),IF($B$39="yes",Q39),IF($B$40="yes",Q40),IF($B$41="yes",Q41),IF($B$42="yes",Q42),IF($B$43="yes",Q43),IF($B$44="yes",Q44),IF($B$45="yes",Q45),IF($B$46="yes",Q46),IF($B$47="yes",Q47),IF($B$48="yes",Q48),IF($B$49="yes",Q49))</f>
        <v>0</v>
      </c>
      <c r="R51" s="129">
        <f>SUM(IF($B$8="yes",R8),IF($B$9="yes",R9),IF($B$10="yes",R10),IF($B$11="yes",R11),IF($B$12="yes",R12),IF($B$13="yes",R13),IF($B$14="yes",R14),IF($B$15="yes",R15),IF($B$16="yes",R16),IF($B$17="yes",R17),IF($B$18="yes",R18),IF($B$19="yes",R19),IF($B$20="yes",R20),IF($B$21="yes",R21),IF($B$22="yes",R22),IF($B$23="yes",R23),IF($B$24="yes",R24),IF($B$25="yes",R25),IF($B$26="yes",R26),IF($B$27="yes",R27),IF($B$28="yes",R28),IF($B$29="yes",R29),IF($B$30="yes",R30),IF($B$31="yes",R31),IF($B$32="yes",R32),IF($B$33="yes",R33),IF($B$34="yes",R34),IF($B$35="yes",R35),IF($B$36="yes",R36),IF($B$37="yes",R37),IF($B$38="yes",R38),IF($B$39="yes",R39),IF($B$40="yes",R40),IF($B$41="yes",R41),IF($B$42="yes",R42),IF($B$43="yes",R43),IF($B$44="yes",R44),IF($B$45="yes",R45),IF($B$46="yes",R46),IF($B$47="yes",R47),IF($B$48="yes",R48),IF($B$49="yes",R49))</f>
        <v>0</v>
      </c>
      <c r="S51" s="129">
        <f>SUM(IF($B$8="yes",S8),IF($B$9="yes",S9),IF($B$10="yes",S10),IF($B$11="yes",S11),IF($B$12="yes",S12),IF($B$13="yes",S13),IF($B$14="yes",S14),IF($B$15="yes",S15),IF($B$16="yes",S16),IF($B$17="yes",S17),IF($B$18="yes",S18),IF($B$19="yes",S19),IF($B$20="yes",S20),IF($B$21="yes",S21),IF($B$22="yes",S22),IF($B$23="yes",S23),IF($B$24="yes",S24),IF($B$25="yes",S25),IF($B$26="yes",S26),IF($B$27="yes",S27),IF($B$28="yes",S28),IF($B$29="yes",S29),IF($B$30="yes",S30),IF($B$31="yes",S31),IF($B$32="yes",S32),IF($B$33="yes",S33),IF($B$34="yes",S34),IF($B$35="yes",S35),IF($B$36="yes",S36),IF($B$37="yes",S37),IF($B$38="yes",S38),IF($B$39="yes",S39),IF($B$40="yes",S40),IF($B$41="yes",S41),IF($B$42="yes",S42),IF($B$43="yes",S43),IF($B$44="yes",S44),IF($B$45="yes",S45),IF($B$46="yes",S46),IF($B$47="yes",S47),IF($B$48="yes",S48),IF($B$49="yes",S49))</f>
        <v>0</v>
      </c>
      <c r="T51" s="129">
        <f>SUM(IF($B$8="yes",T8),IF($B$9="yes",T9),IF($B$10="yes",T10),IF($B$11="yes",T11),IF($B$12="yes",T12),IF($B$13="yes",T13),IF($B$14="yes",T14),IF($B$15="yes",T15),IF($B$16="yes",T16),IF($B$17="yes",T17),IF($B$18="yes",T18),IF($B$19="yes",T19),IF($B$20="yes",T20),IF($B$21="yes",T21),IF($B$22="yes",T22),IF($B$23="yes",T23),IF($B$24="yes",T24),IF($B$25="yes",T25),IF($B$26="yes",T26),IF($B$27="yes",T27),IF($B$28="yes",T28),IF($B$29="yes",T29),IF($B$30="yes",T30),IF($B$31="yes",T31),IF($B$32="yes",T32),IF($B$33="yes",T33),IF($B$34="yes",T34),IF($B$35="yes",T35),IF($B$36="yes",T36),IF($B$37="yes",T37),IF($B$38="yes",T38),IF($B$39="yes",T39),IF($B$40="yes",T40),IF($B$41="yes",T41),IF($B$42="yes",T42),IF($B$43="yes",T43),IF($B$44="yes",T44),IF($B$45="yes",T45),IF($B$46="yes",T46),IF($B$47="yes",T47),IF($B$48="yes",T48),IF($B$49="yes",T49))</f>
        <v>0</v>
      </c>
    </row>
    <row r="52" spans="1:55" s="7" customFormat="1" x14ac:dyDescent="0.25">
      <c r="A52" s="7" t="s">
        <v>260</v>
      </c>
      <c r="B52" s="7">
        <f t="array" ref="B52">MAX(IF($C$8:$C$49="AP-2",$I$8:$I$49))</f>
        <v>0</v>
      </c>
      <c r="Q52" s="254"/>
      <c r="R52" s="254"/>
      <c r="AA52" s="246" t="s">
        <v>109</v>
      </c>
      <c r="AB52" s="246" t="s">
        <v>16</v>
      </c>
      <c r="AC52" s="246" t="s">
        <v>16</v>
      </c>
      <c r="AD52" s="246" t="s">
        <v>3</v>
      </c>
      <c r="AE52" s="246" t="s">
        <v>3</v>
      </c>
      <c r="AF52" s="246" t="s">
        <v>26</v>
      </c>
      <c r="AG52" s="246" t="s">
        <v>26</v>
      </c>
      <c r="AH52" s="246" t="s">
        <v>5</v>
      </c>
      <c r="AI52" s="246" t="s">
        <v>5</v>
      </c>
      <c r="AJ52" s="246" t="s">
        <v>6</v>
      </c>
      <c r="AK52" s="246" t="s">
        <v>6</v>
      </c>
      <c r="AL52" s="246" t="s">
        <v>7</v>
      </c>
      <c r="AM52" s="246" t="s">
        <v>7</v>
      </c>
      <c r="AN52" s="246" t="s">
        <v>52</v>
      </c>
      <c r="AO52" s="246" t="s">
        <v>52</v>
      </c>
    </row>
    <row r="53" spans="1:55" s="7" customFormat="1" x14ac:dyDescent="0.25">
      <c r="A53" s="7" t="s">
        <v>261</v>
      </c>
      <c r="B53" s="7">
        <f t="array" ref="B53">MAX(IF($C$8:$C$49="AP-3",$I$8:$I$49))</f>
        <v>0</v>
      </c>
      <c r="Z53" s="246" t="s">
        <v>157</v>
      </c>
      <c r="AA53" s="246" t="s">
        <v>158</v>
      </c>
      <c r="AB53" s="246" t="s">
        <v>158</v>
      </c>
      <c r="AC53" s="246" t="s">
        <v>157</v>
      </c>
      <c r="AD53" s="246" t="s">
        <v>157</v>
      </c>
      <c r="AE53" s="246" t="s">
        <v>158</v>
      </c>
      <c r="AF53" s="246" t="s">
        <v>158</v>
      </c>
      <c r="AG53" s="246" t="s">
        <v>157</v>
      </c>
      <c r="AH53" s="246" t="s">
        <v>157</v>
      </c>
      <c r="AI53" s="246" t="s">
        <v>158</v>
      </c>
      <c r="AJ53" s="246" t="s">
        <v>158</v>
      </c>
      <c r="AK53" s="246" t="s">
        <v>157</v>
      </c>
      <c r="AL53" s="246" t="s">
        <v>157</v>
      </c>
      <c r="AM53" s="246" t="s">
        <v>158</v>
      </c>
      <c r="AN53" s="246" t="s">
        <v>158</v>
      </c>
      <c r="AO53" s="246" t="s">
        <v>157</v>
      </c>
    </row>
    <row r="54" spans="1:55" x14ac:dyDescent="0.25">
      <c r="A54" s="6" t="s">
        <v>262</v>
      </c>
      <c r="B54" s="6">
        <f t="array" ref="B54">MAX(IF($C$8:$C$49="AP-4",$I$8:$I$49))</f>
        <v>0</v>
      </c>
      <c r="X54" s="118" t="s">
        <v>259</v>
      </c>
      <c r="Z54" s="130">
        <f t="array" ref="Z54">IF(B51="",SUMIF($C$8:$C$49,"AP-1",$Z$8:$Z$49),MAX(IF(C8:C49="AP-1",Z8:Z49)))</f>
        <v>0</v>
      </c>
      <c r="AA54" s="130">
        <f>SUMIF($C$8:$C$49,"AP-1",$AA$8:$AA$49)</f>
        <v>0</v>
      </c>
      <c r="AB54" s="130">
        <f>SUMIF($C$8:$C$49,"AP-1",$AE$8:$AE$49)</f>
        <v>0</v>
      </c>
      <c r="AC54" s="130">
        <f t="array" ref="AC54">IF(B51="",SUMIF($C$8:$C$49,"AP-1",$AD$8:$AD$49),MAX(IF($C$8:$C$49="AP-1",$AD$8:$AD$49)))</f>
        <v>0</v>
      </c>
      <c r="AD54" s="130">
        <f t="array" ref="AD54">IF(B51="",SUMIF($C$8:$C$49,"AP-1",$AH$8:$AH$49),MAX(IF($C$8:$C$49="AP-1",$AH$8:$AH$49)))</f>
        <v>0</v>
      </c>
      <c r="AE54" s="130">
        <f>SUMIF($C$8:$C$49,"AP-1",$AI$8:$AI$49)</f>
        <v>0</v>
      </c>
      <c r="AF54" s="130">
        <f>SUMIF($C$8:$C$49,"AP-1",$AM$8:$AM$49)</f>
        <v>0</v>
      </c>
      <c r="AG54" s="130">
        <f t="array" ref="AG54">IF(B51="",SUMIF($C$8:$C$49,"AP-1",$AL$8:$AL$49),MAX(IF($C$8:$C$49="AP-1",$AL$8:$AL$49)))</f>
        <v>0</v>
      </c>
      <c r="AH54" s="130">
        <f t="array" ref="AH54">IF(B51="",SUMIF($C$8:$C$49,"AP-1",$AP$8:$AP$49),MAX(IF($C$8:$C$49="AP-1",$AP$8:$AP$49)))</f>
        <v>0</v>
      </c>
      <c r="AI54" s="130">
        <f>SUMIF($C$8:$C$49,"AP-1",$AQ$8:$AQ$49)</f>
        <v>0</v>
      </c>
      <c r="AJ54" s="130">
        <f>SUMIF($C$8:$C$49,"AP-1",$AU$8:$AU$49)</f>
        <v>0</v>
      </c>
      <c r="AK54" s="130">
        <f t="array" ref="AK54">IF(B51="",SUMIF($C$8:$C$49,"AP-1",$AT$8:$AT$49),MAX(IF($C$8:$C$49="AP-1",$AT$8:$AT$49)))</f>
        <v>0</v>
      </c>
      <c r="AL54" s="130">
        <f t="array" ref="AL54">IF(B51="",SUMIF($C$8:$C$49,"AP-1",$AX$8:$AX$49),MAX(IF($C$8:$C$49="AP-1",$AX$8:$AX$49)))</f>
        <v>0</v>
      </c>
      <c r="AM54" s="130">
        <f>SUMIF($C$8:$C$49,"AP-1",$AY$8:$AY$49)</f>
        <v>0</v>
      </c>
      <c r="AN54" s="130">
        <f>SUMIF($C$8:$C$49,"AP-1",$BC$8:$BC$49)</f>
        <v>0</v>
      </c>
      <c r="AO54" s="130">
        <f t="array" ref="AO54">IF(B51="",SUMIF($C$8:$C$49,"AP-1",$BB$8:$BB$49),MAX(IF($C$8:$C$49="AP-1",$BB$8:$BB$49)))</f>
        <v>0</v>
      </c>
    </row>
    <row r="55" spans="1:55" x14ac:dyDescent="0.25">
      <c r="A55" s="6" t="s">
        <v>263</v>
      </c>
      <c r="B55" s="6">
        <f t="array" ref="B55">MAX(IF($C$8:$C$49="AP-5",$I$8:$I$49))</f>
        <v>0</v>
      </c>
      <c r="X55" s="118" t="s">
        <v>260</v>
      </c>
      <c r="Z55" s="130">
        <f t="array" ref="Z55">IF(B52="",SUMIF($C$8:$C$49,"AP-2",$Z$8:$Z$49),MAX(IF($C$8:$C$49="AP-2",$Z$8:$Z$49)))</f>
        <v>0</v>
      </c>
      <c r="AA55" s="130">
        <f>SUMIF($C$8:$C$49,"AP-2",$AA$8:$AA$49)</f>
        <v>0</v>
      </c>
      <c r="AB55" s="130">
        <f>SUMIF($C$8:$C$49,"AP-2",$AE$8:$AE$49)</f>
        <v>0</v>
      </c>
      <c r="AC55" s="130">
        <f t="array" ref="AC55">IF(B52="",SUMIF($C$8:$C$49,"AP-2",$AD$8:$AD$49),MAX(IF($C$8:$C$49="AP-2",$AD$8:$AD$49)))</f>
        <v>0</v>
      </c>
      <c r="AD55" s="130">
        <f t="array" ref="AD55">IF(B52="",SUMIF($C$8:$C$49,"AP-2",$AH$8:$AH$49),MAX(IF($C$8:$C$49="AP-2",$AH$8:$AH$49)))</f>
        <v>0</v>
      </c>
      <c r="AE55" s="130">
        <f>SUMIF($C$8:$C$49,"AP-2",$AI$8:$AI$49)</f>
        <v>0</v>
      </c>
      <c r="AF55" s="130">
        <f>SUMIF($C$8:$C$49,"AP-2",$AM$8:$AM$49)</f>
        <v>0</v>
      </c>
      <c r="AG55" s="130">
        <f t="array" ref="AG55">IF(B52="",SUMIF($C$8:$C$49,"AP-2",$AL$8:$AL$49),MAX(IF($C$8:$C$49="AP-2",$AL$8:$AL$49)))</f>
        <v>0</v>
      </c>
      <c r="AH55" s="130">
        <f t="array" ref="AH55">IF(B52="",SUMIF($C$8:$C$49,"AP-2",$AP$8:$AP$49),MAX(IF($C$8:$C$49="AP-2",$AP$8:$AP$49)))</f>
        <v>0</v>
      </c>
      <c r="AI55" s="130">
        <f>SUMIF($C$8:$C$49,"AP-2",$AQ$8:$AQ$49)</f>
        <v>0</v>
      </c>
      <c r="AJ55" s="130">
        <f>SUMIF($C$8:$C$49,"AP-2",$AU$8:$AU$49)</f>
        <v>0</v>
      </c>
      <c r="AK55" s="130">
        <f t="array" ref="AK55">IF(B52="",SUMIF($C$8:$C$49,"AP-2",$AT$8:$AT$49),MAX(IF($C$8:$C$49="AP-2",$AT$8:$AT$49)))</f>
        <v>0</v>
      </c>
      <c r="AL55" s="130">
        <f t="array" ref="AL55">IF(B52="",SUMIF($C$8:$C$49,"AP-2",$AX$8:$AX$49),MAX(IF($C$8:$C$49="AP-2",$AX$8:$AX$49)))</f>
        <v>0</v>
      </c>
      <c r="AM55" s="130">
        <f>SUMIF($C$8:$C$49,"AP-2",$AY$8:$AY$49)</f>
        <v>0</v>
      </c>
      <c r="AN55" s="130">
        <f>SUMIF($C$8:$C$49,"AP-2",$BC$8:$BC$49)</f>
        <v>0</v>
      </c>
      <c r="AO55" s="130">
        <f t="array" ref="AO55">IF(B52="",SUMIF($C$8:$C$49,"AP-2",$BB$8:$BB$49),MAX(IF($C$8:$C$49="AP-2",$BB$8:$BB$49)))</f>
        <v>0</v>
      </c>
    </row>
    <row r="56" spans="1:55" x14ac:dyDescent="0.25">
      <c r="A56" s="6" t="s">
        <v>264</v>
      </c>
      <c r="B56" s="6">
        <f t="array" ref="B56">MAX(IF($C$8:$C$49="AP-6",$I$8:$I$49))</f>
        <v>0</v>
      </c>
      <c r="X56" s="118" t="s">
        <v>261</v>
      </c>
      <c r="Z56" s="130">
        <f t="array" ref="Z56">IF(B53="",SUMIF($C$8:$C$49,"AP-3",$Z$8:$Z$49),MAX(IF($C$8:$C$49="AP-3",$Z$8:$Z$49)))</f>
        <v>0</v>
      </c>
      <c r="AA56" s="130">
        <f>SUMIF($C$8:$C$49,"AP-3",$AA$8:$AA$49)</f>
        <v>0</v>
      </c>
      <c r="AB56" s="130">
        <f>SUMIF($C$8:$C$49,"AP-3",$AE$8:$AE$49)</f>
        <v>0</v>
      </c>
      <c r="AC56" s="130">
        <f t="array" ref="AC56">IF(B53="",SUMIF($C$8:$C$49,"AP-3",$AD$8:$AD$49),MAX(IF($C$8:$C$49="AP-3",$AD$8:$AD$49)))</f>
        <v>0</v>
      </c>
      <c r="AD56" s="130">
        <f t="array" ref="AD56">IF(B53="",SUMIF($C$8:$C$49,"AP-3",$AH$8:$AH$49),MAX(IF($C$8:$C$49="AP-3",$AH$8:$AH$49)))</f>
        <v>0</v>
      </c>
      <c r="AE56" s="130">
        <f>SUMIF($C$8:$C$49,"AP-3",$AI$8:$AI$49)</f>
        <v>0</v>
      </c>
      <c r="AF56" s="130">
        <f>SUMIF($C$8:$C$49,"AP-3",$AM$8:$AM$49)</f>
        <v>0</v>
      </c>
      <c r="AG56" s="130">
        <f t="array" ref="AG56">IF(B53="",SUMIF($C$8:$C$49,"AP-3",$AL$8:$AL$49),MAX(IF($C$8:$C$49="AP-3",$AL$8:$AL$49)))</f>
        <v>0</v>
      </c>
      <c r="AH56" s="130">
        <f t="array" ref="AH56">IF(B53="",SUMIF($C$8:$C$49,"AP-3",$AP$8:$AP$49),MAX(IF($C$8:$C$49="AP-3",$AP$8:$AP$49)))</f>
        <v>0</v>
      </c>
      <c r="AI56" s="130">
        <f>SUMIF($C$8:$C$49,"AP-3",$AQ$8:$AQ$49)</f>
        <v>0</v>
      </c>
      <c r="AJ56" s="130">
        <f>SUMIF($C$8:$C$49,"AP-3",$AU$8:$AU$49)</f>
        <v>0</v>
      </c>
      <c r="AK56" s="130">
        <f t="array" ref="AK56">IF(B53="",SUMIF($C$8:$C$49,"AP-3",$AT$8:$AT$49),MAX(IF($C$8:$C$49="AP-3",$AT$8:$AT$49)))</f>
        <v>0</v>
      </c>
      <c r="AL56" s="130">
        <f t="array" ref="AL56">IF(B53="",SUMIF($C$8:$C$49,"AP-3",$AX$8:$AX$49),MAX(IF($C$8:$C$49="AP-3",$AX$8:$AX$49)))</f>
        <v>0</v>
      </c>
      <c r="AM56" s="130">
        <f>SUMIF($C$8:$C$49,"AP-3",$AY$8:$AY$49)</f>
        <v>0</v>
      </c>
      <c r="AN56" s="130">
        <f>SUMIF($C$8:$C$49,"AP-3",$BC$8:$BC$49)</f>
        <v>0</v>
      </c>
      <c r="AO56" s="130">
        <f t="array" ref="AO56">IF(B53="",SUMIF($C$8:$C$49,"AP-3",$BB$8:$BB$49),MAX(IF($C$8:$C$49="AP-3",$BB$8:$BB$49)))</f>
        <v>0</v>
      </c>
    </row>
    <row r="57" spans="1:55" x14ac:dyDescent="0.25">
      <c r="A57" s="6" t="s">
        <v>265</v>
      </c>
      <c r="B57" s="6">
        <f t="array" ref="B57">MAX(IF($C$8:$C$49="AP-7",$I$8:$I$49))</f>
        <v>0</v>
      </c>
      <c r="X57" s="118" t="s">
        <v>262</v>
      </c>
      <c r="Z57" s="130">
        <f t="array" ref="Z57">IF(B54="",SUMIF($C$8:$C$49,"AP-4",$Z$8:$Z$49),MAX(IF($C$8:$C$49="AP-4",$Z$8:$Z$49)))</f>
        <v>0</v>
      </c>
      <c r="AA57" s="130">
        <f>SUMIF($C$8:$C$49,"AP-4",$AA$8:$AA$49)</f>
        <v>0</v>
      </c>
      <c r="AB57" s="130">
        <f>SUMIF($C$8:$C$49,"AP-4",$AE$8:$AE$49)</f>
        <v>0</v>
      </c>
      <c r="AC57" s="130">
        <f t="array" ref="AC57">IF(B54="",SUMIF($C$8:$C$49,"AP-4",$AD$8:$AD$49),MAX(IF($C$8:$C$49="AP-4",$AD$8:$AD$49)))</f>
        <v>0</v>
      </c>
      <c r="AD57" s="130">
        <f t="array" ref="AD57">IF(B54="",SUMIF($C$8:$C$49,"AP-4",$AH$8:$AH$49),MAX(IF($C$8:$C$49="AP-4",$AH$8:$AH$49)))</f>
        <v>0</v>
      </c>
      <c r="AE57" s="130">
        <f>SUMIF($C$8:$C$49,"AP-4",$AI$8:$AI$49)</f>
        <v>0</v>
      </c>
      <c r="AF57" s="130">
        <f>SUMIF($C$8:$C$49,"AP-4",$AM$8:$AM$49)</f>
        <v>0</v>
      </c>
      <c r="AG57" s="130">
        <f t="array" ref="AG57">IF(B54="",SUMIF($C$8:$C$49,"AP-4",$AL$8:$AL$49),MAX(IF($C$8:$C$49="AP-4",$AL$8:$AL$49)))</f>
        <v>0</v>
      </c>
      <c r="AH57" s="130">
        <f t="array" ref="AH57">IF(B54="",SUMIF($C$8:$C$49,"AP-4",$AP$8:$AP$49),MAX(IF($C$8:$C$49="AP-4",$AP$8:$AP$49)))</f>
        <v>0</v>
      </c>
      <c r="AI57" s="130">
        <f>SUMIF($C$8:$C$49,"AP-4",$AQ$8:$AQ$49)</f>
        <v>0</v>
      </c>
      <c r="AJ57" s="130">
        <f>SUMIF($C$8:$C$49,"AP-4",$AU$8:$AU$49)</f>
        <v>0</v>
      </c>
      <c r="AK57" s="130">
        <f t="array" ref="AK57">IF(B54="",SUMIF($C$8:$C$49,"AP-4",$AT$8:$AT$49),MAX(IF($C$8:$C$49="AP-4",$AT$8:$AT$49)))</f>
        <v>0</v>
      </c>
      <c r="AL57" s="130">
        <f t="array" ref="AL57">IF(B54="",SUMIF($C$8:$C$49,"AP-4",$AX$8:$AX$49),MAX(IF($C$8:$C$49="AP-4",$AX$8:$AX$49)))</f>
        <v>0</v>
      </c>
      <c r="AM57" s="130">
        <f>SUMIF($C$8:$C$49,"AP-4",$AY$8:$AY$49)</f>
        <v>0</v>
      </c>
      <c r="AN57" s="130">
        <f>SUMIF($C$8:$C$49,"AP-4",$BC$8:$BC$49)</f>
        <v>0</v>
      </c>
      <c r="AO57" s="130">
        <f t="array" ref="AO57">IF(B54="",SUMIF($C$8:$C$49,"AP-4",$BB$8:$BB$49),MAX(IF($C$8:$C$49="AP-4",$BB$8:$BB$49)))</f>
        <v>0</v>
      </c>
    </row>
    <row r="58" spans="1:55" x14ac:dyDescent="0.25">
      <c r="A58" s="6" t="s">
        <v>266</v>
      </c>
      <c r="B58" s="6">
        <f t="array" ref="B58">MAX(IF($C$8:$C$49="AP-8",$I$8:$I$49))</f>
        <v>0</v>
      </c>
      <c r="X58" s="118" t="s">
        <v>263</v>
      </c>
      <c r="Z58" s="130">
        <f t="array" ref="Z58">IF(B55="",SUMIF($C$8:$C$49,"AP-5",$Z$8:$Z$49),MAX(IF($C$8:$C$49="AP-5",$Z$8:$Z$49)))</f>
        <v>0</v>
      </c>
      <c r="AA58" s="130">
        <f>SUMIF($C$8:$C$49,"AP-5",$AA$8:$AA$49)</f>
        <v>0</v>
      </c>
      <c r="AB58" s="130">
        <f>SUMIF($C$8:$C$49,"AP-5",$AE$8:$AE$49)</f>
        <v>0</v>
      </c>
      <c r="AC58" s="130">
        <f t="array" ref="AC58">IF(B55="",SUMIF($C$8:$C$49,"AP-5",$AD$8:$AD$49),MAX(IF($C$8:$C$49="AP-5",$AD$8:$AD$49)))</f>
        <v>0</v>
      </c>
      <c r="AD58" s="130">
        <f t="array" ref="AD58">IF(B55="",SUMIF($C$8:$C$49,"AP-5",$AH$8:$AH$49),MAX(IF($C$8:$C$49="AP-5",$AH$8:$AH$49)))</f>
        <v>0</v>
      </c>
      <c r="AE58" s="130">
        <f>SUMIF($C$8:$C$49,"AP-5",$AI$8:$AI$49)</f>
        <v>0</v>
      </c>
      <c r="AF58" s="130">
        <f>SUMIF($C$8:$C$49,"AP-5",$AM$8:$AM$49)</f>
        <v>0</v>
      </c>
      <c r="AG58" s="130">
        <f t="array" ref="AG58">IF(B55="",SUMIF($C$8:$C$49,"AP-5",$AL$8:$AL$49),MAX(IF($C$8:$C$49="AP-5",$AL$8:$AL$49)))</f>
        <v>0</v>
      </c>
      <c r="AH58" s="130">
        <f t="array" ref="AH58">IF(B55="",SUMIF($C$8:$C$49,"AP-5",$AP$8:$AP$49),MAX(IF($C$8:$C$49="AP-5",$AP$8:$AP$49)))</f>
        <v>0</v>
      </c>
      <c r="AI58" s="130">
        <f>SUMIF($C$8:$C$49,"AP-5",$AQ$8:$AQ$49)</f>
        <v>0</v>
      </c>
      <c r="AJ58" s="130">
        <f>SUMIF($C$8:$C$49,"AP-5",$AU$8:$AU$49)</f>
        <v>0</v>
      </c>
      <c r="AK58" s="130">
        <f t="array" ref="AK58">IF(B55="",SUMIF($C$8:$C$49,"AP-5",$AT$8:$AT$49),MAX(IF($C$8:$C$49="AP-5",$AT$8:$AT$49)))</f>
        <v>0</v>
      </c>
      <c r="AL58" s="130">
        <f t="array" ref="AL58">IF(B55="",SUMIF($C$8:$C$49,"AP-5",$AX$8:$AX$49),MAX(IF($C$8:$C$49="AP-5",$AX$8:$AX$49)))</f>
        <v>0</v>
      </c>
      <c r="AM58" s="130">
        <f>SUMIF($C$8:$C$49,"AP-5",$AY$8:$AY$49)</f>
        <v>0</v>
      </c>
      <c r="AN58" s="130">
        <f>SUMIF($C$8:$C$49,"AP-5",$BC$8:$BC$49)</f>
        <v>0</v>
      </c>
      <c r="AO58" s="130">
        <f t="array" ref="AO58">IF(B55="",SUMIF($C$8:$C$49,"AP-5",$BB$8:$BB$49),MAX(IF($C$8:$C$49="AP-5",$BB$8:$BB$49)))</f>
        <v>0</v>
      </c>
    </row>
    <row r="59" spans="1:55" x14ac:dyDescent="0.25">
      <c r="A59" s="6" t="s">
        <v>267</v>
      </c>
      <c r="B59" s="6">
        <f t="array" ref="B59">MAX(IF($C$8:$C$49="AP-9",$I$8:$I$49))</f>
        <v>0</v>
      </c>
      <c r="X59" s="118" t="s">
        <v>264</v>
      </c>
      <c r="Z59" s="130">
        <f t="array" ref="Z59">IF(B56="",SUMIF($C$8:$C$49,"AP-6",$Z$8:$Z$49),MAX(IF($C$8:$C$49="AP-6",$Z$8:$Z$49)))</f>
        <v>0</v>
      </c>
      <c r="AA59" s="130">
        <f>SUMIF($C$8:$C$49,"AP-6",$AA$8:$AA$49)</f>
        <v>0</v>
      </c>
      <c r="AB59" s="130">
        <f>SUMIF($C$8:$C$49,"AP-6",$AE$8:$AE$49)</f>
        <v>0</v>
      </c>
      <c r="AC59" s="130">
        <f t="array" ref="AC59">IF(B56="",SUMIF($C$8:$C$49,"AP-6",$AD$8:$AD$49),MAX(IF($C$8:$C$49="AP-6",$AD$8:$AD$49)))</f>
        <v>0</v>
      </c>
      <c r="AD59" s="130">
        <f t="array" ref="AD59">IF(B56="",SUMIF($C$8:$C$49,"AP-6",$AH$8:$AH$49),MAX(IF($C$8:$C$49="AP-6",$AH$8:$AH$49)))</f>
        <v>0</v>
      </c>
      <c r="AE59" s="130">
        <f>SUMIF($C$8:$C$49,"AP-6",$AI$8:$AI$49)</f>
        <v>0</v>
      </c>
      <c r="AF59" s="130">
        <f>SUMIF($C$8:$C$49,"AP-6",$AM$8:$AM$49)</f>
        <v>0</v>
      </c>
      <c r="AG59" s="130">
        <f t="array" ref="AG59">IF(B56="",SUMIF($C$8:$C$49,"AP-6",$AL$8:$AL$49),MAX(IF($C$8:$C$49="AP-6",$AL$8:$AL$49)))</f>
        <v>0</v>
      </c>
      <c r="AH59" s="130">
        <f t="array" ref="AH59">IF(B56="",SUMIF($C$8:$C$49,"AP-6",$AP$8:$AP$49),MAX(IF($C$8:$C$49="AP-6",$AP$8:$AP$49)))</f>
        <v>0</v>
      </c>
      <c r="AI59" s="130">
        <f>SUMIF($C$8:$C$49,"AP-6",$AQ$8:$AQ$49)</f>
        <v>0</v>
      </c>
      <c r="AJ59" s="130">
        <f>SUMIF($C$8:$C$49,"AP-6",$AU$8:$AU$49)</f>
        <v>0</v>
      </c>
      <c r="AK59" s="130">
        <f t="array" ref="AK59">IF(B56="",SUMIF($C$8:$C$49,"AP-6",$AT$8:$AT$49),MAX(IF($C$8:$C$49="AP-6",$AT$8:$AT$49)))</f>
        <v>0</v>
      </c>
      <c r="AL59" s="130">
        <f t="array" ref="AL59">IF(B56="",SUMIF($C$8:$C$49,"AP-6",$AX$8:$AX$49),MAX(IF($C$8:$C$49="AP-6",$AX$8:$AX$49)))</f>
        <v>0</v>
      </c>
      <c r="AM59" s="130">
        <f>SUMIF($C$8:$C$49,"AP-6",$AY$8:$AY$49)</f>
        <v>0</v>
      </c>
      <c r="AN59" s="130">
        <f>SUMIF($C$8:$C$49,"AP-6",$BC$8:$BC$49)</f>
        <v>0</v>
      </c>
      <c r="AO59" s="130">
        <f t="array" ref="AO59">IF(B56="",SUMIF($C$8:$C$49,"AP-6",$BB$8:$BB$49),MAX(IF($C$8:$C$49="AP-6",$BB$8:$BB$49)))</f>
        <v>0</v>
      </c>
    </row>
    <row r="60" spans="1:55" x14ac:dyDescent="0.25">
      <c r="A60" s="6" t="s">
        <v>268</v>
      </c>
      <c r="B60" s="6">
        <f t="array" ref="B60">MAX(IF($C$8:$C$49="AP-10",$I$8:$I$49))</f>
        <v>0</v>
      </c>
      <c r="X60" s="118" t="s">
        <v>265</v>
      </c>
      <c r="Z60" s="130">
        <f t="array" ref="Z60">IF(B57="",SUMIF($C$8:$C$49,"AP-7",$Z$8:$Z$49),MAX(IF($C$8:$C$49="AP-7",$Z$8:$Z$49)))</f>
        <v>0</v>
      </c>
      <c r="AA60" s="130">
        <f>SUMIF($C$8:$C$49,"AP-7",$AA$8:$AA$49)</f>
        <v>0</v>
      </c>
      <c r="AB60" s="130">
        <f>SUMIF($C$8:$C$49,"AP-7",$AE$8:$AE$49)</f>
        <v>0</v>
      </c>
      <c r="AC60" s="130">
        <f t="array" ref="AC60">IF(B57="",SUMIF($C$8:$C$49,"AP-7",$AD$8:$AD$49),MAX(IF($C$8:$C$49="AP-7",$AD$8:$AD$49)))</f>
        <v>0</v>
      </c>
      <c r="AD60" s="130">
        <f t="array" ref="AD60">IF(B57="",SUMIF($C$8:$C$49,"AP-7",$AH$8:$AH$49),MAX(IF($C$8:$C$49="AP-7",$AH$8:$AH$49)))</f>
        <v>0</v>
      </c>
      <c r="AE60" s="130">
        <f>SUMIF($C$8:$C$49,"AP-7",$AI$8:$AI$49)</f>
        <v>0</v>
      </c>
      <c r="AF60" s="130">
        <f>SUMIF($C$8:$C$49,"AP-7",$AM$8:$AM$49)</f>
        <v>0</v>
      </c>
      <c r="AG60" s="130">
        <f t="array" ref="AG60">IF(B57="",SUMIF($C$8:$C$49,"AP-7",$AL$8:$AL$49),MAX(IF($C$8:$C$49="AP-7",$AL$8:$AL$49)))</f>
        <v>0</v>
      </c>
      <c r="AH60" s="130">
        <f t="array" ref="AH60">IF(B57="",SUMIF($C$8:$C$49,"AP-7",$AP$8:$AP$49),MAX(IF($C$8:$C$49="AP-7",$AP$8:$AP$49)))</f>
        <v>0</v>
      </c>
      <c r="AI60" s="130">
        <f>SUMIF($C$8:$C$49,"AP-7",$AQ$8:$AQ$49)</f>
        <v>0</v>
      </c>
      <c r="AJ60" s="130">
        <f>SUMIF($C$8:$C$49,"AP-7",$AU$8:$AU$49)</f>
        <v>0</v>
      </c>
      <c r="AK60" s="130">
        <f t="array" ref="AK60">IF(B57="",SUMIF($C$8:$C$49,"AP-7",$AT$8:$AT$49),MAX(IF($C$8:$C$49="AP-7",$AT$8:$AT$49)))</f>
        <v>0</v>
      </c>
      <c r="AL60" s="130">
        <f t="array" ref="AL60">IF(B57="",SUMIF($C$8:$C$49,"AP-7",$AX$8:$AX$49),MAX(IF($C$8:$C$49="AP-7",$AX$8:$AX$49)))</f>
        <v>0</v>
      </c>
      <c r="AM60" s="130">
        <f>SUMIF($C$8:$C$49,"AP-7",$AY$8:$AY$49)</f>
        <v>0</v>
      </c>
      <c r="AN60" s="130">
        <f>SUMIF($C$8:$C$49,"AP-7",$BC$8:$BC$49)</f>
        <v>0</v>
      </c>
      <c r="AO60" s="130">
        <f t="array" ref="AO60">IF(B57="",SUMIF($C$8:$C$49,"AP-7",$BB$8:$BB$49),MAX(IF($C$8:$C$49="AP-7",$BB$8:$BB$49)))</f>
        <v>0</v>
      </c>
    </row>
    <row r="61" spans="1:55" x14ac:dyDescent="0.25">
      <c r="X61" s="118" t="s">
        <v>266</v>
      </c>
      <c r="Z61" s="130">
        <f t="array" ref="Z61">IF(B58="",SUMIF($C$8:$C$49,"AP-8",$Z$8:$Z$49),MAX(IF($C$8:$C$49="AP-8",$Z$8:$Z$49)))</f>
        <v>0</v>
      </c>
      <c r="AA61" s="130">
        <f>SUMIF($C$8:$C$49,"AP-8",$AA$8:$AA$49)</f>
        <v>0</v>
      </c>
      <c r="AB61" s="130">
        <f>SUMIF($C$8:$C$49,"AP-8",$AE$8:$AE$49)</f>
        <v>0</v>
      </c>
      <c r="AC61" s="130">
        <f t="array" ref="AC61">IF(B58="",SUMIF($C$8:$C$49,"AP-8",$AD$8:$AD$49),MAX(IF($C$8:$C$49="AP-8",$AD$8:$AD$49)))</f>
        <v>0</v>
      </c>
      <c r="AD61" s="130">
        <f t="array" ref="AD61">IF(B58="",SUMIF($C$8:$C$49,"AP-8",$AH$8:$AH$49),MAX(IF($C$8:$C$49="AP-8",$AH$8:$AH$49)))</f>
        <v>0</v>
      </c>
      <c r="AE61" s="130">
        <f>SUMIF($C$8:$C$49,"AP-8",$AI$8:$AI$49)</f>
        <v>0</v>
      </c>
      <c r="AF61" s="130">
        <f>SUMIF($C$8:$C$49,"AP-8",$AM$8:$AM$49)</f>
        <v>0</v>
      </c>
      <c r="AG61" s="130">
        <f t="array" ref="AG61">IF(B58="",SUMIF($C$8:$C$49,"AP-8",$AL$8:$AL$49),MAX(IF($C$8:$C$49="AP-8",$AL$8:$AL$49)))</f>
        <v>0</v>
      </c>
      <c r="AH61" s="130">
        <f t="array" ref="AH61">IF(B58="",SUMIF($C$8:$C$49,"AP-8",$AP$8:$AP$49),MAX(IF($C$8:$C$49="AP-8",$AP$8:$AP$49)))</f>
        <v>0</v>
      </c>
      <c r="AI61" s="130">
        <f>SUMIF($C$8:$C$49,"AP-8",$AQ$8:$AQ$49)</f>
        <v>0</v>
      </c>
      <c r="AJ61" s="130">
        <f>SUMIF($C$8:$C$49,"AP-8",$AU$8:$AU$49)</f>
        <v>0</v>
      </c>
      <c r="AK61" s="130">
        <f t="array" ref="AK61">IF(B58="",SUMIF($C$8:$C$49,"AP-8",$AT$8:$AT$49),MAX(IF($C$8:$C$49="AP-8",$AT$8:$AT$49)))</f>
        <v>0</v>
      </c>
      <c r="AL61" s="130">
        <f t="array" ref="AL61">IF(B58="",SUMIF($C$8:$C$49,"AP-8",$AX$8:$AX$49),MAX(IF($C$8:$C$49="AP-8",$AX$8:$AX$49)))</f>
        <v>0</v>
      </c>
      <c r="AM61" s="130">
        <f>SUMIF($C$8:$C$49,"AP-8",$AY$8:$AY$49)</f>
        <v>0</v>
      </c>
      <c r="AN61" s="130">
        <f>SUMIF($C$8:$C$49,"AP-8",$BC$8:$BC$49)</f>
        <v>0</v>
      </c>
      <c r="AO61" s="130">
        <f t="array" ref="AO61">IF(B58="",SUMIF($C$8:$C$49,"AP-8",$BB$8:$BB$49),MAX(IF($C$8:$C$49="AP-8",$BB$8:$BB$49)))</f>
        <v>0</v>
      </c>
    </row>
    <row r="62" spans="1:55" x14ac:dyDescent="0.25">
      <c r="A62" s="6" t="s">
        <v>182</v>
      </c>
      <c r="X62" s="118" t="s">
        <v>267</v>
      </c>
      <c r="Z62" s="130">
        <f t="array" ref="Z62">IF(B59="",SUMIF($C$8:$C$49,"AP-9",$Z$8:$Z$49),MAX(IF($C$8:$C$49="AP-9",$Z$8:$Z$49)))</f>
        <v>0</v>
      </c>
      <c r="AA62" s="130">
        <f>SUMIF($C$8:$C$49,"AP-9",$AA$8:$AA$49)</f>
        <v>0</v>
      </c>
      <c r="AB62" s="130">
        <f>SUMIF($C$8:$C$49,"AP-9",$AE$8:$AE$49)</f>
        <v>0</v>
      </c>
      <c r="AC62" s="130">
        <f t="array" ref="AC62">IF(B59="",SUMIF($C$8:$C$49,"AP-9",$AD$8:$AD$49),MAX(IF($C$8:$C$49="AP-9",$AD$8:$AD$49)))</f>
        <v>0</v>
      </c>
      <c r="AD62" s="130">
        <f t="array" ref="AD62">IF(B59="",SUMIF($C$8:$C$49,"AP-9",$AH$8:$AH$49),MAX(IF($C$8:$C$49="AP-9",$AH$8:$AH$49)))</f>
        <v>0</v>
      </c>
      <c r="AE62" s="130">
        <f>SUMIF($C$8:$C$49,"AP-9",$AI$8:$AI$49)</f>
        <v>0</v>
      </c>
      <c r="AF62" s="130">
        <f>SUMIF($C$8:$C$49,"AP-9",$AM$8:$AM$49)</f>
        <v>0</v>
      </c>
      <c r="AG62" s="130">
        <f t="array" ref="AG62">IF(B59="",SUMIF($C$8:$C$49,"AP-9",$AL$8:$AL$49),MAX(IF($C$8:$C$49="AP-9",$AL$8:$AL$49)))</f>
        <v>0</v>
      </c>
      <c r="AH62" s="130">
        <f t="array" ref="AH62">IF(B59="",SUMIF($C$8:$C$49,"AP-9",$AP$8:$AP$49),MAX(IF($C$8:$C$49="AP-9",$AP$8:$AP$49)))</f>
        <v>0</v>
      </c>
      <c r="AI62" s="130">
        <f>SUMIF($C$8:$C$49,"AP-9",$AQ$8:$AQ$49)</f>
        <v>0</v>
      </c>
      <c r="AJ62" s="130">
        <f>SUMIF($C$8:$C$49,"AP-9",$AU$8:$AU$49)</f>
        <v>0</v>
      </c>
      <c r="AK62" s="130">
        <f t="array" ref="AK62">IF(B59="",SUMIF($C$8:$C$49,"AP-9",$AT$8:$AT$49),MAX(IF($C$8:$C$49="AP-9",$AT$8:$AT$49)))</f>
        <v>0</v>
      </c>
      <c r="AL62" s="130">
        <f t="array" ref="AL62">IF(B59="",SUMIF($C$8:$C$49,"AP-9",$AX$8:$AX$49),MAX(IF($C$8:$C$49="AP-9",$AX$8:$AX$49)))</f>
        <v>0</v>
      </c>
      <c r="AM62" s="130">
        <f>SUMIF($C$8:$C$49,"AP-9",$AY$8:$AY$49)</f>
        <v>0</v>
      </c>
      <c r="AN62" s="130">
        <f>SUMIF($C$8:$C$49,"AP-9",$BC$8:$BC$49)</f>
        <v>0</v>
      </c>
      <c r="AO62" s="130">
        <f t="array" ref="AO62">IF(B59="",SUMIF($C$8:$C$49,"AP-9",$BB$8:$BB$49),MAX(IF($C$8:$C$49="AP-9",$BB$8:$BB$49)))</f>
        <v>0</v>
      </c>
    </row>
    <row r="63" spans="1:55" x14ac:dyDescent="0.25">
      <c r="A63" s="6" t="s">
        <v>183</v>
      </c>
      <c r="X63" s="118" t="s">
        <v>268</v>
      </c>
      <c r="Z63" s="130">
        <f t="array" ref="Z63">IF(B60="",SUMIF($C$8:$C$49,"AP-10",$Z$8:$Z$49),MAX(IF($C$8:$C$49="AP-10",$Z$8:$Z$49)))</f>
        <v>0</v>
      </c>
      <c r="AA63" s="130">
        <f>SUMIF($C$8:$C$49,"AP-10",$AA$8:$AA$49)</f>
        <v>0</v>
      </c>
      <c r="AB63" s="130">
        <f>SUMIF($C$8:$C$49,"AP-10",$AE$8:$AE$49)</f>
        <v>0</v>
      </c>
      <c r="AC63" s="130">
        <f t="array" ref="AC63">IF(B60="",SUMIF($C$8:$C$49,"AP-10",$AD$8:$AD$49),MAX(IF($C$8:$C$49="AP-10",$AD$8:$AD$49)))</f>
        <v>0</v>
      </c>
      <c r="AD63" s="130">
        <f t="array" ref="AD63">IF(B60="",SUMIF($C$8:$C$49,"AP-10",$AH$8:$AH$49),MAX(IF($C$8:$C$49="AP-10",$AH$8:$AH$49)))</f>
        <v>0</v>
      </c>
      <c r="AE63" s="130">
        <f>SUMIF($C$8:$C$49,"AP-10",$AI$8:$AI$49)</f>
        <v>0</v>
      </c>
      <c r="AF63" s="130">
        <f>SUMIF($C$8:$C$49,"AP-10",$AM$8:$AM$49)</f>
        <v>0</v>
      </c>
      <c r="AG63" s="130">
        <f t="array" ref="AG63">IF(B60="",SUMIF($C$8:$C$49,"AP-10",$AL$8:$AL$49),MAX(IF($C$8:$C$49="AP-10",$AL$8:$AL$49)))</f>
        <v>0</v>
      </c>
      <c r="AH63" s="130">
        <f t="array" ref="AH63">IF(B60="",SUMIF($C$8:$C$49,"AP-10",$AP$8:$AP$49),MAX(IF($C$8:$C$49="AP-10",$AP$8:$AP$49)))</f>
        <v>0</v>
      </c>
      <c r="AI63" s="130">
        <f>SUMIF($C$8:$C$49,"AP-10",$AQ$8:$AQ$49)</f>
        <v>0</v>
      </c>
      <c r="AJ63" s="130">
        <f>SUMIF($C$8:$C$49,"AP-10",$AU$8:$AU$49)</f>
        <v>0</v>
      </c>
      <c r="AK63" s="130">
        <f t="array" ref="AK63">IF(B60="",SUMIF($C$8:$C$49,"AP-10",$AT$8:$AT$49),MAX(IF($C$8:$C$49="AP-10",$AT$8:$AT$49)))</f>
        <v>0</v>
      </c>
      <c r="AL63" s="130">
        <f t="array" ref="AL63">IF(B60="",SUMIF($C$8:$C$49,"AP-10",$AX$8:$AX$49),MAX(IF($C$8:$C$49="AP-10",$AX$8:$AX$49)))</f>
        <v>0</v>
      </c>
      <c r="AM63" s="130">
        <f>SUMIF($C$8:$C$49,"AP-10",$AY$8:$AY$49)</f>
        <v>0</v>
      </c>
      <c r="AN63" s="130">
        <f>SUMIF($C$8:$C$49,"AP-10",$BC$8:$BC$49)</f>
        <v>0</v>
      </c>
      <c r="AO63" s="130">
        <f t="array" ref="AO63">IF(B60="",SUMIF($C$8:$C$49,"AP-10",$BB$8:$BB$49),MAX(IF($C$8:$C$49="AP-10",$BB$8:$BB$49)))</f>
        <v>0</v>
      </c>
    </row>
    <row r="64" spans="1:55" ht="14.25" customHeight="1" x14ac:dyDescent="0.25">
      <c r="A64" s="6" t="s">
        <v>180</v>
      </c>
    </row>
    <row r="65" spans="1:41" ht="39.75" hidden="1" customHeight="1" x14ac:dyDescent="0.25">
      <c r="A65" s="6" t="s">
        <v>181</v>
      </c>
      <c r="Z65" s="6" t="s">
        <v>189</v>
      </c>
      <c r="AA65" s="6" t="s">
        <v>190</v>
      </c>
      <c r="AB65" s="6" t="s">
        <v>189</v>
      </c>
      <c r="AC65" s="6" t="s">
        <v>190</v>
      </c>
      <c r="AD65" s="6" t="s">
        <v>189</v>
      </c>
      <c r="AE65" s="6" t="s">
        <v>190</v>
      </c>
      <c r="AF65" s="6" t="s">
        <v>189</v>
      </c>
      <c r="AG65" s="6" t="s">
        <v>190</v>
      </c>
      <c r="AH65" s="6" t="s">
        <v>189</v>
      </c>
      <c r="AI65" s="6" t="s">
        <v>190</v>
      </c>
      <c r="AJ65" s="6" t="s">
        <v>189</v>
      </c>
      <c r="AK65" s="6" t="s">
        <v>190</v>
      </c>
      <c r="AL65" s="6" t="s">
        <v>189</v>
      </c>
      <c r="AM65" s="6" t="s">
        <v>190</v>
      </c>
      <c r="AN65" s="6" t="s">
        <v>189</v>
      </c>
      <c r="AO65" s="6" t="s">
        <v>190</v>
      </c>
    </row>
    <row r="66" spans="1:41" ht="16.5" hidden="1" customHeight="1" x14ac:dyDescent="0.25">
      <c r="Y66" s="143" t="s">
        <v>259</v>
      </c>
      <c r="Z66" s="141">
        <f t="array" ref="Z66">IF(B51="",SUMIFS($Z$8:$Z$49,$C$8:C49,"AP-1",$B$8:$B$49,"no"),MAX(IF($C$8:$C$49="AP-1",IF($B$8:$B$49="no",$Z$8:$Z$49))))</f>
        <v>0</v>
      </c>
      <c r="AA66" s="141">
        <f t="array" ref="AA66">IF(B51="",SUMIFS($Z$8:$Z$49,$C$8:D49,"AP-1",$B$8:$B$49,"yes"),MAX(IF($C$8:$C$49="AP-1",IF($B$8:$B$49="yes",$Z$8:$Z$49))))</f>
        <v>0</v>
      </c>
      <c r="AB66" s="141">
        <f t="array" ref="AB66">IF($B$51="",SUMIFS($AD$8:$AD$49,$C$8:E49,"AP-1",$B$8:$B$49,"no"),MAX(IF($C$8:$C$49="AP-1",IF($B$8:$B$49="no",$AD$8:$AD$49))))</f>
        <v>0</v>
      </c>
      <c r="AC66" s="141">
        <f t="array" ref="AC66">IF($B$51="",SUMIFS($AD$8:$AD$49,$C$8:E49,"AP-1",$B$8:$B$49,"yes"),MAX(IF($C$8:$C$49="AP-1",IF($B$8:$B$49="yes",$AD$8:$AD$49))))</f>
        <v>0</v>
      </c>
      <c r="AD66" s="141">
        <f t="array" ref="AD66">IF($B$51="",SUMIFS($AH$8:$AH$49,$C$8:E49,"AP-1",$B$8:$B$49,"no"),MAX(IF($C$8:$C$49="AP-1",IF($B$8:$B$49="no",$AH$8:$AH$49))))</f>
        <v>0</v>
      </c>
      <c r="AE66" s="141">
        <f t="array" ref="AE66">IF($B$51="",SUMIFS($AH$8:$AH$49,$C$8:G49,"AP-1",$B$8:$B$49,"yes"),MAX(IF($C$8:$C$49="AP-1",IF($B$8:$B$49="yes",$AH$8:$AH$49))))</f>
        <v>0</v>
      </c>
      <c r="AF66" s="141">
        <f t="array" ref="AF66">IF($B$51="",SUMIFS($AL$8:$AL$49,$C$8:E49,"AP-1",$B$8:$B$49,"no"),MAX(IF($C$8:$C$49="AP-1",IF($B$8:$B$49="no",$AL$8:$AL$49))))</f>
        <v>0</v>
      </c>
      <c r="AG66" s="141">
        <f t="array" ref="AG66">IF($B$51="",SUMIFS($AL$8:$AL$49,$C$8:I49,"AP-1",$B$8:$B$49,"yes"),MAX(IF($C$8:$C$49="AP-1",IF($B$8:$B$49="yes",$AL$8:$AL$49))))</f>
        <v>0</v>
      </c>
      <c r="AH66" s="141">
        <f t="array" ref="AH66">IF($B$51="",SUMIFS($AP$8:$AP$49,$C$8:E49,"AP-1",$B$8:$B$49,"no"),MAX(IF($C$8:$C$49="AP-1",IF($B$8:$B$49="no",$AP$8:$AP$49))))</f>
        <v>0</v>
      </c>
      <c r="AI66" s="141">
        <f t="array" ref="AI66">IF($B$51="",SUMIFS($AP$8:$AP$49,$C$8:K49,"AP-1",$B$8:$B$49,"yes"),MAX(IF($C$8:$C$49="AP-1",IF($B$8:$B$49="yes",$AP$8:$AP$49))))</f>
        <v>0</v>
      </c>
      <c r="AJ66" s="141">
        <f t="array" ref="AJ66">IF($B$51="",SUMIFS($AT$8:$AT$49,$C$8:E49,"AP-1",$B$8:$B$49,"no"),MAX(IF($C$8:$C$49="AP-1",IF($B$8:$B$49="no",$AT$8:$AT$49))))</f>
        <v>0</v>
      </c>
      <c r="AK66" s="141">
        <f t="array" ref="AK66">IF($B$51="",SUMIFS($AT$8:$AT$49,$C$8:M49,"AP-1",$B$8:$B$49,"yes"),MAX(IF($C$8:$C$49="AP-1",IF($B$8:$B$49="yes",$AT$8:$AT$49))))</f>
        <v>0</v>
      </c>
      <c r="AL66" s="141">
        <f t="array" ref="AL66">IF($B$51="",SUMIFS($AX$8:$AX$49,$C$8:E49,"AP-1",$B$8:$B$49,"no"),MAX(IF($C$8:$C$49="AP-1",IF($B$8:$B$49="no",$AX$8:$AX$49))))</f>
        <v>0</v>
      </c>
      <c r="AM66" s="141">
        <f t="array" ref="AM66">IF($B$51="",SUMIFS($AX$8:$AX$49,$C$8:O49,"AP-1",$B$8:$B$49,"yes"),MAX(IF($C$8:$C$49="AP-1",IF($B$8:$B$49="yes",$AX$8:$AX$49))))</f>
        <v>0</v>
      </c>
      <c r="AN66" s="141">
        <f t="array" ref="AN66">IF($B$51="",SUMIFS($BB$8:$BB$49,$C$8:E49,"AP-1",$B$8:$B$49,"no"),MAX(IF($C$8:$C$49="AP-1",IF($B$8:$B$49="no",$BB$8:$BB$49))))</f>
        <v>0</v>
      </c>
      <c r="AO66" s="141">
        <f t="array" ref="AO66">IF($B$51="",SUMIFS($BB$8:$BB$49,$C$8:Q49,"AP-1",$B$8:$B$49,"yes"),MAX(IF($C$8:$C$49="AP-1",IF($B$8:$B$49="yes",$BB$8:$BB$49))))</f>
        <v>0</v>
      </c>
    </row>
    <row r="67" spans="1:41" ht="15" hidden="1" customHeight="1" x14ac:dyDescent="0.25">
      <c r="Y67" s="143" t="s">
        <v>260</v>
      </c>
      <c r="Z67" s="141">
        <f t="array" ref="Z67">IF(B52="",SUMIFS($Z$8:$Z$49,$C$8:C50,"AP-2",$B$8:$B$49,"no"),MAX(IF($C$8:$C$49="AP-2",IF($B$8:$B$49="no",$Z$8:$Z$49))))</f>
        <v>0</v>
      </c>
      <c r="AA67" s="141">
        <f t="array" ref="AA67">IF(B52="",SUMIFS($Z$8:$Z$49,$C$8:D50,"AP-2",$B$8:$B$49,"yes"),MAX(IF($C$8:$C$49="AP-2",IF($B$8:$B$49="yes",$Z$8:$Z$49))))</f>
        <v>0</v>
      </c>
      <c r="AB67" s="141">
        <f t="array" ref="AB67">IF($B$51="",SUMIFS($AD$8:$AD$49,$C$8:E50,"AP-2",$B$8:$B$49,"no"),MAX(IF($C$8:$C$49="AP-2",IF($B$8:$B$49="no",$AD$8:$AD$49))))</f>
        <v>0</v>
      </c>
      <c r="AC67" s="141">
        <f t="array" ref="AC67">IF($B$51="",SUMIFS($AD$8:$AD$49,$C$8:E50,"AP-2",$B$8:$B$49,"yes"),MAX(IF($C$8:$C$49="AP-2",IF($B$8:$B$49="yes",$AD$8:$AD$49))))</f>
        <v>0</v>
      </c>
      <c r="AD67" s="141">
        <f t="array" ref="AD67">IF($B$51="",SUMIFS($AH$8:$AH$49,$C$8:E50,"AP-2",$B$8:$B$49,"no"),MAX(IF($C$8:$C$49="AP-2",IF($B$8:$B$49="no",$AH$8:$AH$49))))</f>
        <v>0</v>
      </c>
      <c r="AE67" s="141">
        <f t="array" ref="AE67">IF($B$51="",SUMIFS($AH$8:$AH$49,$C$8:G50,"AP-2",$B$8:$B$49,"yes"),MAX(IF($C$8:$C$49="AP-2",IF($B$8:$B$49="yes",$AH$8:$AH$49))))</f>
        <v>0</v>
      </c>
      <c r="AF67" s="141">
        <f t="array" ref="AF67">IF($B$51="",SUMIFS($AL$8:$AL$49,$C$8:E50,"AP-2",$B$8:$B$49,"no"),MAX(IF($C$8:$C$49="AP-2",IF($B$8:$B$49="no",$AL$8:$AL$49))))</f>
        <v>0</v>
      </c>
      <c r="AG67" s="141">
        <f t="array" ref="AG67">IF($B$51="",SUMIFS($AL$8:$AL$49,$C$8:I50,"AP-2",$B$8:$B$49,"yes"),MAX(IF($C$8:$C$49="AP-2",IF($B$8:$B$49="yes",$AL$8:$AL$49))))</f>
        <v>0</v>
      </c>
      <c r="AH67" s="141">
        <f t="array" ref="AH67">IF($B$51="",SUMIFS($AP$8:$AP$49,$C$8:E50,"AP-2",$B$8:$B$49,"no"),MAX(IF($C$8:$C$49="AP-2",IF($B$8:$B$49="no",$AP$8:$AP$49))))</f>
        <v>0</v>
      </c>
      <c r="AI67" s="141">
        <f t="array" ref="AI67">IF($B$51="",SUMIFS($AP$8:$AP$49,$C$8:K50,"AP-2",$B$8:$B$49,"yes"),MAX(IF($C$8:$C$49="AP-2",IF($B$8:$B$49="yes",$AP$8:$AP$49))))</f>
        <v>0</v>
      </c>
      <c r="AJ67" s="141">
        <f t="array" ref="AJ67">IF($B$51="",SUMIFS($AT$8:$AT$49,$C$8:E50,"AP-2",$B$8:$B$49,"no"),MAX(IF($C$8:$C$49="AP-2",IF($B$8:$B$49="no",$AT$8:$AT$49))))</f>
        <v>0</v>
      </c>
      <c r="AK67" s="141">
        <f t="array" ref="AK67">IF($B$51="",SUMIFS($AT$8:$AT$49,$C$8:M50,"AP-2",$B$8:$B$49,"yes"),MAX(IF($C$8:$C$49="AP-2",IF($B$8:$B$49="yes",$AT$8:$AT$49))))</f>
        <v>0</v>
      </c>
      <c r="AL67" s="141">
        <f t="array" ref="AL67">IF($B$51="",SUMIFS($AX$8:$AX$49,$C$8:E50,"AP-2",$B$8:$B$49,"no"),MAX(IF($C$8:$C$49="AP-2",IF($B$8:$B$49="no",$AX$8:$AX$49))))</f>
        <v>0</v>
      </c>
      <c r="AM67" s="141">
        <f t="array" ref="AM67">IF($B$51="",SUMIFS($AX$8:$AX$49,$C$8:O50,"AP-2",$B$8:$B$49,"yes"),MAX(IF($C$8:$C$49="AP-2",IF($B$8:$B$49="yes",$AX$8:$AX$49))))</f>
        <v>0</v>
      </c>
      <c r="AN67" s="141">
        <f t="array" ref="AN67">IF($B$51="",SUMIFS($BB$8:$BB$49,$C$8:E50,"AP-2",$B$8:$B$49,"no"),MAX(IF($C$8:$C$49="AP-2",IF($B$8:$B$49="no",$BB$8:$BB$49))))</f>
        <v>0</v>
      </c>
      <c r="AO67" s="141">
        <f t="array" ref="AO67">IF($B$51="",SUMIFS($BB$8:$BB$49,$C$8:Q50,"AP-2",$B$8:$B$49,"yes"),MAX(IF($C$8:$C$49="AP-2",IF($B$8:$B$49="yes",$BB$8:$BB$49))))</f>
        <v>0</v>
      </c>
    </row>
    <row r="68" spans="1:41" ht="18.75" hidden="1" customHeight="1" x14ac:dyDescent="0.25">
      <c r="Y68" s="143" t="s">
        <v>261</v>
      </c>
      <c r="Z68" s="141">
        <f t="array" ref="Z68">IF(B53="",SUMIFS($Z$8:$Z$49,$C$8:C51,"AP-3",$B$8:$B$49,"no"),MAX(IF($C$8:$C$49="AP-3",IF($B$8:$B$49="no",$Z$8:$Z$49))))</f>
        <v>0</v>
      </c>
      <c r="AA68" s="141">
        <f t="array" ref="AA68">IF(B53="",SUMIFS($Z$8:$Z$49,$C$8:D51,"AP-3",$B$8:$B$49,"yes"),MAX(IF($C$8:$C$49="AP-3",IF($B$8:$B$49="yes",$Z$8:$Z$49))))</f>
        <v>0</v>
      </c>
      <c r="AB68" s="141">
        <f t="array" ref="AB68">IF($B$51="",SUMIFS($AD$8:$AD$49,$C$8:E51,"AP-3",$B$8:$B$49,"no"),MAX(IF($C$8:$C$49="AP-3",IF($B$8:$B$49="no",$AD$8:$AD$49))))</f>
        <v>0</v>
      </c>
      <c r="AC68" s="141">
        <f t="array" ref="AC68">IF($B$51="",SUMIFS($AD$8:$AD$49,$C$8:E51,"AP-3",$B$8:$B$49,"yes"),MAX(IF($C$8:$C$49="AP-3",IF($B$8:$B$49="yes",$AD$8:$AD$49))))</f>
        <v>0</v>
      </c>
      <c r="AD68" s="141">
        <f t="array" ref="AD68">IF($B$51="",SUMIFS($AH$8:$AH$49,$C$8:E51,"AP-3",$B$8:$B$49,"no"),MAX(IF($C$8:$C$49="AP-3",IF($B$8:$B$49="no",$AH$8:$AH$49))))</f>
        <v>0</v>
      </c>
      <c r="AE68" s="141">
        <f t="array" ref="AE68">IF($B$51="",SUMIFS($AH$8:$AH$49,$C$8:G51,"AP-3",$B$8:$B$49,"yes"),MAX(IF($C$8:$C$49="AP-3",IF($B$8:$B$49="yes",$AH$8:$AH$49))))</f>
        <v>0</v>
      </c>
      <c r="AF68" s="141">
        <f t="array" ref="AF68">IF($B$51="",SUMIFS($AL$8:$AL$49,$C$8:E51,"AP-3",$B$8:$B$49,"no"),MAX(IF($C$8:$C$49="AP-3",IF($B$8:$B$49="no",$AL$8:$AL$49))))</f>
        <v>0</v>
      </c>
      <c r="AG68" s="141">
        <f t="array" ref="AG68">IF($B$51="",SUMIFS($AL$8:$AL$49,$C$8:I51,"AP-3",$B$8:$B$49,"yes"),MAX(IF($C$8:$C$49="AP-3",IF($B$8:$B$49="yes",$AL$8:$AL$49))))</f>
        <v>0</v>
      </c>
      <c r="AH68" s="141">
        <f t="array" ref="AH68">IF($B$51="",SUMIFS($AP$8:$AP$49,$C$8:E51,"AP-3",$B$8:$B$49,"no"),MAX(IF($C$8:$C$49="AP-3",IF($B$8:$B$49="no",$AP$8:$AP$49))))</f>
        <v>0</v>
      </c>
      <c r="AI68" s="141">
        <f t="array" ref="AI68">IF($B$51="",SUMIFS($AP$8:$AP$49,$C$8:K51,"AP-3",$B$8:$B$49,"yes"),MAX(IF($C$8:$C$49="AP-3",IF($B$8:$B$49="yes",$AP$8:$AP$49))))</f>
        <v>0</v>
      </c>
      <c r="AJ68" s="141">
        <f t="array" ref="AJ68">IF($B$51="",SUMIFS($AT$8:$AT$49,$C$8:E51,"AP-3",$B$8:$B$49,"no"),MAX(IF($C$8:$C$49="AP-3",IF($B$8:$B$49="no",$AT$8:$AT$49))))</f>
        <v>0</v>
      </c>
      <c r="AK68" s="141">
        <f t="array" ref="AK68">IF($B$51="",SUMIFS($AT$8:$AT$49,$C$8:M51,"AP-3",$B$8:$B$49,"yes"),MAX(IF($C$8:$C$49="AP-3",IF($B$8:$B$49="yes",$AT$8:$AT$49))))</f>
        <v>0</v>
      </c>
      <c r="AL68" s="141">
        <f t="array" ref="AL68">IF($B$51="",SUMIFS($AX$8:$AX$49,$C$8:E51,"AP-3",$B$8:$B$49,"no"),MAX(IF($C$8:$C$49="AP-3",IF($B$8:$B$49="no",$AX$8:$AX$49))))</f>
        <v>0</v>
      </c>
      <c r="AM68" s="141">
        <f t="array" ref="AM68">IF($B$51="",SUMIFS($AX$8:$AX$49,$C$8:O51,"AP-3",$B$8:$B$49,"yes"),MAX(IF($C$8:$C$49="AP-3",IF($B$8:$B$49="yes",$AX$8:$AX$49))))</f>
        <v>0</v>
      </c>
      <c r="AN68" s="141">
        <f t="array" ref="AN68">IF($B$51="",SUMIFS($BB$8:$BB$49,$C$8:E51,"AP-3",$B$8:$B$49,"no"),MAX(IF($C$8:$C$49="AP-3",IF($B$8:$B$49="no",$BB$8:$BB$49))))</f>
        <v>0</v>
      </c>
      <c r="AO68" s="141">
        <f t="array" ref="AO68">IF($B$51="",SUMIFS($BB$8:$BB$49,$C$8:Q51,"AP-3",$B$8:$B$49,"yes"),MAX(IF($C$8:$C$49="AP-3",IF($B$8:$B$49="yes",$BB$8:$BB$49))))</f>
        <v>0</v>
      </c>
    </row>
    <row r="69" spans="1:41" ht="20.25" hidden="1" customHeight="1" x14ac:dyDescent="0.25">
      <c r="Y69" s="143" t="s">
        <v>262</v>
      </c>
      <c r="Z69" s="141">
        <f t="array" ref="Z69">IF(B54="",SUMIFS($Z$8:$Z$49,$C$8:C52,"AP-4",$B$8:$B$49,"no"),MAX(IF($C$8:$C$49="AP-4",IF($B$8:$B$49="no",$Z$8:$Z$49))))</f>
        <v>0</v>
      </c>
      <c r="AA69" s="141">
        <f t="array" ref="AA69">IF(B54="",SUMIFS($Z$8:$Z$49,$C$8:D52,"AP-4",$B$8:$B$49,"yes"),MAX(IF($C$8:$C$49="AP-4",IF($B$8:$B$49="yes",$Z$8:$Z$49))))</f>
        <v>0</v>
      </c>
      <c r="AB69" s="141">
        <f t="array" ref="AB69">IF($B$51="",SUMIFS($AD$8:$AD$49,$C$8:E52,"AP-4",$B$8:$B$49,"no"),MAX(IF($C$8:$C$49="AP-4",IF($B$8:$B$49="no",$AD$8:$AD$49))))</f>
        <v>0</v>
      </c>
      <c r="AC69" s="141">
        <f t="array" ref="AC69">IF($B$51="",SUMIFS($AD$8:$AD$49,$C$8:E52,"AP-4",$B$8:$B$49,"yes"),MAX(IF($C$8:$C$49="AP-4",IF($B$8:$B$49="yes",$AD$8:$AD$49))))</f>
        <v>0</v>
      </c>
      <c r="AD69" s="141">
        <f t="array" ref="AD69">IF($B$51="",SUMIFS($AH$8:$AH$49,$C$8:E52,"AP-4",$B$8:$B$49,"no"),MAX(IF($C$8:$C$49="AP-4",IF($B$8:$B$49="no",$AH$8:$AH$49))))</f>
        <v>0</v>
      </c>
      <c r="AE69" s="141">
        <f t="array" ref="AE69">IF($B$51="",SUMIFS($AH$8:$AH$49,$C$8:G52,"AP-4",$B$8:$B$49,"yes"),MAX(IF($C$8:$C$49="AP-4",IF($B$8:$B$49="yes",$AH$8:$AH$49))))</f>
        <v>0</v>
      </c>
      <c r="AF69" s="141">
        <f t="array" ref="AF69">IF($B$51="",SUMIFS($AL$8:$AL$49,$C$8:E52,"AP-4",$B$8:$B$49,"no"),MAX(IF($C$8:$C$49="AP-4",IF($B$8:$B$49="no",$AL$8:$AL$49))))</f>
        <v>0</v>
      </c>
      <c r="AG69" s="141">
        <f t="array" ref="AG69">IF($B$51="",SUMIFS($AL$8:$AL$49,$C$8:I52,"AP-4",$B$8:$B$49,"yes"),MAX(IF($C$8:$C$49="AP-4",IF($B$8:$B$49="yes",$AL$8:$AL$49))))</f>
        <v>0</v>
      </c>
      <c r="AH69" s="141">
        <f t="array" ref="AH69">IF($B$51="",SUMIFS($AP$8:$AP$49,$C$8:E52,"AP-4",$B$8:$B$49,"no"),MAX(IF($C$8:$C$49="AP-4",IF($B$8:$B$49="no",$AP$8:$AP$49))))</f>
        <v>0</v>
      </c>
      <c r="AI69" s="141">
        <f t="array" ref="AI69">IF($B$51="",SUMIFS($AP$8:$AP$49,$C$8:K52,"AP-4",$B$8:$B$49,"yes"),MAX(IF($C$8:$C$49="AP-4",IF($B$8:$B$49="yes",$AP$8:$AP$49))))</f>
        <v>0</v>
      </c>
      <c r="AJ69" s="141">
        <f t="array" ref="AJ69">IF($B$51="",SUMIFS($AT$8:$AT$49,$C$8:E52,"AP-4",$B$8:$B$49,"no"),MAX(IF($C$8:$C$49="AP-4",IF($B$8:$B$49="no",$AT$8:$AT$49))))</f>
        <v>0</v>
      </c>
      <c r="AK69" s="141">
        <f t="array" ref="AK69">IF($B$51="",SUMIFS($AT$8:$AT$49,$C$8:M52,"AP-4",$B$8:$B$49,"yes"),MAX(IF($C$8:$C$49="AP-4",IF($B$8:$B$49="yes",$AT$8:$AT$49))))</f>
        <v>0</v>
      </c>
      <c r="AL69" s="141">
        <f t="array" ref="AL69">IF($B$51="",SUMIFS($AX$8:$AX$49,$C$8:E52,"AP-4",$B$8:$B$49,"no"),MAX(IF($C$8:$C$49="AP-4",IF($B$8:$B$49="no",$AX$8:$AX$49))))</f>
        <v>0</v>
      </c>
      <c r="AM69" s="141">
        <f t="array" ref="AM69">IF($B$51="",SUMIFS($AX$8:$AX$49,$C$8:O52,"AP-4",$B$8:$B$49,"yes"),MAX(IF($C$8:$C$49="AP-4",IF($B$8:$B$49="yes",$AX$8:$AX$49))))</f>
        <v>0</v>
      </c>
      <c r="AN69" s="141">
        <f t="array" ref="AN69">IF($B$51="",SUMIFS($BB$8:$BB$49,$C$8:E52,"AP-4",$B$8:$B$49,"no"),MAX(IF($C$8:$C$49="AP-4",IF($B$8:$B$49="no",$BB$8:$BB$49))))</f>
        <v>0</v>
      </c>
      <c r="AO69" s="141">
        <f t="array" ref="AO69">IF($B$51="",SUMIFS($BB$8:$BB$49,$C$8:Q52,"AP-4",$B$8:$B$49,"yes"),MAX(IF($C$8:$C$49="AP-4",IF($B$8:$B$49="yes",$BB$8:$BB$49))))</f>
        <v>0</v>
      </c>
    </row>
    <row r="70" spans="1:41" ht="19.5" hidden="1" customHeight="1" x14ac:dyDescent="0.25">
      <c r="Y70" s="143" t="s">
        <v>263</v>
      </c>
      <c r="Z70" s="141">
        <f t="array" ref="Z70">IF(B55="",SUMIFS($Z$8:$Z$49,$C$8:C53,"AP-5",$B$8:$B$49,"no"),MAX(IF($C$8:$C$49="AP-5",IF($B$8:$B$49="no",$Z$8:$Z$49))))</f>
        <v>0</v>
      </c>
      <c r="AA70" s="141">
        <f t="array" ref="AA70">IF(B55="",SUMIFS($Z$8:$Z$49,$C$8:D53,"AP-5",$B$8:$B$49,"yes"),MAX(IF($C$8:$C$49="AP-5",IF($B$8:$B$49="yes",$Z$8:$Z$49))))</f>
        <v>0</v>
      </c>
      <c r="AB70" s="141">
        <f t="array" ref="AB70">IF($B$51="",SUMIFS($AD$8:$AD$49,$C$8:E53,"AP-5",$B$8:$B$49,"no"),MAX(IF($C$8:$C$49="AP-5",IF($B$8:$B$49="no",$AD$8:$AD$49))))</f>
        <v>0</v>
      </c>
      <c r="AC70" s="141">
        <f t="array" ref="AC70">IF($B$51="",SUMIFS($AD$8:$AD$49,$C$8:E53,"AP-5",$B$8:$B$49,"yes"),MAX(IF($C$8:$C$49="AP-5",IF($B$8:$B$49="yes",$AD$8:$AD$49))))</f>
        <v>0</v>
      </c>
      <c r="AD70" s="141">
        <f t="array" ref="AD70">IF($B$51="",SUMIFS($AH$8:$AH$49,$C$8:E53,"AP-5",$B$8:$B$49,"no"),MAX(IF($C$8:$C$49="AP-5",IF($B$8:$B$49="no",$AH$8:$AH$49))))</f>
        <v>0</v>
      </c>
      <c r="AE70" s="141">
        <f t="array" ref="AE70">IF($B$51="",SUMIFS($AH$8:$AH$49,$C$8:G53,"AP-5",$B$8:$B$49,"yes"),MAX(IF($C$8:$C$49="AP-5",IF($B$8:$B$49="yes",$AH$8:$AH$49))))</f>
        <v>0</v>
      </c>
      <c r="AF70" s="141">
        <f t="array" ref="AF70">IF($B$51="",SUMIFS($AL$8:$AL$49,$C$8:E53,"AP-5",$B$8:$B$49,"no"),MAX(IF($C$8:$C$49="AP-5",IF($B$8:$B$49="no",$AL$8:$AL$49))))</f>
        <v>0</v>
      </c>
      <c r="AG70" s="141">
        <f t="array" ref="AG70">IF($B$51="",SUMIFS($AL$8:$AL$49,$C$8:I53,"AP-5",$B$8:$B$49,"yes"),MAX(IF($C$8:$C$49="AP-5",IF($B$8:$B$49="yes",$AL$8:$AL$49))))</f>
        <v>0</v>
      </c>
      <c r="AH70" s="141">
        <f t="array" ref="AH70">IF($B$51="",SUMIFS($AP$8:$AP$49,$C$8:E53,"AP-5",$B$8:$B$49,"no"),MAX(IF($C$8:$C$49="AP-5",IF($B$8:$B$49="no",$AP$8:$AP$49))))</f>
        <v>0</v>
      </c>
      <c r="AI70" s="141">
        <f t="array" ref="AI70">IF($B$51="",SUMIFS($AP$8:$AP$49,$C$8:K53,"AP-5",$B$8:$B$49,"yes"),MAX(IF($C$8:$C$49="AP-5",IF($B$8:$B$49="yes",$AP$8:$AP$49))))</f>
        <v>0</v>
      </c>
      <c r="AJ70" s="141">
        <f t="array" ref="AJ70">IF($B$51="",SUMIFS($AT$8:$AT$49,$C$8:E53,"AP-5",$B$8:$B$49,"no"),MAX(IF($C$8:$C$49="AP-5",IF($B$8:$B$49="no",$AT$8:$AT$49))))</f>
        <v>0</v>
      </c>
      <c r="AK70" s="141">
        <f t="array" ref="AK70">IF($B$51="",SUMIFS($AT$8:$AT$49,$C$8:M53,"AP-5",$B$8:$B$49,"yes"),MAX(IF($C$8:$C$49="AP-5",IF($B$8:$B$49="yes",$AT$8:$AT$49))))</f>
        <v>0</v>
      </c>
      <c r="AL70" s="141">
        <f t="array" ref="AL70">IF($B$51="",SUMIFS($AX$8:$AX$49,$C$8:E53,"AP-5",$B$8:$B$49,"no"),MAX(IF($C$8:$C$49="AP-5",IF($B$8:$B$49="no",$AX$8:$AX$49))))</f>
        <v>0</v>
      </c>
      <c r="AM70" s="141">
        <f t="array" ref="AM70">IF($B$51="",SUMIFS($AX$8:$AX$49,$C$8:O53,"AP-5",$B$8:$B$49,"yes"),MAX(IF($C$8:$C$49="AP-5",IF($B$8:$B$49="yes",$AX$8:$AX$49))))</f>
        <v>0</v>
      </c>
      <c r="AN70" s="141">
        <f t="array" ref="AN70">IF($B$51="",SUMIFS($BB$8:$BB$49,$C$8:E53,"AP-5",$B$8:$B$49,"no"),MAX(IF($C$8:$C$49="AP-5",IF($B$8:$B$49="no",$BB$8:$BB$49))))</f>
        <v>0</v>
      </c>
      <c r="AO70" s="141">
        <f t="array" ref="AO70">IF($B$51="",SUMIFS($BB$8:$BB$49,$C$8:Q53,"AP-5",$B$8:$B$49,"yes"),MAX(IF($C$8:$C$49="AP-5",IF($B$8:$B$49="yes",$BB$8:$BB$49))))</f>
        <v>0</v>
      </c>
    </row>
    <row r="71" spans="1:41" ht="20.25" hidden="1" customHeight="1" x14ac:dyDescent="0.25">
      <c r="Y71" s="143" t="s">
        <v>264</v>
      </c>
      <c r="Z71" s="141">
        <f t="array" ref="Z71">IF(B56="",SUMIFS($Z$8:$Z$49,$C$8:C54,"AP-6",$B$8:$B$49,"no"),MAX(IF($C$8:$C$49="AP-6",IF($B$8:$B$49="no",$Z$8:$Z$49))))</f>
        <v>0</v>
      </c>
      <c r="AA71" s="141">
        <f t="array" ref="AA71">IF(B56="",SUMIFS($Z$8:$Z$49,$C$8:D54,"AP-6",$B$8:$B$49,"yes"),MAX(IF($C$8:$C$49="AP-6",IF($B$8:$B$49="yes",$Z$8:$Z$49))))</f>
        <v>0</v>
      </c>
      <c r="AB71" s="141">
        <f t="array" ref="AB71">IF($B$51="",SUMIFS($AD$8:$AD$49,$C$8:E54,"AP-6",$B$8:$B$49,"no"),MAX(IF($C$8:$C$49="AP-6",IF($B$8:$B$49="no",$AD$8:$AD$49))))</f>
        <v>0</v>
      </c>
      <c r="AC71" s="141">
        <f t="array" ref="AC71">IF($B$51="",SUMIFS($AD$8:$AD$49,$C$8:E54,"AP-6",$B$8:$B$49,"yes"),MAX(IF($C$8:$C$49="AP-6",IF($B$8:$B$49="yes",$AD$8:$AD$49))))</f>
        <v>0</v>
      </c>
      <c r="AD71" s="141">
        <f t="array" ref="AD71">IF($B$51="",SUMIFS($AH$8:$AH$49,$C$8:E54,"AP-6",$B$8:$B$49,"no"),MAX(IF($C$8:$C$49="AP-6",IF($B$8:$B$49="no",$AH$8:$AH$49))))</f>
        <v>0</v>
      </c>
      <c r="AE71" s="141">
        <f t="array" ref="AE71">IF($B$51="",SUMIFS($AH$8:$AH$49,$C$8:G54,"AP-6",$B$8:$B$49,"yes"),MAX(IF($C$8:$C$49="AP-6",IF($B$8:$B$49="yes",$AH$8:$AH$49))))</f>
        <v>0</v>
      </c>
      <c r="AF71" s="141">
        <f t="array" ref="AF71">IF($B$51="",SUMIFS($AL$8:$AL$49,$C$8:E54,"AP-6",$B$8:$B$49,"no"),MAX(IF($C$8:$C$49="AP-6",IF($B$8:$B$49="no",$AL$8:$AL$49))))</f>
        <v>0</v>
      </c>
      <c r="AG71" s="141">
        <f t="array" ref="AG71">IF($B$51="",SUMIFS($AL$8:$AL$49,$C$8:I54,"AP-6",$B$8:$B$49,"yes"),MAX(IF($C$8:$C$49="AP-6",IF($B$8:$B$49="yes",$AL$8:$AL$49))))</f>
        <v>0</v>
      </c>
      <c r="AH71" s="141">
        <f t="array" ref="AH71">IF($B$51="",SUMIFS($AP$8:$AP$49,$C$8:E54,"AP-6",$B$8:$B$49,"no"),MAX(IF($C$8:$C$49="AP-6",IF($B$8:$B$49="no",$AP$8:$AP$49))))</f>
        <v>0</v>
      </c>
      <c r="AI71" s="141">
        <f t="array" ref="AI71">IF($B$51="",SUMIFS($AP$8:$AP$49,$C$8:K54,"AP-6",$B$8:$B$49,"yes"),MAX(IF($C$8:$C$49="AP-6",IF($B$8:$B$49="yes",$AP$8:$AP$49))))</f>
        <v>0</v>
      </c>
      <c r="AJ71" s="141">
        <f t="array" ref="AJ71">IF($B$51="",SUMIFS($AT$8:$AT$49,$C$8:E54,"AP-6",$B$8:$B$49,"no"),MAX(IF($C$8:$C$49="AP-6",IF($B$8:$B$49="no",$AT$8:$AT$49))))</f>
        <v>0</v>
      </c>
      <c r="AK71" s="141">
        <f t="array" ref="AK71">IF($B$51="",SUMIFS($AT$8:$AT$49,$C$8:M54,"AP-6",$B$8:$B$49,"yes"),MAX(IF($C$8:$C$49="AP-6",IF($B$8:$B$49="yes",$AT$8:$AT$49))))</f>
        <v>0</v>
      </c>
      <c r="AL71" s="141">
        <f t="array" ref="AL71">IF($B$51="",SUMIFS($AX$8:$AX$49,$C$8:E54,"AP-6",$B$8:$B$49,"no"),MAX(IF($C$8:$C$49="AP-6",IF($B$8:$B$49="no",$AX$8:$AX$49))))</f>
        <v>0</v>
      </c>
      <c r="AM71" s="141">
        <f t="array" ref="AM71">IF($B$51="",SUMIFS($AX$8:$AX$49,$C$8:O54,"AP-6",$B$8:$B$49,"yes"),MAX(IF($C$8:$C$49="AP-6",IF($B$8:$B$49="yes",$AX$8:$AX$49))))</f>
        <v>0</v>
      </c>
      <c r="AN71" s="141">
        <f t="array" ref="AN71">IF($B$51="",SUMIFS($BB$8:$BB$49,$C$8:E54,"AP-6",$B$8:$B$49,"no"),MAX(IF($C$8:$C$49="AP-6",IF($B$8:$B$49="no",$BB$8:$BB$49))))</f>
        <v>0</v>
      </c>
      <c r="AO71" s="141">
        <f t="array" ref="AO71">IF($B$51="",SUMIFS($BB$8:$BB$49,$C$8:Q54,"AP-6",$B$8:$B$49,"yes"),MAX(IF($C$8:$C$49="AP-6",IF($B$8:$B$49="yes",$BB$8:$BB$49))))</f>
        <v>0</v>
      </c>
    </row>
    <row r="72" spans="1:41" ht="21" hidden="1" customHeight="1" x14ac:dyDescent="0.25">
      <c r="Y72" s="143" t="s">
        <v>265</v>
      </c>
      <c r="Z72" s="141">
        <f t="array" ref="Z72">IF(B57="",SUMIFS($Z$8:$Z$49,$C$8:C55,"AP-7",$B$8:$B$49,"no"),MAX(IF($C$8:$C$49="AP-7",IF($B$8:$B$49="no",$Z$8:$Z$49))))</f>
        <v>0</v>
      </c>
      <c r="AA72" s="141">
        <f t="array" ref="AA72">IF(B57="",SUMIFS($Z$8:$Z$49,$C$8:D55,"AP-7",$B$8:$B$49,"yes"),MAX(IF($C$8:$C$49="AP-7",IF($B$8:$B$49="yes",$Z$8:$Z$49))))</f>
        <v>0</v>
      </c>
      <c r="AB72" s="141">
        <f t="array" ref="AB72">IF($B$51="",SUMIFS($AD$8:$AD$49,$C$8:E55,"AP-7",$B$8:$B$49,"no"),MAX(IF($C$8:$C$49="AP-7",IF($B$8:$B$49="no",$AD$8:$AD$49))))</f>
        <v>0</v>
      </c>
      <c r="AC72" s="141">
        <f t="array" ref="AC72">IF($B$51="",SUMIFS($AD$8:$AD$49,$C$8:E55,"AP-7",$B$8:$B$49,"yes"),MAX(IF($C$8:$C$49="AP-7",IF($B$8:$B$49="yes",$AD$8:$AD$49))))</f>
        <v>0</v>
      </c>
      <c r="AD72" s="141">
        <f t="array" ref="AD72">IF($B$51="",SUMIFS($AH$8:$AH$49,$C$8:E55,"AP-7",$B$8:$B$49,"no"),MAX(IF($C$8:$C$49="AP-7",IF($B$8:$B$49="no",$AH$8:$AH$49))))</f>
        <v>0</v>
      </c>
      <c r="AE72" s="141">
        <f t="array" ref="AE72">IF($B$51="",SUMIFS($AH$8:$AH$49,$C$8:G55,"AP-7",$B$8:$B$49,"yes"),MAX(IF($C$8:$C$49="AP-7",IF($B$8:$B$49="yes",$AH$8:$AH$49))))</f>
        <v>0</v>
      </c>
      <c r="AF72" s="141">
        <f t="array" ref="AF72">IF($B$51="",SUMIFS($AL$8:$AL$49,$C$8:E55,"AP-7",$B$8:$B$49,"no"),MAX(IF($C$8:$C$49="AP-7",IF($B$8:$B$49="no",$AL$8:$AL$49))))</f>
        <v>0</v>
      </c>
      <c r="AG72" s="141">
        <f t="array" ref="AG72">IF($B$51="",SUMIFS($AL$8:$AL$49,$C$8:I55,"AP-7",$B$8:$B$49,"yes"),MAX(IF($C$8:$C$49="AP-7",IF($B$8:$B$49="yes",$AL$8:$AL$49))))</f>
        <v>0</v>
      </c>
      <c r="AH72" s="141">
        <f t="array" ref="AH72">IF($B$51="",SUMIFS($AP$8:$AP$49,$C$8:E55,"AP-7",$B$8:$B$49,"no"),MAX(IF($C$8:$C$49="AP-7",IF($B$8:$B$49="no",$AP$8:$AP$49))))</f>
        <v>0</v>
      </c>
      <c r="AI72" s="141">
        <f t="array" ref="AI72">IF($B$51="",SUMIFS($AP$8:$AP$49,$C$8:K55,"AP-7",$B$8:$B$49,"yes"),MAX(IF($C$8:$C$49="AP-7",IF($B$8:$B$49="yes",$AP$8:$AP$49))))</f>
        <v>0</v>
      </c>
      <c r="AJ72" s="141">
        <f t="array" ref="AJ72">IF($B$51="",SUMIFS($AT$8:$AT$49,$C$8:E55,"AP-7",$B$8:$B$49,"no"),MAX(IF($C$8:$C$49="AP-7",IF($B$8:$B$49="no",$AT$8:$AT$49))))</f>
        <v>0</v>
      </c>
      <c r="AK72" s="141">
        <f t="array" ref="AK72">IF($B$51="",SUMIFS($AT$8:$AT$49,$C$8:M55,"AP-7",$B$8:$B$49,"yes"),MAX(IF($C$8:$C$49="AP-7",IF($B$8:$B$49="yes",$AT$8:$AT$49))))</f>
        <v>0</v>
      </c>
      <c r="AL72" s="141">
        <f t="array" ref="AL72">IF($B$51="",SUMIFS($AX$8:$AX$49,$C$8:E55,"AP-7",$B$8:$B$49,"no"),MAX(IF($C$8:$C$49="AP-7",IF($B$8:$B$49="no",$AX$8:$AX$49))))</f>
        <v>0</v>
      </c>
      <c r="AM72" s="141">
        <f t="array" ref="AM72">IF($B$51="",SUMIFS($AX$8:$AX$49,$C$8:O55,"AP-7",$B$8:$B$49,"yes"),MAX(IF($C$8:$C$49="AP-7",IF($B$8:$B$49="yes",$AX$8:$AX$49))))</f>
        <v>0</v>
      </c>
      <c r="AN72" s="141">
        <f t="array" ref="AN72">IF($B$51="",SUMIFS($BB$8:$BB$49,$C$8:E55,"AP-7",$B$8:$B$49,"no"),MAX(IF($C$8:$C$49="AP-7",IF($B$8:$B$49="no",$BB$8:$BB$49))))</f>
        <v>0</v>
      </c>
      <c r="AO72" s="141">
        <f t="array" ref="AO72">IF($B$51="",SUMIFS($BB$8:$BB$49,$C$8:Q55,"AP-7",$B$8:$B$49,"yes"),MAX(IF($C$8:$C$49="AP-7",IF($B$8:$B$49="yes",$BB$8:$BB$49))))</f>
        <v>0</v>
      </c>
    </row>
    <row r="73" spans="1:41" ht="14.25" hidden="1" customHeight="1" x14ac:dyDescent="0.25">
      <c r="Y73" s="143" t="s">
        <v>266</v>
      </c>
      <c r="Z73" s="141">
        <f t="array" ref="Z73">IF(B58="",SUMIFS($Z$8:$Z$49,$C$8:C56,"AP-8",$B$8:$B$49,"no"),MAX(IF($C$8:$C$49="AP-8",IF($B$8:$B$49="no",$Z$8:$Z$49))))</f>
        <v>0</v>
      </c>
      <c r="AA73" s="141">
        <f t="array" ref="AA73">IF(B58="",SUMIFS($Z$8:$Z$49,$C$8:D56,"AP-8",$B$8:$B$49,"yes"),MAX(IF($C$8:$C$49="AP-8",IF($B$8:$B$49="yes",$Z$8:$Z$49))))</f>
        <v>0</v>
      </c>
      <c r="AB73" s="141">
        <f t="array" ref="AB73">IF($B$51="",SUMIFS($AD$8:$AD$49,$C$8:E56,"AP-8",$B$8:$B$49,"no"),MAX(IF($C$8:$C$49="AP-8",IF($B$8:$B$49="no",$AD$8:$AD$49))))</f>
        <v>0</v>
      </c>
      <c r="AC73" s="141">
        <f t="array" ref="AC73">IF($B$51="",SUMIFS($AD$8:$AD$49,$C$8:E56,"AP-8",$B$8:$B$49,"yes"),MAX(IF($C$8:$C$49="AP-8",IF($B$8:$B$49="yes",$AD$8:$AD$49))))</f>
        <v>0</v>
      </c>
      <c r="AD73" s="141">
        <f t="array" ref="AD73">IF($B$51="",SUMIFS($AH$8:$AH$49,$C$8:E56,"AP-8",$B$8:$B$49,"no"),MAX(IF($C$8:$C$49="AP-8",IF($B$8:$B$49="no",$AH$8:$AH$49))))</f>
        <v>0</v>
      </c>
      <c r="AE73" s="141">
        <f t="array" ref="AE73">IF($B$51="",SUMIFS($AH$8:$AH$49,$C$8:G56,"AP-8",$B$8:$B$49,"yes"),MAX(IF($C$8:$C$49="AP-8",IF($B$8:$B$49="yes",$AH$8:$AH$49))))</f>
        <v>0</v>
      </c>
      <c r="AF73" s="141">
        <f t="array" ref="AF73">IF($B$51="",SUMIFS($AL$8:$AL$49,$C$8:E56,"AP-8",$B$8:$B$49,"no"),MAX(IF($C$8:$C$49="AP-8",IF($B$8:$B$49="no",$AL$8:$AL$49))))</f>
        <v>0</v>
      </c>
      <c r="AG73" s="141">
        <f t="array" ref="AG73">IF($B$51="",SUMIFS($AL$8:$AL$49,$C$8:I56,"AP-8",$B$8:$B$49,"yes"),MAX(IF($C$8:$C$49="AP-8",IF($B$8:$B$49="yes",$AL$8:$AL$49))))</f>
        <v>0</v>
      </c>
      <c r="AH73" s="141">
        <f t="array" ref="AH73">IF($B$51="",SUMIFS($AP$8:$AP$49,$C$8:E56,"AP-8",$B$8:$B$49,"no"),MAX(IF($C$8:$C$49="AP-8",IF($B$8:$B$49="no",$AP$8:$AP$49))))</f>
        <v>0</v>
      </c>
      <c r="AI73" s="141">
        <f t="array" ref="AI73">IF($B$51="",SUMIFS($AP$8:$AP$49,$C$8:K56,"AP-8",$B$8:$B$49,"yes"),MAX(IF($C$8:$C$49="AP-8",IF($B$8:$B$49="yes",$AP$8:$AP$49))))</f>
        <v>0</v>
      </c>
      <c r="AJ73" s="141">
        <f t="array" ref="AJ73">IF($B$51="",SUMIFS($AT$8:$AT$49,$C$8:E56,"AP-8",$B$8:$B$49,"no"),MAX(IF($C$8:$C$49="AP-8",IF($B$8:$B$49="no",$AT$8:$AT$49))))</f>
        <v>0</v>
      </c>
      <c r="AK73" s="141">
        <f t="array" ref="AK73">IF($B$51="",SUMIFS($AT$8:$AT$49,$C$8:M56,"AP-8",$B$8:$B$49,"yes"),MAX(IF($C$8:$C$49="AP-8",IF($B$8:$B$49="yes",$AT$8:$AT$49))))</f>
        <v>0</v>
      </c>
      <c r="AL73" s="141">
        <f t="array" ref="AL73">IF($B$51="",SUMIFS($AX$8:$AX$49,$C$8:E56,"AP-8",$B$8:$B$49,"no"),MAX(IF($C$8:$C$49="AP-8",IF($B$8:$B$49="no",$AX$8:$AX$49))))</f>
        <v>0</v>
      </c>
      <c r="AM73" s="141">
        <f t="array" ref="AM73">IF($B$51="",SUMIFS($AX$8:$AX$49,$C$8:O56,"AP-8",$B$8:$B$49,"yes"),MAX(IF($C$8:$C$49="AP-8",IF($B$8:$B$49="yes",$AX$8:$AX$49))))</f>
        <v>0</v>
      </c>
      <c r="AN73" s="141">
        <f t="array" ref="AN73">IF($B$51="",SUMIFS($BB$8:$BB$49,$C$8:E56,"AP-8",$B$8:$B$49,"no"),MAX(IF($C$8:$C$49="AP-8",IF($B$8:$B$49="no",$BB$8:$BB$49))))</f>
        <v>0</v>
      </c>
      <c r="AO73" s="141">
        <f t="array" ref="AO73">IF($B$51="",SUMIFS($BB$8:$BB$49,$C$8:Q56,"AP-8",$B$8:$B$49,"yes"),MAX(IF($C$8:$C$49="AP-8",IF($B$8:$B$49="yes",$BB$8:$BB$49))))</f>
        <v>0</v>
      </c>
    </row>
    <row r="74" spans="1:41" ht="10.5" hidden="1" customHeight="1" x14ac:dyDescent="0.25">
      <c r="Y74" s="143" t="s">
        <v>267</v>
      </c>
      <c r="Z74" s="141">
        <f t="array" ref="Z74">IF(B59="",SUMIFS($Z$8:$Z$49,$C$8:C57,"AP-9",$B$8:$B$49,"no"),MAX(IF($C$8:$C$49="AP-9",IF($B$8:$B$49="no",$Z$8:$Z$49))))</f>
        <v>0</v>
      </c>
      <c r="AA74" s="141">
        <f t="array" ref="AA74">IF(B59="",SUMIFS($Z$8:$Z$49,$C$8:D57,"AP-9",$B$8:$B$49,"yes"),MAX(IF($C$8:$C$49="AP-9",IF($B$8:$B$49="yes",$Z$8:$Z$49))))</f>
        <v>0</v>
      </c>
      <c r="AB74" s="141">
        <f t="array" ref="AB74">IF($B$51="",SUMIFS($AD$8:$AD$49,$C$8:E57,"AP-9",$B$8:$B$49,"no"),MAX(IF($C$8:$C$49="AP-9",IF($B$8:$B$49="no",$AD$8:$AD$49))))</f>
        <v>0</v>
      </c>
      <c r="AC74" s="141">
        <f t="array" ref="AC74">IF($B$51="",SUMIFS($AD$8:$AD$49,$C$8:E57,"AP-9",$B$8:$B$49,"yes"),MAX(IF($C$8:$C$49="AP-9",IF($B$8:$B$49="yes",$AD$8:$AD$49))))</f>
        <v>0</v>
      </c>
      <c r="AD74" s="141">
        <f t="array" ref="AD74">IF($B$51="",SUMIFS($AH$8:$AH$49,$C$8:E57,"AP-9",$B$8:$B$49,"no"),MAX(IF($C$8:$C$49="AP-9",IF($B$8:$B$49="no",$AH$8:$AH$49))))</f>
        <v>0</v>
      </c>
      <c r="AE74" s="141">
        <f t="array" ref="AE74">IF($B$51="",SUMIFS($AH$8:$AH$49,$C$8:G57,"AP-9",$B$8:$B$49,"yes"),MAX(IF($C$8:$C$49="AP-9",IF($B$8:$B$49="yes",$AH$8:$AH$49))))</f>
        <v>0</v>
      </c>
      <c r="AF74" s="141">
        <f t="array" ref="AF74">IF($B$51="",SUMIFS($AL$8:$AL$49,$C$8:E57,"AP-9",$B$8:$B$49,"no"),MAX(IF($C$8:$C$49="AP-9",IF($B$8:$B$49="no",$AL$8:$AL$49))))</f>
        <v>0</v>
      </c>
      <c r="AG74" s="141">
        <f t="array" ref="AG74">IF($B$51="",SUMIFS($AL$8:$AL$49,$C$8:I57,"AP-9",$B$8:$B$49,"yes"),MAX(IF($C$8:$C$49="AP-9",IF($B$8:$B$49="yes",$AL$8:$AL$49))))</f>
        <v>0</v>
      </c>
      <c r="AH74" s="141">
        <f t="array" ref="AH74">IF($B$51="",SUMIFS($AP$8:$AP$49,$C$8:E57,"AP-9",$B$8:$B$49,"no"),MAX(IF($C$8:$C$49="AP-9",IF($B$8:$B$49="no",$AP$8:$AP$49))))</f>
        <v>0</v>
      </c>
      <c r="AI74" s="141">
        <f t="array" ref="AI74">IF($B$51="",SUMIFS($AP$8:$AP$49,$C$8:K57,"AP-9",$B$8:$B$49,"yes"),MAX(IF($C$8:$C$49="AP-9",IF($B$8:$B$49="yes",$AP$8:$AP$49))))</f>
        <v>0</v>
      </c>
      <c r="AJ74" s="141">
        <f t="array" ref="AJ74">IF($B$51="",SUMIFS($AT$8:$AT$49,$C$8:E57,"AP-9",$B$8:$B$49,"no"),MAX(IF($C$8:$C$49="AP-9",IF($B$8:$B$49="no",$AT$8:$AT$49))))</f>
        <v>0</v>
      </c>
      <c r="AK74" s="141">
        <f t="array" ref="AK74">IF($B$51="",SUMIFS($AT$8:$AT$49,$C$8:M57,"AP-9",$B$8:$B$49,"yes"),MAX(IF($C$8:$C$49="AP-9",IF($B$8:$B$49="yes",$AT$8:$AT$49))))</f>
        <v>0</v>
      </c>
      <c r="AL74" s="141">
        <f t="array" ref="AL74">IF($B$51="",SUMIFS($AX$8:$AX$49,$C$8:E57,"AP-9",$B$8:$B$49,"no"),MAX(IF($C$8:$C$49="AP-9",IF($B$8:$B$49="no",$AX$8:$AX$49))))</f>
        <v>0</v>
      </c>
      <c r="AM74" s="141">
        <f t="array" ref="AM74">IF($B$51="",SUMIFS($AX$8:$AX$49,$C$8:O57,"AP-9",$B$8:$B$49,"yes"),MAX(IF($C$8:$C$49="AP-9",IF($B$8:$B$49="yes",$AX$8:$AX$49))))</f>
        <v>0</v>
      </c>
      <c r="AN74" s="141">
        <f t="array" ref="AN74">IF($B$51="",SUMIFS($BB$8:$BB$49,$C$8:E57,"AP-9",$B$8:$B$49,"no"),MAX(IF($C$8:$C$49="AP-9",IF($B$8:$B$49="no",$BB$8:$BB$49))))</f>
        <v>0</v>
      </c>
      <c r="AO74" s="141">
        <f t="array" ref="AO74">IF($B$51="",SUMIFS($BB$8:$BB$49,$C$8:Q57,"AP-9",$B$8:$B$49,"yes"),MAX(IF($C$8:$C$49="AP-9",IF($B$8:$B$49="yes",$BB$8:$BB$49))))</f>
        <v>0</v>
      </c>
    </row>
    <row r="75" spans="1:41" ht="15.75" hidden="1" customHeight="1" x14ac:dyDescent="0.25">
      <c r="Y75" s="143" t="s">
        <v>268</v>
      </c>
      <c r="Z75" s="141">
        <f t="array" ref="Z75">IF(B60="",SUMIFS($Z$8:$Z$49,$C$8:C58,"AP-10",$B$8:$B$49,"no"),MAX(IF($C$8:$C$49="AP-10",IF($B$8:$B$49="no",$Z$8:$Z$49))))</f>
        <v>0</v>
      </c>
      <c r="AA75" s="141">
        <f t="array" ref="AA75">IF(B60="",SUMIFS($Z$8:$Z$49,$C$8:D58,"AP-10",$B$8:$B$49,"yes"),MAX(IF($C$8:$C$49="AP-10",IF($B$8:$B$49="yes",$Z$8:$Z$49))))</f>
        <v>0</v>
      </c>
      <c r="AB75" s="141">
        <f t="array" ref="AB75">IF($B$51="",SUMIFS($AD$8:$AD$49,$C$8:E58,"AP-10",$B$8:$B$49,"no"),MAX(IF($C$8:$C$49="AP-10",IF($B$8:$B$49="no",$AD$8:$AD$49))))</f>
        <v>0</v>
      </c>
      <c r="AC75" s="141">
        <f t="array" ref="AC75">IF($B$51="",SUMIFS($AD$8:$AD$49,$C$8:E58,"AP-10",$B$8:$B$49,"yes"),MAX(IF($C$8:$C$49="AP-10",IF($B$8:$B$49="yes",$AD$8:$AD$49))))</f>
        <v>0</v>
      </c>
      <c r="AD75" s="141">
        <f t="array" ref="AD75">IF($B$51="",SUMIFS($AH$8:$AH$49,$C$8:E58,"AP-10",$B$8:$B$49,"no"),MAX(IF($C$8:$C$49="AP-10",IF($B$8:$B$49="no",$AH$8:$AH$49))))</f>
        <v>0</v>
      </c>
      <c r="AE75" s="141">
        <f t="array" ref="AE75">IF($B$51="",SUMIFS($AH$8:$AH$49,$C$8:G58,"AP-10",$B$8:$B$49,"yes"),MAX(IF($C$8:$C$49="AP-10",IF($B$8:$B$49="yes",$AH$8:$AH$49))))</f>
        <v>0</v>
      </c>
      <c r="AF75" s="141">
        <f t="array" ref="AF75">IF($B$51="",SUMIFS($AL$8:$AL$49,$C$8:E58,"AP-10",$B$8:$B$49,"no"),MAX(IF($C$8:$C$49="AP-10",IF($B$8:$B$49="no",$AL$8:$AL$49))))</f>
        <v>0</v>
      </c>
      <c r="AG75" s="141">
        <f t="array" ref="AG75">IF($B$51="",SUMIFS($AL$8:$AL$49,$C$8:I58,"AP-10",$B$8:$B$49,"yes"),MAX(IF($C$8:$C$49="AP-10",IF($B$8:$B$49="yes",$AL$8:$AL$49))))</f>
        <v>0</v>
      </c>
      <c r="AH75" s="141">
        <f t="array" ref="AH75">IF($B$51="",SUMIFS($AP$8:$AP$49,$C$8:E58,"AP-10",$B$8:$B$49,"no"),MAX(IF($C$8:$C$49="AP-10",IF($B$8:$B$49="no",$AP$8:$AP$49))))</f>
        <v>0</v>
      </c>
      <c r="AI75" s="141">
        <f t="array" ref="AI75">IF($B$51="",SUMIFS($AP$8:$AP$49,$C$8:K58,"AP-10",$B$8:$B$49,"yes"),MAX(IF($C$8:$C$49="AP-10",IF($B$8:$B$49="yes",$AP$8:$AP$49))))</f>
        <v>0</v>
      </c>
      <c r="AJ75" s="141">
        <f t="array" ref="AJ75">IF($B$51="",SUMIFS($AT$8:$AT$49,$C$8:E58,"AP-10",$B$8:$B$49,"no"),MAX(IF($C$8:$C$49="AP-10",IF($B$8:$B$49="no",$AT$8:$AT$49))))</f>
        <v>0</v>
      </c>
      <c r="AK75" s="141">
        <f t="array" ref="AK75">IF($B$51="",SUMIFS($AT$8:$AT$49,$C$8:M58,"AP-10",$B$8:$B$49,"yes"),MAX(IF($C$8:$C$49="AP-10",IF($B$8:$B$49="yes",$AT$8:$AT$49))))</f>
        <v>0</v>
      </c>
      <c r="AL75" s="141">
        <f t="array" ref="AL75">IF($B$51="",SUMIFS($AX$8:$AX$49,$C$8:E58,"AP-10",$B$8:$B$49,"no"),MAX(IF($C$8:$C$49="AP-10",IF($B$8:$B$49="no",$AX$8:$AX$49))))</f>
        <v>0</v>
      </c>
      <c r="AM75" s="141">
        <f t="array" ref="AM75">IF($B$51="",SUMIFS($AX$8:$AX$49,$C$8:O58,"AP-10",$B$8:$B$49,"yes"),MAX(IF($C$8:$C$49="AP-10",IF($B$8:$B$49="yes",$AX$8:$AX$49))))</f>
        <v>0</v>
      </c>
      <c r="AN75" s="141">
        <f t="array" ref="AN75">IF($B$51="",SUMIFS($BB$8:$BB$49,$C$8:E58,"AP-10",$B$8:$B$49,"no"),MAX(IF($C$8:$C$49="AP-10",IF($B$8:$B$49="no",$BB$8:$BB$49))))</f>
        <v>0</v>
      </c>
      <c r="AO75" s="141">
        <f t="array" ref="AO75">IF($B$51="",SUMIFS($BB$8:$BB$49,$C$8:Q58,"AP-10",$B$8:$B$49,"yes"),MAX(IF($C$8:$C$49="AP-10",IF($B$8:$B$49="yes",$BB$8:$BB$49))))</f>
        <v>0</v>
      </c>
    </row>
    <row r="76" spans="1:41" ht="17.25" hidden="1" customHeight="1" x14ac:dyDescent="0.25"/>
    <row r="77" spans="1:41" ht="24" hidden="1" customHeight="1" x14ac:dyDescent="0.25">
      <c r="Z77" s="6">
        <f>SUM(IF($B$51&gt;0,IF(Z66&gt;AA66,Z66,0),SUM(Z66,AA66)),IF($B$52&gt;0,IF(Z67&gt;AA67,Z67,0),SUM(Z67,AA67)),IF($B$53&gt;0,IF(Z68&gt;AA68,Z68,0),SUM(Z68,AA68)),IF($B$54&gt;0,IF(Z69&gt;AA69,Z69,0),SUM(Z69,AA69)),IF($B$54&gt;0,IF(Z70&gt;AA70,Z70,0),SUM(Z70,AA70)),IF($B$55&gt;0,IF(Z71&gt;AA71,Z71,0),SUM(Z71,AA71)),IF($B$56&gt;0,IF(Z72&gt;AA72,Z72,0),SUM(Z72,AA72)),IF($B$57&gt;0,IF(Z73&gt;AA73,Z73,0),SUM(Z73,AA73)),IF($B$58&gt;0,IF(Z74&gt;AA74,Z74,0),SUM(Z74,AA74)),IF($B$59&gt;0,IF(Z75&gt;AA75,Z75,0),SUM(Z75,AA75)))</f>
        <v>0</v>
      </c>
      <c r="AA77" s="6">
        <f>SUM(IF($B$51&gt;0,IF(Z66&lt;AA66,AA66,0),SUM(Z66,AA66)),IF($B$52&gt;0,IF(Z67&lt;AA67,AA67,0),SUM(Z67,AA67)),IF($B$53&gt;0,IF(Z68&lt;AA68,AA68,0),SUM(Z68,AA68)),IF($B$54&gt;0,IF(Z69&lt;AA69,AA69,0),SUM(Z69,AA69)),IF($B$54&gt;0,IF(Z70&lt;AA70,AA70,0),SUM(Z70,AA70)),IF($B$55&gt;0,IF(Z71&lt;AA71,AA71,0),SUM(Z71,AA71)),IF($B$56&gt;0,IF(Z72&lt;AA72,AA72,0),SUM(Z72,AA72)),IF($B$57&gt;0,IF(Z73&lt;AA73,AA73,0),SUM(Z73,AA73)),IF($B$58&gt;0,IF(Z74&lt;AA74,AA74,0),SUM(Z74,AA74)),IF($B$59&gt;0,IF(Z75&lt;AA75,AA75,0),SUM(Z75,AA75)))</f>
        <v>0</v>
      </c>
      <c r="AB77" s="6">
        <f>SUM(IF($B$51&gt;0,IF(AB66&gt;AC66,AB66,0),SUM(AB66,AC66)),IF($B$52&gt;0,IF(AB67&gt;AC67,AB67,0),SUM(AB67,AC67)),IF($B$53&gt;0,IF(AB68&gt;AC68,AB68,0),SUM(AB68,AC68)),IF($B$54&gt;0,IF(AB69&gt;AC69,AB69,0),SUM(AB69,AC69)),IF($B$54&gt;0,IF(AB70&gt;AC70,AB70,0),SUM(AB70,AC70)),IF($B$55&gt;0,IF(AB71&gt;AC71,AB71,0),SUM(AB71,AC71)),IF($B$56&gt;0,IF(AB72&gt;AC72,AB72,0),SUM(AB72,AC72)),IF($B$57&gt;0,IF(AB73&gt;AC73,AB73,0),SUM(AB73,AC73)),IF($B$58&gt;0,IF(AB74&gt;AC74,AB74,0),SUM(AB74,AC74)),IF($B$59&gt;0,IF(AB75&gt;AC75,AB75,0),SUM(AB75,AC75)))</f>
        <v>0</v>
      </c>
      <c r="AC77" s="6">
        <f>SUM(IF($B$51&gt;0,IF(AB66&lt;AC66,AC66,0),SUM(AB66,AC66)),IF($B$52&gt;0,IF(AB67&lt;AC67,AC67,0),SUM(AB67,AC67)),IF($B$53&gt;0,IF(AB68&lt;AC68,AC68,0),SUM(AB68,AC68)),IF($B$54&gt;0,IF(AB69&lt;AC69,AC69,0),SUM(AB69,AC69)),IF($B$54&gt;0,IF(AB70&lt;AC70,AC70,0),SUM(AB70,AC70)),IF($B$55&gt;0,IF(AB71&lt;AC71,AC71,0),SUM(AB71,AC71)),IF($B$56&gt;0,IF(AB72&lt;AC72,AC72,0),SUM(AB72,AC72)),IF($B$57&gt;0,IF(AB73&lt;AC73,AC73,0),SUM(AB73,AC73)),IF($B$58&gt;0,IF(AB74&lt;AC74,AC74,0),SUM(AB74,AC74)),IF($B$59&gt;0,IF(AB75&lt;AC75,AC75,0),SUM(AB75,AC75)))</f>
        <v>0</v>
      </c>
      <c r="AD77" s="6">
        <f t="shared" ref="AD77:AN77" si="57">SUM(IF($B$51&gt;0,IF(AD66&gt;AE66,AD66,0),SUM(AD66,AE66)),IF($B$52&gt;0,IF(AD67&gt;AE67,AD67,0),SUM(AD67,AE67)),IF($B$53&gt;0,IF(AD68&gt;AE68,AD68,0),SUM(AD68,AE68)),IF($B$54&gt;0,IF(AD69&gt;AE69,AD69,0),SUM(AD69,AE69)),IF($B$54&gt;0,IF(AD70&gt;AE70,AD70,0),SUM(AD70,AE70)),IF($B$55&gt;0,IF(AD71&gt;AE71,AD71,0),SUM(AD71,AE71)),IF($B$56&gt;0,IF(AD72&gt;AE72,AD72,0),SUM(AD72,AE72)),IF($B$57&gt;0,IF(AD73&gt;AE73,AD73,0),SUM(AD73,AE73)),IF($B$58&gt;0,IF(AD74&gt;AE74,AD74,0),SUM(AD74,AE74)),IF($B$59&gt;0,IF(AD75&gt;AE75,AD75,0),SUM(AD75,AE75)))</f>
        <v>0</v>
      </c>
      <c r="AE77" s="6">
        <f>SUM(IF($B$51&gt;0,IF(AD66&lt;AE66,AE66,0),SUM(AD66,AE66)),IF($B$52&gt;0,IF(AD67&lt;AE67,AE67,0),SUM(AD67,AE67)),IF($B$53&gt;0,IF(AD68&lt;AE68,AE68,0),SUM(AD68,AE68)),IF($B$54&gt;0,IF(AD69&lt;AE69,AE69,0),SUM(AD69,AE69)),IF($B$54&gt;0,IF(AD70&lt;AE70,AE70,0),SUM(AD70,AE70)),IF($B$55&gt;0,IF(AD71&lt;AE71,AE71,0),SUM(AD71,AE71)),IF($B$56&gt;0,IF(AD72&lt;AE72,AE72,0),SUM(AD72,AE72)),IF($B$57&gt;0,IF(AD73&lt;AE73,AE73,0),SUM(AD73,AE73)),IF($B$58&gt;0,IF(AD74&lt;AE74,AE74,0),SUM(AD74,AE74)),IF($B$59&gt;0,IF(AD75&lt;AE75,AE75,0),SUM(AD75,AE75)))</f>
        <v>0</v>
      </c>
      <c r="AF77" s="6">
        <f t="shared" si="57"/>
        <v>0</v>
      </c>
      <c r="AG77" s="6">
        <f>SUM(IF($B$51&gt;0,IF(AF66&lt;AG66,AG66,0),SUM(AF66,AG66)),IF($B$52&gt;0,IF(AF67&lt;AG67,AG67,0),SUM(AF67,AG67)),IF($B$53&gt;0,IF(AF68&lt;AG68,AG68,0),SUM(AF68,AG68)),IF($B$54&gt;0,IF(AF69&lt;AG69,AG69,0),SUM(AF69,AG69)),IF($B$54&gt;0,IF(AF70&lt;AG70,AG70,0),SUM(AF70,AG70)),IF($B$55&gt;0,IF(AF71&lt;AG71,AG71,0),SUM(AF71,AG71)),IF($B$56&gt;0,IF(AF72&lt;AG72,AG72,0),SUM(AF72,AG72)),IF($B$57&gt;0,IF(AF73&lt;AG73,AG73,0),SUM(AF73,AG73)),IF($B$58&gt;0,IF(AF74&lt;AG74,AG74,0),SUM(AF74,AG74)),IF($B$59&gt;0,IF(AF75&lt;AG75,AG75,0),SUM(AF75,AG75)))</f>
        <v>0</v>
      </c>
      <c r="AH77" s="6">
        <f t="shared" si="57"/>
        <v>0</v>
      </c>
      <c r="AI77" s="6">
        <f>SUM(IF($B$51&gt;0,IF(AH66&lt;AI66,AI66,0),SUM(AH66,AI66)),IF($B$52&gt;0,IF(AH67&lt;AI67,AI67,0),SUM(AH67,AI67)),IF($B$53&gt;0,IF(AH68&lt;AI68,AI68,0),SUM(AH68,AI68)),IF($B$54&gt;0,IF(AH69&lt;AI69,AI69,0),SUM(AH69,AI69)),IF($B$54&gt;0,IF(AH70&lt;AI70,AI70,0),SUM(AH70,AI70)),IF($B$55&gt;0,IF(AH71&lt;AI71,AI71,0),SUM(AH71,AI71)),IF($B$56&gt;0,IF(AH72&lt;AI72,AI72,0),SUM(AH72,AI72)),IF($B$57&gt;0,IF(AH73&lt;AI73,AI73,0),SUM(AH73,AI73)),IF($B$58&gt;0,IF(AH74&lt;AI74,AI74,0),SUM(AH74,AI74)),IF($B$59&gt;0,IF(AH75&lt;AI75,AI75,0),SUM(AH75,AI75)))</f>
        <v>0</v>
      </c>
      <c r="AJ77" s="6">
        <f t="shared" si="57"/>
        <v>0</v>
      </c>
      <c r="AK77" s="6">
        <f>SUM(IF($B$51&gt;0,IF(AJ66&lt;AK66,AK66,0),SUM(AJ66,AK66)),IF($B$52&gt;0,IF(AJ67&lt;AK67,AK67,0),SUM(AJ67,AK67)),IF($B$53&gt;0,IF(AJ68&lt;AK68,AK68,0),SUM(AJ68,AK68)),IF($B$54&gt;0,IF(AJ69&lt;AK69,AK69,0),SUM(AJ69,AK69)),IF($B$54&gt;0,IF(AJ70&lt;AK70,AK70,0),SUM(AJ70,AK70)),IF($B$55&gt;0,IF(AJ71&lt;AK71,AK71,0),SUM(AJ71,AK71)),IF($B$56&gt;0,IF(AJ72&lt;AK72,AK72,0),SUM(AJ72,AK72)),IF($B$57&gt;0,IF(AJ73&lt;AK73,AK73,0),SUM(AJ73,AK73)),IF($B$58&gt;0,IF(AJ74&lt;AK74,AK74,0),SUM(AJ74,AK74)),IF($B$59&gt;0,IF(AJ75&lt;AK75,AK75,0),SUM(AJ75,AK75)))</f>
        <v>0</v>
      </c>
      <c r="AL77" s="6">
        <f t="shared" si="57"/>
        <v>0</v>
      </c>
      <c r="AM77" s="6">
        <f>SUM(IF($B$51&gt;0,IF(AL66&lt;AM66,AM66,0),SUM(AL66,AM66)),IF($B$52&gt;0,IF(AL67&lt;AM67,AM67,0),SUM(AL67,AM67)),IF($B$53&gt;0,IF(AL68&lt;AM68,AM68,0),SUM(AL68,AM68)),IF($B$54&gt;0,IF(AL69&lt;AM69,AM69,0),SUM(AL69,AM69)),IF($B$54&gt;0,IF(AL70&lt;AM70,AM70,0),SUM(AL70,AM70)),IF($B$55&gt;0,IF(AL71&lt;AM71,AM71,0),SUM(AL71,AM71)),IF($B$56&gt;0,IF(AL72&lt;AM72,AM72,0),SUM(AL72,AM72)),IF($B$57&gt;0,IF(AL73&lt;AM73,AM73,0),SUM(AL73,AM73)),IF($B$58&gt;0,IF(AL74&lt;AM74,AM74,0),SUM(AL74,AM74)),IF($B$59&gt;0,IF(AL75&lt;AM75,AM75,0),SUM(AL75,AM75)))</f>
        <v>0</v>
      </c>
      <c r="AN77" s="6">
        <f t="shared" si="57"/>
        <v>0</v>
      </c>
      <c r="AO77" s="6">
        <f>SUM(IF($B$51&gt;0,IF(AN66&lt;AO66,AO66,0),SUM(AN66,AO66)),IF($B$52&gt;0,IF(AN67&lt;AO67,AO67,0),SUM(AN67,AO67)),IF($B$53&gt;0,IF(AN68&lt;AO68,AO68,0),SUM(AN68,AO68)),IF($B$54&gt;0,IF(AN69&lt;AO69,AO69,0),SUM(AN69,AO69)),IF($B$54&gt;0,IF(AN70&lt;AO70,AO70,0),SUM(AN70,AO70)),IF($B$55&gt;0,IF(AN71&lt;AO71,AO71,0),SUM(AN71,AO71)),IF($B$56&gt;0,IF(AN72&lt;AO72,AO72,0),SUM(AN72,AO72)),IF($B$57&gt;0,IF(AN73&lt;AO73,AO73,0),SUM(AN73,AO73)),IF($B$58&gt;0,IF(AN74&lt;AO74,AO74,0),SUM(AN74,AO74)),IF($B$59&gt;0,IF(AN75&lt;AO75,AO75,0),SUM(AN75,AO75)))</f>
        <v>0</v>
      </c>
    </row>
  </sheetData>
  <sheetProtection algorithmName="SHA-512" hashValue="p4aIbASwf9Pn1P6vgSt5Uyt91Lc2qHrS9f+e22/0F9tq+xvWJK4PsUF5IL273dRjr01t2gJgZxBXIhHsSrr5eA==" saltValue="pO/L2NWdgHCeMqTiEq86pw==" spinCount="100000" sheet="1" objects="1" scenarios="1"/>
  <dataValidations count="3">
    <dataValidation type="list" allowBlank="1" showInputMessage="1" showErrorMessage="1" sqref="N8:N49" xr:uid="{00000000-0002-0000-0C00-000000000000}">
      <formula1>stack</formula1>
    </dataValidation>
    <dataValidation type="list" allowBlank="1" showInputMessage="1" showErrorMessage="1" sqref="C8:C49" xr:uid="{00000000-0002-0000-0C00-000001000000}">
      <formula1>plantnames</formula1>
    </dataValidation>
    <dataValidation type="list" allowBlank="1" showInputMessage="1" showErrorMessage="1" sqref="F8:F49" xr:uid="{00000000-0002-0000-0C00-000002000000}">
      <formula1>Gen_1</formula1>
    </dataValidation>
  </dataValidations>
  <pageMargins left="0.25" right="0.25" top="0.75" bottom="0.75" header="0.3" footer="0.3"/>
  <pageSetup scale="94" fitToWidth="3" fitToHeight="0" orientation="landscape"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N140"/>
  <sheetViews>
    <sheetView zoomScaleNormal="100" workbookViewId="0"/>
  </sheetViews>
  <sheetFormatPr defaultRowHeight="15" x14ac:dyDescent="0.25"/>
  <cols>
    <col min="1" max="1" width="5" style="17" customWidth="1"/>
    <col min="2" max="2" width="35" style="17" customWidth="1"/>
    <col min="3" max="3" width="14.5703125" style="174" customWidth="1"/>
    <col min="4" max="4" width="11.42578125" style="17" customWidth="1"/>
    <col min="5" max="5" width="11" style="17" bestFit="1" customWidth="1"/>
    <col min="6" max="6" width="11.140625" style="109" customWidth="1"/>
    <col min="7" max="7" width="11.85546875" style="17" customWidth="1"/>
    <col min="8" max="8" width="22.42578125" style="17" customWidth="1"/>
    <col min="9" max="9" width="15.85546875" style="17" hidden="1" customWidth="1"/>
    <col min="10" max="10" width="9.28515625" style="17" hidden="1" customWidth="1"/>
    <col min="11" max="11" width="17.42578125" style="17" hidden="1" customWidth="1"/>
    <col min="12" max="12" width="16" style="17" hidden="1" customWidth="1"/>
    <col min="13" max="13" width="10.140625" style="17" customWidth="1"/>
    <col min="14" max="16384" width="9.140625" style="17"/>
  </cols>
  <sheetData>
    <row r="1" spans="1:14" ht="18.75" x14ac:dyDescent="0.3">
      <c r="A1" s="296" t="s">
        <v>156</v>
      </c>
      <c r="B1" s="296"/>
      <c r="C1" s="296"/>
      <c r="D1" s="296"/>
    </row>
    <row r="2" spans="1:14" ht="15" hidden="1" customHeight="1" x14ac:dyDescent="0.3">
      <c r="A2" s="239" t="s">
        <v>297</v>
      </c>
      <c r="B2" s="234"/>
      <c r="C2" s="234"/>
      <c r="D2" s="234"/>
      <c r="F2" s="236"/>
    </row>
    <row r="3" spans="1:14" ht="6" customHeight="1" x14ac:dyDescent="0.3">
      <c r="A3" s="239"/>
      <c r="B3" s="247"/>
      <c r="C3" s="247"/>
      <c r="D3" s="247"/>
      <c r="F3" s="249"/>
    </row>
    <row r="4" spans="1:14" ht="18.75" customHeight="1" x14ac:dyDescent="0.3">
      <c r="A4" s="295" t="s">
        <v>15</v>
      </c>
      <c r="B4" s="295"/>
      <c r="C4" s="190"/>
      <c r="D4" s="6"/>
      <c r="E4" s="6"/>
      <c r="F4" s="7"/>
      <c r="G4" s="6"/>
      <c r="H4" s="6"/>
      <c r="I4" s="268" t="s">
        <v>306</v>
      </c>
      <c r="J4" s="12"/>
      <c r="K4" s="268" t="s">
        <v>308</v>
      </c>
      <c r="L4" s="268" t="s">
        <v>309</v>
      </c>
      <c r="M4" s="268" t="s">
        <v>299</v>
      </c>
      <c r="N4" s="298"/>
    </row>
    <row r="5" spans="1:14" ht="30" customHeight="1" x14ac:dyDescent="0.25">
      <c r="A5" s="277" t="s">
        <v>10</v>
      </c>
      <c r="B5" s="270" t="s">
        <v>11</v>
      </c>
      <c r="C5" s="277" t="s">
        <v>8</v>
      </c>
      <c r="D5" s="270" t="s">
        <v>9</v>
      </c>
      <c r="E5" s="268" t="s">
        <v>31</v>
      </c>
      <c r="F5" s="270" t="s">
        <v>12</v>
      </c>
      <c r="G5" s="268" t="s">
        <v>31</v>
      </c>
      <c r="H5" s="279" t="s">
        <v>284</v>
      </c>
      <c r="I5" s="269" t="s">
        <v>305</v>
      </c>
      <c r="J5" s="270" t="s">
        <v>14</v>
      </c>
      <c r="K5" s="269" t="s">
        <v>307</v>
      </c>
      <c r="L5" s="269" t="s">
        <v>303</v>
      </c>
      <c r="M5" s="269" t="s">
        <v>303</v>
      </c>
      <c r="N5" s="298"/>
    </row>
    <row r="6" spans="1:14" x14ac:dyDescent="0.25">
      <c r="A6" s="30" t="str">
        <f t="shared" ref="A6:A11" ca="1" si="0">IF(D6="","","ALL")</f>
        <v/>
      </c>
      <c r="B6" s="135" t="str">
        <f ca="1">IF(D6="","","Batch Mix Plant - Fuel Oil")</f>
        <v/>
      </c>
      <c r="C6" s="30" t="str">
        <f ca="1">IF(B6="","","30500246")</f>
        <v/>
      </c>
      <c r="D6" s="30" t="str">
        <f ca="1">IF(SUM(IF('Asphalt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(AP-10)'!N5,0))&gt;0,SUM(IF('Asphalt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f>
        <v/>
      </c>
      <c r="E6" s="30" t="str">
        <f t="shared" ref="E6:E11" ca="1" si="1">IF(B6="","","tons/hr")</f>
        <v/>
      </c>
      <c r="F6" s="137" t="str">
        <f ca="1">IF(B6="","",MAX(IF('Asphalt Plant (AP-1)'!$C$5="batch mix plant",'Asphalt Plant (AP-1)'!O20,0),IF('Asphalt Plant (AP-2)'!$C$5="batch mix plant",'Asphalt Plant (AP-2)'!O21,0),IF('Asphalt Plant (AP-3)'!$C$5="batch mix plant",'Asphalt Plant (AP-3)'!O21,0),IF('Asphalt Plant (AP-4)'!$C$5="batch mix plant",'Asphalt Plant (AP-4)'!O21,0),IF('Asphalt Plant (AP-5)'!$C$5="batch mix plant",'Asphalt Plant (AP-5)'!O21,0),IF('Asphalt Plant (AP-6)'!$C$5="batch mix plant",'Asphalt Plant (AP-6)'!O21,0),IF('Asphalt Plant (AP-7)'!$C$5="batch mix plant",'Asphalt Plant (AP-7)'!O21,0),IF('Asphalt Plant (AP-8)'!$C$5="batch mix plant",'Asphalt Plant (AP-8)'!O21,0),IF('Asphalt Plant (AP-9)'!$C$5="batch mix plant",'Asphalt Plant (AP-9)'!O21,0),IF('Asphalt Plant (AP-10)'!$C$5="batch mix plant",'Asphalt Plant (AP-10)'!O21,0)))</f>
        <v/>
      </c>
      <c r="G6" s="100" t="str">
        <f t="shared" ref="G6:G11" ca="1" si="2">IF(B6="","","lb/ton")</f>
        <v/>
      </c>
      <c r="H6" s="138" t="str">
        <f ca="1">IF(B6="","","AP-42 Table 11.1-2,5,6,9")</f>
        <v/>
      </c>
      <c r="I6" s="297" t="str">
        <f ca="1">IF(B6="","",SUM(IF('Asphalt Plant (AP-1)'!$C$5="batch mix plant",'Asphalt Plant (AP-1)'!Q20,0),IF('Asphalt Plant (AP-2)'!$C$5="batch mix plant",'Asphalt Plant (AP-2)'!Q21,0),IF('Asphalt Plant (AP-3)'!$C$5="batch mix plant",'Asphalt Plant (AP-3)'!Q21,0),IF('Asphalt Plant (AP-4)'!$C$5="batch mix plant",'Asphalt Plant (AP-4)'!Q21,0),IF('Asphalt Plant (AP-5)'!$C$5="batch mix plant",'Asphalt Plant (AP-5)'!Q21,0),IF('Asphalt Plant (AP-6)'!$C$5="batch mix plant",'Asphalt Plant (AP-6)'!Q21,0),IF('Asphalt Plant (AP-7)'!$C$5="batch mix plant",'Asphalt Plant (AP-7)'!Q21,0),IF('Asphalt Plant (AP-8)'!$C$5="batch mix plant",'Asphalt Plant (AP-8)'!Q21,0),IF('Asphalt Plant (AP-9)'!$C$5="batch mix plant",'Asphalt Plant (AP-9)'!Q21,0),IF('Asphalt Plant (AP-10)'!$C$5="batch mix plant",'Asphalt Plant (AP-10)'!Q21,0)))</f>
        <v/>
      </c>
      <c r="K6" s="297" t="str">
        <f ca="1">IF(B6="","",SUM(IF('Asphalt Plant (AP-1)'!$C$5="batch mix plant",'Asphalt Plant (AP-1)'!R20,0),IF('Asphalt Plant (AP-2)'!$C$5="batch mix plant",'Asphalt Plant (AP-2)'!R21,0),IF('Asphalt Plant (AP-3)'!$C$5="batch mix plant",'Asphalt Plant (AP-3)'!R21,0),IF('Asphalt Plant (AP-4)'!$C$5="batch mix plant",'Asphalt Plant (AP-4)'!R21,0),IF('Asphalt Plant (AP-5)'!$C$5="batch mix plant",'Asphalt Plant (AP-5)'!R21,0),IF('Asphalt Plant (AP-6)'!$C$5="batch mix plant",'Asphalt Plant (AP-6)'!R21,0),IF('Asphalt Plant (AP-7)'!$C$5="batch mix plant",'Asphalt Plant (AP-7)'!R21,0),IF('Asphalt Plant (AP-8)'!$C$5="batch mix plant",'Asphalt Plant (AP-8)'!R21,0),IF('Asphalt Plant (AP-9)'!$C$5="batch mix plant",'Asphalt Plant (AP-9)'!R21,0),IF('Asphalt Plant (AP-10)'!$C$5="batch mix plant",'Asphalt Plant (AP-10)'!R21,0)))</f>
        <v/>
      </c>
      <c r="L6" s="297" t="str">
        <f ca="1">IF(B6="","",SUM(IF('Asphalt Plant (AP-1)'!$C$5="batch mix plant",'Asphalt Plant (AP-1)'!S20,0),IF('Asphalt Plant (AP-2)'!$C$5="batch mix plant",'Asphalt Plant (AP-2)'!S21,0),IF('Asphalt Plant (AP-3)'!$C$5="batch mix plant",'Asphalt Plant (AP-3)'!S21,0),IF('Asphalt Plant (AP-4)'!$C$5="batch mix plant",'Asphalt Plant (AP-4)'!S21,0),IF('Asphalt Plant (AP-5)'!$C$5="batch mix plant",'Asphalt Plant (AP-5)'!S21,0),IF('Asphalt Plant (AP-6)'!$C$5="batch mix plant",'Asphalt Plant (AP-6)'!S21,0),IF('Asphalt Plant (AP-7)'!$C$5="batch mix plant",'Asphalt Plant (AP-7)'!S21,0),IF('Asphalt Plant (AP-8)'!$C$5="batch mix plant",'Asphalt Plant (AP-8)'!S21,0),IF('Asphalt Plant (AP-9)'!$C$5="batch mix plant",'Asphalt Plant (AP-9)'!S21,0),IF('Asphalt Plant (AP-10)'!$C$5="batch mix plant",'Asphalt Plant (AP-10)'!S21,0)))</f>
        <v/>
      </c>
      <c r="M6" s="297" t="str">
        <f ca="1">IF(B6="","",SUM(IF('Asphalt Plant (AP-1)'!$C$5="batch mix plant",'Asphalt Plant (AP-1)'!T20,0),IF('Asphalt Plant (AP-2)'!$C$5="batch mix plant",'Asphalt Plant (AP-2)'!T21,0),IF('Asphalt Plant (AP-3)'!$C$5="batch mix plant",'Asphalt Plant (AP-3)'!T21,0),IF('Asphalt Plant (AP-4)'!$C$5="batch mix plant",'Asphalt Plant (AP-4)'!T21,0),IF('Asphalt Plant (AP-5)'!$C$5="batch mix plant",'Asphalt Plant (AP-5)'!T21,0),IF('Asphalt Plant (AP-6)'!$C$5="batch mix plant",'Asphalt Plant (AP-6)'!T21,0),IF('Asphalt Plant (AP-7)'!$C$5="batch mix plant",'Asphalt Plant (AP-7)'!T21,0),IF('Asphalt Plant (AP-8)'!$C$5="batch mix plant",'Asphalt Plant (AP-8)'!T21,0),IF('Asphalt Plant (AP-9)'!$C$5="batch mix plant",'Asphalt Plant (AP-9)'!T21,0),IF('Asphalt Plant (AP-10)'!$C$5="batch mix plant",'Asphalt Plant (AP-10)'!T21,0)))</f>
        <v/>
      </c>
    </row>
    <row r="7" spans="1:14" x14ac:dyDescent="0.25">
      <c r="A7" s="30" t="str">
        <f t="shared" ca="1" si="0"/>
        <v/>
      </c>
      <c r="B7" s="135" t="str">
        <f ca="1">IF(D7="","","Batch Mix Plant - Waste Oil")</f>
        <v/>
      </c>
      <c r="C7" s="30" t="str">
        <f ca="1">IF(B7="","","30500245")</f>
        <v/>
      </c>
      <c r="D7" s="30" t="str">
        <f ca="1">IF(SUM(IF('Asphalt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(AP-10)'!N6,0))&gt;0,SUM(IF('Asphalt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f>
        <v/>
      </c>
      <c r="E7" s="30" t="str">
        <f t="shared" ca="1" si="1"/>
        <v/>
      </c>
      <c r="F7" s="137" t="str">
        <f ca="1">IF(B7="","",MAX(IF('Asphalt Plant (AP-1)'!$C$5="batch mix plant",'Asphalt Plant (AP-1)'!O21,0),IF('Asphalt Plant (AP-2)'!$C$5="batch mix plant",'Asphalt Plant (AP-2)'!O22,0),IF('Asphalt Plant (AP-3)'!$C$5="batch mix plant",'Asphalt Plant (AP-3)'!O22,0),IF('Asphalt Plant (AP-4)'!$C$5="batch mix plant",'Asphalt Plant (AP-4)'!O22,0),IF('Asphalt Plant (AP-5)'!$C$5="batch mix plant",'Asphalt Plant (AP-5)'!O22,0),IF('Asphalt Plant (AP-6)'!$C$5="batch mix plant",'Asphalt Plant (AP-6)'!O22,0),IF('Asphalt Plant (AP-7)'!$C$5="batch mix plant",'Asphalt Plant (AP-7)'!O22,0),IF('Asphalt Plant (AP-8)'!$C$5="batch mix plant",'Asphalt Plant (AP-8)'!O22,0),IF('Asphalt Plant (AP-9)'!$C$5="batch mix plant",'Asphalt Plant (AP-9)'!O22,0),IF('Asphalt Plant (AP-10)'!$C$5="batch mix plant",'Asphalt Plant (AP-10)'!O22,0)))</f>
        <v/>
      </c>
      <c r="G7" s="100" t="str">
        <f t="shared" ca="1" si="2"/>
        <v/>
      </c>
      <c r="H7" s="138" t="str">
        <f ca="1">IF(B7="","","AP-42 Table 11.1-2,5,6,9")</f>
        <v/>
      </c>
      <c r="I7" s="31" t="str">
        <f ca="1">IF(B7="","",SUM(IF('Asphalt Plant (AP-1)'!$C$5="batch mix plant",'Asphalt Plant (AP-1)'!Q21,0),IF('Asphalt Plant (AP-2)'!$C$5="batch mix plant",'Asphalt Plant (AP-2)'!Q22,0),IF('Asphalt Plant (AP-3)'!$C$5="batch mix plant",'Asphalt Plant (AP-3)'!Q22,0),IF('Asphalt Plant (AP-4)'!$C$5="batch mix plant",'Asphalt Plant (AP-4)'!Q22,0),IF('Asphalt Plant (AP-5)'!$C$5="batch mix plant",'Asphalt Plant (AP-5)'!Q22,0),IF('Asphalt Plant (AP-6)'!$C$5="batch mix plant",'Asphalt Plant (AP-6)'!Q22,0),IF('Asphalt Plant (AP-7)'!$C$5="batch mix plant",'Asphalt Plant (AP-7)'!Q22,0),IF('Asphalt Plant (AP-8)'!$C$5="batch mix plant",'Asphalt Plant (AP-8)'!Q22,0),IF('Asphalt Plant (AP-9)'!$C$5="batch mix plant",'Asphalt Plant (AP-9)'!Q22,0),IF('Asphalt Plant (AP-10)'!$C$5="batch mix plant",'Asphalt Plant (AP-10)'!Q22,0)))</f>
        <v/>
      </c>
      <c r="J7" s="30"/>
      <c r="K7" s="31" t="str">
        <f ca="1">IF(B7="","",SUM(IF('Asphalt Plant (AP-1)'!$C$5="batch mix plant",'Asphalt Plant (AP-1)'!R21,0),IF('Asphalt Plant (AP-2)'!$C$5="batch mix plant",'Asphalt Plant (AP-2)'!R22,0),IF('Asphalt Plant (AP-3)'!$C$5="batch mix plant",'Asphalt Plant (AP-3)'!R22,0),IF('Asphalt Plant (AP-4)'!$C$5="batch mix plant",'Asphalt Plant (AP-4)'!R22,0),IF('Asphalt Plant (AP-5)'!$C$5="batch mix plant",'Asphalt Plant (AP-5)'!R22,0),IF('Asphalt Plant (AP-6)'!$C$5="batch mix plant",'Asphalt Plant (AP-6)'!R22,0),IF('Asphalt Plant (AP-7)'!$C$5="batch mix plant",'Asphalt Plant (AP-7)'!R22,0),IF('Asphalt Plant (AP-8)'!$C$5="batch mix plant",'Asphalt Plant (AP-8)'!R22,0),IF('Asphalt Plant (AP-9)'!$C$5="batch mix plant",'Asphalt Plant (AP-9)'!R22,0),IF('Asphalt Plant (AP-10)'!$C$5="batch mix plant",'Asphalt Plant (AP-10)'!R22,0)))</f>
        <v/>
      </c>
      <c r="L7" s="31" t="str">
        <f ca="1">IF(B7="","",SUM(IF('Asphalt Plant (AP-1)'!$C$5="batch mix plant",'Asphalt Plant (AP-1)'!S21,0),IF('Asphalt Plant (AP-2)'!$C$5="batch mix plant",'Asphalt Plant (AP-2)'!S22,0),IF('Asphalt Plant (AP-3)'!$C$5="batch mix plant",'Asphalt Plant (AP-3)'!S22,0),IF('Asphalt Plant (AP-4)'!$C$5="batch mix plant",'Asphalt Plant (AP-4)'!S22,0),IF('Asphalt Plant (AP-5)'!$C$5="batch mix plant",'Asphalt Plant (AP-5)'!S22,0),IF('Asphalt Plant (AP-6)'!$C$5="batch mix plant",'Asphalt Plant (AP-6)'!S22,0),IF('Asphalt Plant (AP-7)'!$C$5="batch mix plant",'Asphalt Plant (AP-7)'!S22,0),IF('Asphalt Plant (AP-8)'!$C$5="batch mix plant",'Asphalt Plant (AP-8)'!S22,0),IF('Asphalt Plant (AP-9)'!$C$5="batch mix plant",'Asphalt Plant (AP-9)'!S22,0),IF('Asphalt Plant (AP-10)'!$C$5="batch mix plant",'Asphalt Plant (AP-10)'!S22,0)))</f>
        <v/>
      </c>
      <c r="M7" s="31" t="str">
        <f ca="1">IF(B7="","",SUM(IF('Asphalt Plant (AP-1)'!$C$5="batch mix plant",'Asphalt Plant (AP-1)'!T21,0),IF('Asphalt Plant (AP-2)'!$C$5="batch mix plant",'Asphalt Plant (AP-2)'!T22,0),IF('Asphalt Plant (AP-3)'!$C$5="batch mix plant",'Asphalt Plant (AP-3)'!T22,0),IF('Asphalt Plant (AP-4)'!$C$5="batch mix plant",'Asphalt Plant (AP-4)'!T22,0),IF('Asphalt Plant (AP-5)'!$C$5="batch mix plant",'Asphalt Plant (AP-5)'!T22,0),IF('Asphalt Plant (AP-6)'!$C$5="batch mix plant",'Asphalt Plant (AP-6)'!T22,0),IF('Asphalt Plant (AP-7)'!$C$5="batch mix plant",'Asphalt Plant (AP-7)'!T22,0),IF('Asphalt Plant (AP-8)'!$C$5="batch mix plant",'Asphalt Plant (AP-8)'!T22,0),IF('Asphalt Plant (AP-9)'!$C$5="batch mix plant",'Asphalt Plant (AP-9)'!T22,0),IF('Asphalt Plant (AP-10)'!$C$5="batch mix plant",'Asphalt Plant (AP-10)'!T22,0)))</f>
        <v/>
      </c>
    </row>
    <row r="8" spans="1:14" x14ac:dyDescent="0.25">
      <c r="A8" s="30" t="str">
        <f t="shared" ca="1" si="0"/>
        <v/>
      </c>
      <c r="B8" s="135" t="str">
        <f ca="1">IF(D8="","","Batch Mix Plant - Natural Gas")</f>
        <v/>
      </c>
      <c r="C8" s="30" t="str">
        <f ca="1">IF(B8="","","30500247")</f>
        <v/>
      </c>
      <c r="D8" s="30" t="str">
        <f ca="1">IF(SUM(IF('Asphalt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(AP-10)'!N7,0))&gt;0,SUM(IF('Asphalt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f>
        <v/>
      </c>
      <c r="E8" s="30" t="str">
        <f t="shared" ca="1" si="1"/>
        <v/>
      </c>
      <c r="F8" s="137" t="str">
        <f ca="1">IF(B8="","",MAX(IF('Asphalt Plant (AP-1)'!$C$5="batch mix plant",'Asphalt Plant (AP-1)'!O22,0),IF('Asphalt Plant (AP-2)'!$C$5="batch mix plant",'Asphalt Plant (AP-2)'!O23,0),IF('Asphalt Plant (AP-3)'!$C$5="batch mix plant",'Asphalt Plant (AP-3)'!O23,0),IF('Asphalt Plant (AP-4)'!$C$5="batch mix plant",'Asphalt Plant (AP-4)'!O23,0),IF('Asphalt Plant (AP-5)'!$C$5="batch mix plant",'Asphalt Plant (AP-5)'!O23,0),IF('Asphalt Plant (AP-6)'!$C$5="batch mix plant",'Asphalt Plant (AP-6)'!O23,0),IF('Asphalt Plant (AP-7)'!$C$5="batch mix plant",'Asphalt Plant (AP-7)'!O23,0),IF('Asphalt Plant (AP-8)'!$C$5="batch mix plant",'Asphalt Plant (AP-8)'!O23,0),IF('Asphalt Plant (AP-9)'!$C$5="batch mix plant",'Asphalt Plant (AP-9)'!O23,0),IF('Asphalt Plant (AP-10)'!$C$5="batch mix plant",'Asphalt Plant (AP-10)'!O23,0)))</f>
        <v/>
      </c>
      <c r="G8" s="100" t="str">
        <f t="shared" ca="1" si="2"/>
        <v/>
      </c>
      <c r="H8" s="138" t="str">
        <f ca="1">IF(B8="","","AP-42 Table 11.1-2,5,6,9")</f>
        <v/>
      </c>
      <c r="I8" s="31" t="str">
        <f ca="1">IF(B8="","",SUM(IF('Asphalt Plant (AP-1)'!$C$5="batch mix plant",'Asphalt Plant (AP-1)'!Q22,0),IF('Asphalt Plant (AP-2)'!$C$5="batch mix plant",'Asphalt Plant (AP-2)'!Q23,0),IF('Asphalt Plant (AP-3)'!$C$5="batch mix plant",'Asphalt Plant (AP-3)'!Q23,0),IF('Asphalt Plant (AP-4)'!$C$5="batch mix plant",'Asphalt Plant (AP-4)'!Q23,0),IF('Asphalt Plant (AP-5)'!$C$5="batch mix plant",'Asphalt Plant (AP-5)'!Q23,0),IF('Asphalt Plant (AP-6)'!$C$5="batch mix plant",'Asphalt Plant (AP-6)'!Q23,0),IF('Asphalt Plant (AP-7)'!$C$5="batch mix plant",'Asphalt Plant (AP-7)'!Q23,0),IF('Asphalt Plant (AP-8)'!$C$5="batch mix plant",'Asphalt Plant (AP-8)'!Q23,0),IF('Asphalt Plant (AP-9)'!$C$5="batch mix plant",'Asphalt Plant (AP-9)'!Q23,0),IF('Asphalt Plant (AP-10)'!$C$5="batch mix plant",'Asphalt Plant (AP-10)'!Q23,0)))</f>
        <v/>
      </c>
      <c r="J8" s="30"/>
      <c r="K8" s="31" t="str">
        <f ca="1">IF(B8="","",SUM(IF('Asphalt Plant (AP-1)'!$C$5="batch mix plant",'Asphalt Plant (AP-1)'!R22,0),IF('Asphalt Plant (AP-2)'!$C$5="batch mix plant",'Asphalt Plant (AP-2)'!R23,0),IF('Asphalt Plant (AP-3)'!$C$5="batch mix plant",'Asphalt Plant (AP-3)'!R23,0),IF('Asphalt Plant (AP-4)'!$C$5="batch mix plant",'Asphalt Plant (AP-4)'!R23,0),IF('Asphalt Plant (AP-5)'!$C$5="batch mix plant",'Asphalt Plant (AP-5)'!R23,0),IF('Asphalt Plant (AP-6)'!$C$5="batch mix plant",'Asphalt Plant (AP-6)'!R23,0),IF('Asphalt Plant (AP-7)'!$C$5="batch mix plant",'Asphalt Plant (AP-7)'!R23,0),IF('Asphalt Plant (AP-8)'!$C$5="batch mix plant",'Asphalt Plant (AP-8)'!R23,0),IF('Asphalt Plant (AP-9)'!$C$5="batch mix plant",'Asphalt Plant (AP-9)'!R23,0),IF('Asphalt Plant (AP-10)'!$C$5="batch mix plant",'Asphalt Plant (AP-10)'!R23,0)))</f>
        <v/>
      </c>
      <c r="L8" s="31" t="str">
        <f ca="1">IF(B8="","",SUM(IF('Asphalt Plant (AP-1)'!$C$5="batch mix plant",'Asphalt Plant (AP-1)'!S22,0),IF('Asphalt Plant (AP-2)'!$C$5="batch mix plant",'Asphalt Plant (AP-2)'!S23,0),IF('Asphalt Plant (AP-3)'!$C$5="batch mix plant",'Asphalt Plant (AP-3)'!S23,0),IF('Asphalt Plant (AP-4)'!$C$5="batch mix plant",'Asphalt Plant (AP-4)'!S23,0),IF('Asphalt Plant (AP-5)'!$C$5="batch mix plant",'Asphalt Plant (AP-5)'!S23,0),IF('Asphalt Plant (AP-6)'!$C$5="batch mix plant",'Asphalt Plant (AP-6)'!S23,0),IF('Asphalt Plant (AP-7)'!$C$5="batch mix plant",'Asphalt Plant (AP-7)'!S23,0),IF('Asphalt Plant (AP-8)'!$C$5="batch mix plant",'Asphalt Plant (AP-8)'!S23,0),IF('Asphalt Plant (AP-9)'!$C$5="batch mix plant",'Asphalt Plant (AP-9)'!S23,0),IF('Asphalt Plant (AP-10)'!$C$5="batch mix plant",'Asphalt Plant (AP-10)'!S23,0)))</f>
        <v/>
      </c>
      <c r="M8" s="31" t="str">
        <f ca="1">IF(B8="","",SUM(IF('Asphalt Plant (AP-1)'!$C$5="batch mix plant",'Asphalt Plant (AP-1)'!T22,0),IF('Asphalt Plant (AP-2)'!$C$5="batch mix plant",'Asphalt Plant (AP-2)'!T23,0),IF('Asphalt Plant (AP-3)'!$C$5="batch mix plant",'Asphalt Plant (AP-3)'!T23,0),IF('Asphalt Plant (AP-4)'!$C$5="batch mix plant",'Asphalt Plant (AP-4)'!T23,0),IF('Asphalt Plant (AP-5)'!$C$5="batch mix plant",'Asphalt Plant (AP-5)'!T23,0),IF('Asphalt Plant (AP-6)'!$C$5="batch mix plant",'Asphalt Plant (AP-6)'!T23,0),IF('Asphalt Plant (AP-7)'!$C$5="batch mix plant",'Asphalt Plant (AP-7)'!T23,0),IF('Asphalt Plant (AP-8)'!$C$5="batch mix plant",'Asphalt Plant (AP-8)'!T23,0),IF('Asphalt Plant (AP-9)'!$C$5="batch mix plant",'Asphalt Plant (AP-9)'!T23,0),IF('Asphalt Plant (AP-10)'!$C$5="batch mix plant",'Asphalt Plant (AP-10)'!T23,0)))</f>
        <v/>
      </c>
    </row>
    <row r="9" spans="1:14" x14ac:dyDescent="0.25">
      <c r="A9" s="30" t="str">
        <f t="shared" si="0"/>
        <v/>
      </c>
      <c r="B9" s="135" t="str">
        <f>IF(D9="","","Drum Mix Plant - Fuel Oil")</f>
        <v/>
      </c>
      <c r="C9" s="30" t="str">
        <f>IF(B9="","","30500258")</f>
        <v/>
      </c>
      <c r="D9" s="3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9" s="30" t="str">
        <f t="shared" si="1"/>
        <v/>
      </c>
      <c r="F9" s="137" t="str">
        <f>IF(B9="","",MAX(IF('Asphalt Plant (AP-1)'!$C$5="drum mix plant",'Asphalt Plant (AP-1)'!O20,0),IF('Asphalt Plant (AP-2)'!$C$5="drum mix plant",'Asphalt Plant (AP-2)'!O21,0),IF('Asphalt Plant (AP-3)'!$C$5="drum mix plant",'Asphalt Plant (AP-3)'!O21,0),IF('Asphalt Plant (AP-4)'!$C$5="drum mix plant",'Asphalt Plant (AP-4)'!O21,0),IF('Asphalt Plant (AP-5)'!$C$5="drum mix plant",'Asphalt Plant (AP-5)'!O21,0),IF('Asphalt Plant (AP-6)'!$C$5="drum mix plant",'Asphalt Plant (AP-6)'!O21,0),IF('Asphalt Plant (AP-7)'!$C$5="drum mix plant",'Asphalt Plant (AP-7)'!O21,0),IF('Asphalt Plant (AP-8)'!$C$5="drum mix plant",'Asphalt Plant (AP-8)'!O21,0),IF('Asphalt Plant (AP-9)'!$C$5="drum mix plant",'Asphalt Plant (AP-9)'!O21,0),IF('Asphalt Plant (AP-10)'!$C$5="drum mix plant",'Asphalt Plant (AP-10)'!O21,0)))</f>
        <v/>
      </c>
      <c r="G9" s="100" t="str">
        <f t="shared" si="2"/>
        <v/>
      </c>
      <c r="H9" s="138" t="str">
        <f>IF(B9="","","AP-42 Table 11.1-4,7,8,10")</f>
        <v/>
      </c>
      <c r="I9" s="31" t="str">
        <f>IF(B9="","",SUM(IF('Asphalt Plant (AP-1)'!$C$5="drum mix plant",'Asphalt Plant (AP-1)'!Q20,0),IF('Asphalt Plant (AP-2)'!$C$5="drum mix plant",'Asphalt Plant (AP-2)'!Q21,0),IF('Asphalt Plant (AP-3)'!$C$5="drum mix plant",'Asphalt Plant (AP-3)'!Q21,0),IF('Asphalt Plant (AP-4)'!$C$5="drum mix plant",'Asphalt Plant (AP-4)'!Q21,0),IF('Asphalt Plant (AP-5)'!$C$5="drum mix plant",'Asphalt Plant (AP-5)'!Q21,0),IF('Asphalt Plant (AP-6)'!$C$5="drum mix plant",'Asphalt Plant (AP-6)'!Q21,0),IF('Asphalt Plant (AP-7)'!$C$5="drum mix plant",'Asphalt Plant (AP-7)'!Q21,0),IF('Asphalt Plant (AP-8)'!$C$5="drum mix plant",'Asphalt Plant (AP-8)'!Q21,0),IF('Asphalt Plant (AP-9)'!$C$5="drum mix plant",'Asphalt Plant (AP-9)'!Q21,0),IF('Asphalt Plant (AP-10)'!$C$5="drum mix plant",'Asphalt Plant (AP-10)'!Q21,0)))</f>
        <v/>
      </c>
      <c r="K9" s="31" t="str">
        <f>IF(B9="","",SUM(IF('Asphalt Plant (AP-1)'!$C$5="drum mix plant",'Asphalt Plant (AP-1)'!R20,0),IF('Asphalt Plant (AP-2)'!$C$5="drum mix plant",'Asphalt Plant (AP-2)'!R21,0),IF('Asphalt Plant (AP-3)'!$C$5="drum mix plant",'Asphalt Plant (AP-3)'!R21,0),IF('Asphalt Plant (AP-4)'!$C$5="drum mix plant",'Asphalt Plant (AP-4)'!R21,0),IF('Asphalt Plant (AP-5)'!$C$5="drum mix plant",'Asphalt Plant (AP-5)'!R21,0),IF('Asphalt Plant (AP-6)'!$C$5="drum mix plant",'Asphalt Plant (AP-6)'!R21,0),IF('Asphalt Plant (AP-7)'!$C$5="drum mix plant",'Asphalt Plant (AP-7)'!R21,0),IF('Asphalt Plant (AP-8)'!$C$5="drum mix plant",'Asphalt Plant (AP-8)'!R21,0),IF('Asphalt Plant (AP-9)'!$C$5="drum mix plant",'Asphalt Plant (AP-9)'!R21,0),IF('Asphalt Plant (AP-10)'!$C$5="drum mix plant",'Asphalt Plant (AP-10)'!R21,0)))</f>
        <v/>
      </c>
      <c r="L9" s="31" t="str">
        <f>IF(B9="","",SUM(IF('Asphalt Plant (AP-1)'!$C$5="drum mix plant",'Asphalt Plant (AP-1)'!S20,0),IF('Asphalt Plant (AP-2)'!$C$5="drum mix plant",'Asphalt Plant (AP-2)'!S21,0),IF('Asphalt Plant (AP-3)'!$C$5="drum mix plant",'Asphalt Plant (AP-3)'!S21,0),IF('Asphalt Plant (AP-4)'!$C$5="drum mix plant",'Asphalt Plant (AP-4)'!S21,0),IF('Asphalt Plant (AP-5)'!$C$5="drum mix plant",'Asphalt Plant (AP-5)'!S21,0),IF('Asphalt Plant (AP-6)'!$C$5="drum mix plant",'Asphalt Plant (AP-6)'!S21,0),IF('Asphalt Plant (AP-7)'!$C$5="drum mix plant",'Asphalt Plant (AP-7)'!S21,0),IF('Asphalt Plant (AP-8)'!$C$5="drum mix plant",'Asphalt Plant (AP-8)'!S21,0),IF('Asphalt Plant (AP-9)'!$C$5="drum mix plant",'Asphalt Plant (AP-9)'!S21,0),IF('Asphalt Plant (AP-10)'!$C$5="drum mix plant",'Asphalt Plant (AP-10)'!S21,0)))</f>
        <v/>
      </c>
      <c r="M9" s="31" t="str">
        <f>IF(B9="","",SUM(IF('Asphalt Plant (AP-1)'!$C$5="drum mix plant",'Asphalt Plant (AP-1)'!T20,0),IF('Asphalt Plant (AP-2)'!$C$5="drum mix plant",'Asphalt Plant (AP-2)'!T21,0),IF('Asphalt Plant (AP-3)'!$C$5="drum mix plant",'Asphalt Plant (AP-3)'!T21,0),IF('Asphalt Plant (AP-4)'!$C$5="drum mix plant",'Asphalt Plant (AP-4)'!T21,0),IF('Asphalt Plant (AP-5)'!$C$5="drum mix plant",'Asphalt Plant (AP-5)'!T21,0),IF('Asphalt Plant (AP-6)'!$C$5="drum mix plant",'Asphalt Plant (AP-6)'!T21,0),IF('Asphalt Plant (AP-7)'!$C$5="drum mix plant",'Asphalt Plant (AP-7)'!T21,0),IF('Asphalt Plant (AP-8)'!$C$5="drum mix plant",'Asphalt Plant (AP-8)'!T21,0),IF('Asphalt Plant (AP-9)'!$C$5="drum mix plant",'Asphalt Plant (AP-9)'!T21,0),IF('Asphalt Plant (AP-10)'!$C$5="drum mix plant",'Asphalt Plant (AP-10)'!T21,0)))</f>
        <v/>
      </c>
    </row>
    <row r="10" spans="1:14" x14ac:dyDescent="0.25">
      <c r="A10" s="30" t="str">
        <f t="shared" si="0"/>
        <v/>
      </c>
      <c r="B10" s="135" t="str">
        <f>IF(D10="","","Drum Mix Plant - Fuel Oil")</f>
        <v/>
      </c>
      <c r="C10" s="30" t="str">
        <f>IF(B10="","","30500255")</f>
        <v/>
      </c>
      <c r="D10" s="3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10" s="30" t="str">
        <f t="shared" si="1"/>
        <v/>
      </c>
      <c r="F10" s="137" t="str">
        <f>IF(B10="","",MAX(IF('Asphalt Plant (AP-1)'!$C$5="drum mix plant",'Asphalt Plant (AP-1)'!O21,0),IF('Asphalt Plant (AP-2)'!$C$5="drum mix plant",'Asphalt Plant (AP-2)'!O22,0),IF('Asphalt Plant (AP-3)'!$C$5="drum mix plant",'Asphalt Plant (AP-3)'!O22,0),IF('Asphalt Plant (AP-4)'!$C$5="drum mix plant",'Asphalt Plant (AP-4)'!O22,0),IF('Asphalt Plant (AP-5)'!$C$5="drum mix plant",'Asphalt Plant (AP-5)'!O22,0),IF('Asphalt Plant (AP-6)'!$C$5="drum mix plant",'Asphalt Plant (AP-6)'!O22,0),IF('Asphalt Plant (AP-7)'!$C$5="drum mix plant",'Asphalt Plant (AP-7)'!O22,0),IF('Asphalt Plant (AP-8)'!$C$5="drum mix plant",'Asphalt Plant (AP-8)'!O22,0),IF('Asphalt Plant (AP-9)'!$C$5="drum mix plant",'Asphalt Plant (AP-9)'!O22,0),IF('Asphalt Plant (AP-10)'!$C$5="drum mix plant",'Asphalt Plant (AP-10)'!O22,0)))</f>
        <v/>
      </c>
      <c r="G10" s="100" t="str">
        <f t="shared" si="2"/>
        <v/>
      </c>
      <c r="H10" s="138" t="str">
        <f>IF(B10="","","AP-42 Table 11.1-4,7,8,10")</f>
        <v/>
      </c>
      <c r="I10" s="31" t="str">
        <f>IF(B10="","",SUM(IF('Asphalt Plant (AP-1)'!$C$5="drum mix plant",'Asphalt Plant (AP-1)'!Q21,0),IF('Asphalt Plant (AP-2)'!$C$5="drum mix plant",'Asphalt Plant (AP-2)'!Q22,0),IF('Asphalt Plant (AP-3)'!$C$5="drum mix plant",'Asphalt Plant (AP-3)'!Q22,0),IF('Asphalt Plant (AP-4)'!$C$5="drum mix plant",'Asphalt Plant (AP-4)'!Q22,0),IF('Asphalt Plant (AP-5)'!$C$5="drum mix plant",'Asphalt Plant (AP-5)'!Q22,0),IF('Asphalt Plant (AP-6)'!$C$5="drum mix plant",'Asphalt Plant (AP-6)'!Q22,0),IF('Asphalt Plant (AP-7)'!$C$5="drum mix plant",'Asphalt Plant (AP-7)'!Q22,0),IF('Asphalt Plant (AP-8)'!$C$5="drum mix plant",'Asphalt Plant (AP-8)'!Q22,0),IF('Asphalt Plant (AP-9)'!$C$5="drum mix plant",'Asphalt Plant (AP-9)'!Q22,0),IF('Asphalt Plant (AP-10)'!$C$5="drum mix plant",'Asphalt Plant (AP-10)'!Q22,0)))</f>
        <v/>
      </c>
      <c r="J10" s="30"/>
      <c r="K10" s="31" t="str">
        <f>IF(B10="","",SUM(IF('Asphalt Plant (AP-1)'!$C$5="drum mix plant",'Asphalt Plant (AP-1)'!R21,0),IF('Asphalt Plant (AP-2)'!$C$5="drum mix plant",'Asphalt Plant (AP-2)'!R22,0),IF('Asphalt Plant (AP-3)'!$C$5="drum mix plant",'Asphalt Plant (AP-3)'!R22,0),IF('Asphalt Plant (AP-4)'!$C$5="drum mix plant",'Asphalt Plant (AP-4)'!R22,0),IF('Asphalt Plant (AP-5)'!$C$5="drum mix plant",'Asphalt Plant (AP-5)'!R22,0),IF('Asphalt Plant (AP-6)'!$C$5="drum mix plant",'Asphalt Plant (AP-6)'!R22,0),IF('Asphalt Plant (AP-7)'!$C$5="drum mix plant",'Asphalt Plant (AP-7)'!R22,0),IF('Asphalt Plant (AP-8)'!$C$5="drum mix plant",'Asphalt Plant (AP-8)'!R22,0),IF('Asphalt Plant (AP-9)'!$C$5="drum mix plant",'Asphalt Plant (AP-9)'!R22,0),IF('Asphalt Plant (AP-10)'!$C$5="drum mix plant",'Asphalt Plant (AP-10)'!R22,0)))</f>
        <v/>
      </c>
      <c r="L10" s="31" t="str">
        <f>IF(B10="","",SUM(IF('Asphalt Plant (AP-1)'!$C$5="drum mix plant",'Asphalt Plant (AP-1)'!S21,0),IF('Asphalt Plant (AP-2)'!$C$5="drum mix plant",'Asphalt Plant (AP-2)'!S22,0),IF('Asphalt Plant (AP-3)'!$C$5="drum mix plant",'Asphalt Plant (AP-3)'!S22,0),IF('Asphalt Plant (AP-4)'!$C$5="drum mix plant",'Asphalt Plant (AP-4)'!S22,0),IF('Asphalt Plant (AP-5)'!$C$5="drum mix plant",'Asphalt Plant (AP-5)'!S22,0),IF('Asphalt Plant (AP-6)'!$C$5="drum mix plant",'Asphalt Plant (AP-6)'!S22,0),IF('Asphalt Plant (AP-7)'!$C$5="drum mix plant",'Asphalt Plant (AP-7)'!S22,0),IF('Asphalt Plant (AP-8)'!$C$5="drum mix plant",'Asphalt Plant (AP-8)'!S22,0),IF('Asphalt Plant (AP-9)'!$C$5="drum mix plant",'Asphalt Plant (AP-9)'!S22,0),IF('Asphalt Plant (AP-10)'!$C$5="drum mix plant",'Asphalt Plant (AP-10)'!S22,0)))</f>
        <v/>
      </c>
      <c r="M10" s="31" t="str">
        <f>IF(B10="","",SUM(IF('Asphalt Plant (AP-1)'!$C$5="drum mix plant",'Asphalt Plant (AP-1)'!T21,0),IF('Asphalt Plant (AP-2)'!$C$5="drum mix plant",'Asphalt Plant (AP-2)'!T22,0),IF('Asphalt Plant (AP-3)'!$C$5="drum mix plant",'Asphalt Plant (AP-3)'!T22,0),IF('Asphalt Plant (AP-4)'!$C$5="drum mix plant",'Asphalt Plant (AP-4)'!T22,0),IF('Asphalt Plant (AP-5)'!$C$5="drum mix plant",'Asphalt Plant (AP-5)'!T22,0),IF('Asphalt Plant (AP-6)'!$C$5="drum mix plant",'Asphalt Plant (AP-6)'!T22,0),IF('Asphalt Plant (AP-7)'!$C$5="drum mix plant",'Asphalt Plant (AP-7)'!T22,0),IF('Asphalt Plant (AP-8)'!$C$5="drum mix plant",'Asphalt Plant (AP-8)'!T22,0),IF('Asphalt Plant (AP-9)'!$C$5="drum mix plant",'Asphalt Plant (AP-9)'!T22,0),IF('Asphalt Plant (AP-10)'!$C$5="drum mix plant",'Asphalt Plant (AP-10)'!T22,0)))</f>
        <v/>
      </c>
    </row>
    <row r="11" spans="1:14" x14ac:dyDescent="0.25">
      <c r="A11" s="30" t="str">
        <f t="shared" si="0"/>
        <v/>
      </c>
      <c r="B11" s="135" t="str">
        <f>IF(D11="","","Drum Mix Plant - Fuel Oil")</f>
        <v/>
      </c>
      <c r="C11" s="30" t="str">
        <f>IF(B11="","","30500261")</f>
        <v/>
      </c>
      <c r="D11" s="3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11" s="30" t="str">
        <f t="shared" si="1"/>
        <v/>
      </c>
      <c r="F11" s="137" t="str">
        <f>IF(B11="","",MAX(IF('Asphalt Plant (AP-1)'!$C$5="drum mix plant",'Asphalt Plant (AP-1)'!O22,0),IF('Asphalt Plant (AP-2)'!$C$5="drum mix plant",'Asphalt Plant (AP-2)'!O23,0),IF('Asphalt Plant (AP-3)'!$C$5="drum mix plant",'Asphalt Plant (AP-3)'!O23,0),IF('Asphalt Plant (AP-4)'!$C$5="drum mix plant",'Asphalt Plant (AP-4)'!O23,0),IF('Asphalt Plant (AP-5)'!$C$5="drum mix plant",'Asphalt Plant (AP-5)'!O23,0),IF('Asphalt Plant (AP-6)'!$C$5="drum mix plant",'Asphalt Plant (AP-6)'!O23,0),IF('Asphalt Plant (AP-7)'!$C$5="drum mix plant",'Asphalt Plant (AP-7)'!O23,0),IF('Asphalt Plant (AP-8)'!$C$5="drum mix plant",'Asphalt Plant (AP-8)'!O23,0),IF('Asphalt Plant (AP-9)'!$C$5="drum mix plant",'Asphalt Plant (AP-9)'!O23,0),IF('Asphalt Plant (AP-10)'!$C$5="drum mix plant",'Asphalt Plant (AP-10)'!O23,0)))</f>
        <v/>
      </c>
      <c r="G11" s="100" t="str">
        <f t="shared" si="2"/>
        <v/>
      </c>
      <c r="H11" s="138" t="str">
        <f>IF(B11="","","AP-42 Table 11.1-4,7,8,10,12")</f>
        <v/>
      </c>
      <c r="I11" s="31" t="str">
        <f>IF(B11="","",SUM(IF('Asphalt Plant (AP-1)'!$C$5="drum mix plant",'Asphalt Plant (AP-1)'!Q22,0),IF('Asphalt Plant (AP-2)'!$C$5="drum mix plant",'Asphalt Plant (AP-2)'!Q23,0),IF('Asphalt Plant (AP-3)'!$C$5="drum mix plant",'Asphalt Plant (AP-3)'!Q23,0),IF('Asphalt Plant (AP-4)'!$C$5="drum mix plant",'Asphalt Plant (AP-4)'!Q23,0),IF('Asphalt Plant (AP-5)'!$C$5="drum mix plant",'Asphalt Plant (AP-5)'!Q23,0),IF('Asphalt Plant (AP-6)'!$C$5="drum mix plant",'Asphalt Plant (AP-6)'!Q23,0),IF('Asphalt Plant (AP-7)'!$C$5="drum mix plant",'Asphalt Plant (AP-7)'!Q23,0),IF('Asphalt Plant (AP-8)'!$C$5="drum mix plant",'Asphalt Plant (AP-8)'!Q23,0),IF('Asphalt Plant (AP-9)'!$C$5="drum mix plant",'Asphalt Plant (AP-9)'!Q23,0),IF('Asphalt Plant (AP-10)'!$C$5="drum mix plant",'Asphalt Plant (AP-10)'!Q23,0)))</f>
        <v/>
      </c>
      <c r="J11" s="30"/>
      <c r="K11" s="31" t="str">
        <f>IF(B11="","",SUM(IF('Asphalt Plant (AP-1)'!$C$5="drum mix plant",'Asphalt Plant (AP-1)'!R22,0),IF('Asphalt Plant (AP-2)'!$C$5="drum mix plant",'Asphalt Plant (AP-2)'!R23,0),IF('Asphalt Plant (AP-3)'!$C$5="drum mix plant",'Asphalt Plant (AP-3)'!R23,0),IF('Asphalt Plant (AP-4)'!$C$5="drum mix plant",'Asphalt Plant (AP-4)'!R23,0),IF('Asphalt Plant (AP-5)'!$C$5="drum mix plant",'Asphalt Plant (AP-5)'!R23,0),IF('Asphalt Plant (AP-6)'!$C$5="drum mix plant",'Asphalt Plant (AP-6)'!R23,0),IF('Asphalt Plant (AP-7)'!$C$5="drum mix plant",'Asphalt Plant (AP-7)'!R23,0),IF('Asphalt Plant (AP-8)'!$C$5="drum mix plant",'Asphalt Plant (AP-8)'!R23,0),IF('Asphalt Plant (AP-9)'!$C$5="drum mix plant",'Asphalt Plant (AP-9)'!R23,0),IF('Asphalt Plant (AP-10)'!$C$5="drum mix plant",'Asphalt Plant (AP-10)'!R23,0)))</f>
        <v/>
      </c>
      <c r="L11" s="31" t="str">
        <f>IF(B11="","",SUM(IF('Asphalt Plant (AP-1)'!$C$5="drum mix plant",'Asphalt Plant (AP-1)'!S22,0),IF('Asphalt Plant (AP-2)'!$C$5="drum mix plant",'Asphalt Plant (AP-2)'!S23,0),IF('Asphalt Plant (AP-3)'!$C$5="drum mix plant",'Asphalt Plant (AP-3)'!S23,0),IF('Asphalt Plant (AP-4)'!$C$5="drum mix plant",'Asphalt Plant (AP-4)'!S23,0),IF('Asphalt Plant (AP-5)'!$C$5="drum mix plant",'Asphalt Plant (AP-5)'!S23,0),IF('Asphalt Plant (AP-6)'!$C$5="drum mix plant",'Asphalt Plant (AP-6)'!S23,0),IF('Asphalt Plant (AP-7)'!$C$5="drum mix plant",'Asphalt Plant (AP-7)'!S23,0),IF('Asphalt Plant (AP-8)'!$C$5="drum mix plant",'Asphalt Plant (AP-8)'!S23,0),IF('Asphalt Plant (AP-9)'!$C$5="drum mix plant",'Asphalt Plant (AP-9)'!S23,0),IF('Asphalt Plant (AP-10)'!$C$5="drum mix plant",'Asphalt Plant (AP-10)'!S23,0)))</f>
        <v/>
      </c>
      <c r="M11" s="31" t="str">
        <f>IF(B11="","",SUM(IF('Asphalt Plant (AP-1)'!$C$5="drum mix plant",'Asphalt Plant (AP-1)'!T22,0),IF('Asphalt Plant (AP-2)'!$C$5="drum mix plant",'Asphalt Plant (AP-2)'!T23,0),IF('Asphalt Plant (AP-3)'!$C$5="drum mix plant",'Asphalt Plant (AP-3)'!T23,0),IF('Asphalt Plant (AP-4)'!$C$5="drum mix plant",'Asphalt Plant (AP-4)'!T23,0),IF('Asphalt Plant (AP-5)'!$C$5="drum mix plant",'Asphalt Plant (AP-5)'!T23,0),IF('Asphalt Plant (AP-6)'!$C$5="drum mix plant",'Asphalt Plant (AP-6)'!T23,0),IF('Asphalt Plant (AP-7)'!$C$5="drum mix plant",'Asphalt Plant (AP-7)'!T23,0),IF('Asphalt Plant (AP-8)'!$C$5="drum mix plant",'Asphalt Plant (AP-8)'!T23,0),IF('Asphalt Plant (AP-9)'!$C$5="drum mix plant",'Asphalt Plant (AP-9)'!T23,0),IF('Asphalt Plant (AP-10)'!$C$5="drum mix plant",'Asphalt Plant (AP-10)'!T23,0)))</f>
        <v/>
      </c>
    </row>
    <row r="12" spans="1:14" x14ac:dyDescent="0.25">
      <c r="A12" s="30" t="str">
        <f ca="1">IF(SUM('Asphalt Plant (AP-1)'!N23,'Asphalt Plant (AP-2)'!N24,'Asphalt Plant (AP-3)'!N24,'Asphalt Plant (AP-4)'!N24,'Asphalt Plant (AP-5)'!N24,'Asphalt Plant (AP-6)'!N24,'Asphalt Plant (AP-7)'!N24,'Asphalt Plant (AP-8)'!N24,'Asphalt Plant (AP-9)'!N24,'Asphalt Plant (AP-10)'!N24)&gt;0,"ALL","")</f>
        <v/>
      </c>
      <c r="B12" s="135" t="str">
        <f ca="1">IF(SUM('Asphalt Plant (AP-1)'!N23,'Asphalt Plant (AP-2)'!N24,'Asphalt Plant (AP-3)'!N24,'Asphalt Plant (AP-4)'!N24,'Asphalt Plant (AP-5)'!N24,'Asphalt Plant (AP-6)'!N24,'Asphalt Plant (AP-7)'!N24,'Asphalt Plant (AP-8)'!N24,'Asphalt Plant (AP-9)'!N24,'Asphalt Plant (AP-10)'!N24)&gt;0,"Silo Filling","")</f>
        <v/>
      </c>
      <c r="C12" s="30" t="str">
        <f ca="1">IF(B12="","","30500213")</f>
        <v/>
      </c>
      <c r="D12" s="30" t="str">
        <f ca="1">IF(SUM('Asphalt Plant (AP-1)'!N11,'Asphalt Plant (AP-2)'!N11,'Asphalt Plant (AP-3)'!N11,'Asphalt Plant (AP-4)'!N11,'Asphalt Plant (AP-5)'!N11,'Asphalt Plant (AP-6)'!N11,'Asphalt Plant (AP-7)'!N11,'Asphalt Plant (AP-8)'!N11,'Asphalt Plant (AP-9)'!N11,'Asphalt Plant (AP-10)'!N11)&gt;0,SUM('Asphalt Plant (AP-1)'!N11,'Asphalt Plant (AP-2)'!N11,'Asphalt Plant (AP-3)'!N11,'Asphalt Plant (AP-4)'!N11,'Asphalt Plant (AP-5)'!N11,'Asphalt Plant (AP-6)'!N11,'Asphalt Plant (AP-7)'!N11,'Asphalt Plant (AP-8)'!N11,'Asphalt Plant (AP-9)'!N11,'Asphalt Plant (AP-10)'!N11),"")</f>
        <v/>
      </c>
      <c r="E12" s="30" t="str">
        <f ca="1">IF(B12="","","tons/hr")</f>
        <v/>
      </c>
      <c r="F12" s="137" t="str">
        <f ca="1">IF(B12="","",LOOKUP(B12,'Emission Factors'!$A$23:$A$25,'Emission Factors'!$D$23:$D$25))</f>
        <v/>
      </c>
      <c r="G12" s="100" t="str">
        <f ca="1">IF(B12="","","lb/ton")</f>
        <v/>
      </c>
      <c r="H12" s="138" t="str">
        <f ca="1">IF(B12="","",LOOKUP(B12,'Emission Factors'!$A$23:$A$25,'Emission Factors'!$C$23:$C$25))</f>
        <v/>
      </c>
      <c r="I12" s="31" t="str">
        <f ca="1">IF(D12="","",SUM('Asphalt Plant (AP-1)'!Q23,'Asphalt Plant (AP-2)'!Q24,'Asphalt Plant (AP-3)'!Q24,'Asphalt Plant (AP-4)'!Q24,'Asphalt Plant (AP-5)'!Q24,'Asphalt Plant (AP-6)'!Q24,'Asphalt Plant (AP-7)'!Q24,'Asphalt Plant (AP-8)'!Q24,'Asphalt Plant (AP-9)'!Q24,'Asphalt Plant (AP-10)'!Q24))</f>
        <v/>
      </c>
      <c r="J12" s="30"/>
      <c r="K12" s="31"/>
      <c r="L12" s="31" t="str">
        <f ca="1">IF(B12="","",SUM('Asphalt Plant (AP-1)'!S23,'Asphalt Plant (AP-2)'!S24,'Asphalt Plant (AP-3)'!S24,'Asphalt Plant (AP-4)'!S24,'Asphalt Plant (AP-5)'!S24,'Asphalt Plant (AP-6)'!S24,'Asphalt Plant (AP-7)'!S24,'Asphalt Plant (AP-8)'!S24,'Asphalt Plant (AP-9)'!S24,'Asphalt Plant (AP-10)'!S24,))</f>
        <v/>
      </c>
      <c r="M12" s="31" t="str">
        <f ca="1">IF(B12="","",SUM('Asphalt Plant (AP-1)'!T23,'Asphalt Plant (AP-2)'!T24,'Asphalt Plant (AP-3)'!T24,'Asphalt Plant (AP-4)'!T24,'Asphalt Plant (AP-5)'!T24,'Asphalt Plant (AP-6)'!T24,'Asphalt Plant (AP-7)'!T24,'Asphalt Plant (AP-8)'!T24,'Asphalt Plant (AP-9)'!T24,'Asphalt Plant (AP-10)'!T24,))</f>
        <v/>
      </c>
    </row>
    <row r="13" spans="1:14" x14ac:dyDescent="0.25">
      <c r="A13" s="30" t="str">
        <f ca="1">IF(SUM('Asphalt Plant (AP-1)'!N24,'Asphalt Plant (AP-2)'!N25,'Asphalt Plant (AP-3)'!N25,'Asphalt Plant (AP-4)'!N25,'Asphalt Plant (AP-5)'!N25,'Asphalt Plant (AP-6)'!N25,'Asphalt Plant (AP-7)'!N25,'Asphalt Plant (AP-8)'!N25,'Asphalt Plant (AP-9)'!N25,'Asphalt Plant (AP-10)'!N25)&gt;0,"ALL","")</f>
        <v/>
      </c>
      <c r="B13" s="135" t="str">
        <f ca="1">IF(SUM('Asphalt Plant (AP-1)'!N24,'Asphalt Plant (AP-2)'!N25,'Asphalt Plant (AP-3)'!N25,'Asphalt Plant (AP-4)'!N25,'Asphalt Plant (AP-5)'!N25,'Asphalt Plant (AP-6)'!N25,'Asphalt Plant (AP-7)'!N25,'Asphalt Plant (AP-8)'!N25,'Asphalt Plant (AP-9)'!N25,'Asphalt Plant (AP-10)'!N25)&gt;0,"Truck Loadout","")</f>
        <v/>
      </c>
      <c r="C13" s="30" t="str">
        <f ca="1">IF(B13="","","30500214")</f>
        <v/>
      </c>
      <c r="D13" s="30" t="str">
        <f ca="1">IF(SUM('Asphalt Plant (AP-1)'!N12,'Asphalt Plant (AP-2)'!N12,'Asphalt Plant (AP-3)'!N12,'Asphalt Plant (AP-4)'!N12,'Asphalt Plant (AP-5)'!N12,'Asphalt Plant (AP-6)'!N12,'Asphalt Plant (AP-7)'!N12,'Asphalt Plant (AP-8)'!N12,'Asphalt Plant (AP-9)'!N12,'Asphalt Plant (AP-10)'!N12)&gt;0,SUM('Asphalt Plant (AP-1)'!N12,'Asphalt Plant (AP-2)'!N12,'Asphalt Plant (AP-3)'!N12,'Asphalt Plant (AP-4)'!N12,'Asphalt Plant (AP-5)'!N12,'Asphalt Plant (AP-6)'!N12,'Asphalt Plant (AP-7)'!N12,'Asphalt Plant (AP-8)'!N12,'Asphalt Plant (AP-9)'!N12,'Asphalt Plant (AP-10)'!N12),"")</f>
        <v/>
      </c>
      <c r="E13" s="30" t="str">
        <f ca="1">IF(B13="","","tons/hr")</f>
        <v/>
      </c>
      <c r="F13" s="137" t="str">
        <f ca="1">IF(B13="","",LOOKUP(B13,'Emission Factors'!$A$23:$A$25,'Emission Factors'!$D$23:$D$25))</f>
        <v/>
      </c>
      <c r="G13" s="100" t="str">
        <f ca="1">IF(B13="","","lb/ton")</f>
        <v/>
      </c>
      <c r="H13" s="138" t="str">
        <f ca="1">IF(B13="","",LOOKUP(B13,'Emission Factors'!$A$23:$A$25,'Emission Factors'!$C$23:$C$25))</f>
        <v/>
      </c>
      <c r="I13" s="31" t="str">
        <f ca="1">IF(D13="","",SUM('Asphalt Plant (AP-1)'!Q24,'Asphalt Plant (AP-2)'!Q25,'Asphalt Plant (AP-3)'!Q25,'Asphalt Plant (AP-4)'!Q25,'Asphalt Plant (AP-5)'!Q25,'Asphalt Plant (AP-6)'!Q25,'Asphalt Plant (AP-7)'!Q25,'Asphalt Plant (AP-8)'!Q25,'Asphalt Plant (AP-9)'!Q25,'Asphalt Plant (AP-10)'!Q25))</f>
        <v/>
      </c>
      <c r="J13" s="30"/>
      <c r="K13" s="31"/>
      <c r="L13" s="31" t="str">
        <f ca="1">IF(B13="","",SUM('Asphalt Plant (AP-1)'!S24,'Asphalt Plant (AP-2)'!S25,'Asphalt Plant (AP-3)'!S25,'Asphalt Plant (AP-4)'!S25,'Asphalt Plant (AP-5)'!S25,'Asphalt Plant (AP-6)'!S25,'Asphalt Plant (AP-7)'!S25,'Asphalt Plant (AP-8)'!S25,'Asphalt Plant (AP-9)'!S25,'Asphalt Plant (AP-10)'!S25,))</f>
        <v/>
      </c>
      <c r="M13" s="31" t="str">
        <f ca="1">IF(B13="","",SUM('Asphalt Plant (AP-1)'!T24,'Asphalt Plant (AP-2)'!T25,'Asphalt Plant (AP-3)'!T25,'Asphalt Plant (AP-4)'!T25,'Asphalt Plant (AP-5)'!T25,'Asphalt Plant (AP-6)'!T25,'Asphalt Plant (AP-7)'!T25,'Asphalt Plant (AP-8)'!T25,'Asphalt Plant (AP-9)'!T25,'Asphalt Plant (AP-10)'!T25,))</f>
        <v/>
      </c>
    </row>
    <row r="14" spans="1:14" x14ac:dyDescent="0.25">
      <c r="A14" s="30" t="str">
        <f ca="1">IF(SUM('Asphalt Plant (AP-1)'!N25,'Asphalt Plant (AP-2)'!N26,'Asphalt Plant (AP-3)'!N26,'Asphalt Plant (AP-4)'!N26,'Asphalt Plant (AP-5)'!N26,'Asphalt Plant (AP-6)'!N26,'Asphalt Plant (AP-7)'!N26,'Asphalt Plant (AP-8)'!N26,'Asphalt Plant (AP-9)'!N26,'Asphalt Plant (AP-10)'!N26)&gt;0,"ALL","")</f>
        <v/>
      </c>
      <c r="B14" s="135" t="str">
        <f ca="1">IF(SUM('Asphalt Plant (AP-1)'!N25,'Asphalt Plant (AP-2)'!N26,'Asphalt Plant (AP-3)'!N26,'Asphalt Plant (AP-4)'!N26,'Asphalt Plant (AP-5)'!N26,'Asphalt Plant (AP-6)'!N26,'Asphalt Plant (AP-7)'!N26,'Asphalt Plant (AP-8)'!N26,'Asphalt Plant (AP-9)'!N26,'Asphalt Plant (AP-10)'!N26)&gt;0,"Cold Aggregate Bins","")</f>
        <v/>
      </c>
      <c r="C14" s="30" t="str">
        <f ca="1">IF(B14="","","30500204")</f>
        <v/>
      </c>
      <c r="D14" s="30" t="str">
        <f ca="1">IF(SUM('Asphalt Plant (AP-1)'!N13,'Asphalt Plant (AP-2)'!N13,'Asphalt Plant (AP-3)'!N13,'Asphalt Plant (AP-4)'!N13,'Asphalt Plant (AP-5)'!N13,'Asphalt Plant (AP-6)'!N13,'Asphalt Plant (AP-7)'!N13,'Asphalt Plant (AP-8)'!N13,'Asphalt Plant (AP-9)'!N13,'Asphalt Plant (AP-10)'!N13)&gt;0,SUM('Asphalt Plant (AP-1)'!N13,'Asphalt Plant (AP-2)'!N13,'Asphalt Plant (AP-3)'!N13,'Asphalt Plant (AP-4)'!N13,'Asphalt Plant (AP-5)'!N13,'Asphalt Plant (AP-6)'!N13,'Asphalt Plant (AP-7)'!N13,'Asphalt Plant (AP-8)'!N13,'Asphalt Plant (AP-9)'!N13,'Asphalt Plant (AP-10)'!N13),"")</f>
        <v/>
      </c>
      <c r="E14" s="30" t="str">
        <f ca="1">IF(B14="","","tons/hr")</f>
        <v/>
      </c>
      <c r="F14" s="137" t="str">
        <f ca="1">IF(B14="","",LOOKUP(B14,'Emission Factors'!$A$23:$A$25,'Emission Factors'!$D$23:$D$25))</f>
        <v/>
      </c>
      <c r="G14" s="100" t="str">
        <f ca="1">IF(B14="","","lb/ton")</f>
        <v/>
      </c>
      <c r="H14" s="138" t="str">
        <f ca="1">IF(B14="","",LOOKUP(B14,'Emission Factors'!$A$23:$A$25,'Emission Factors'!$C$23:$C$25))</f>
        <v/>
      </c>
      <c r="I14" s="31" t="str">
        <f ca="1">IF(D14="","",SUM('Asphalt Plant (AP-1)'!Q25,'Asphalt Plant (AP-2)'!Q26,'Asphalt Plant (AP-3)'!Q26,'Asphalt Plant (AP-4)'!Q26,'Asphalt Plant (AP-5)'!Q26,'Asphalt Plant (AP-6)'!Q26,'Asphalt Plant (AP-7)'!Q26,'Asphalt Plant (AP-8)'!Q26,'Asphalt Plant (AP-9)'!Q26,'Asphalt Plant (AP-10)'!Q26))</f>
        <v/>
      </c>
      <c r="J14" s="136"/>
      <c r="K14" s="31"/>
      <c r="L14" s="31" t="str">
        <f ca="1">IF(B14="","",SUM('Asphalt Plant (AP-1)'!S25,'Asphalt Plant (AP-2)'!S26,'Asphalt Plant (AP-3)'!S26,'Asphalt Plant (AP-4)'!S26,'Asphalt Plant (AP-5)'!S26,'Asphalt Plant (AP-6)'!S26,'Asphalt Plant (AP-7)'!S26,'Asphalt Plant (AP-8)'!S26,'Asphalt Plant (AP-9)'!S26,'Asphalt Plant (AP-10)'!S26,))</f>
        <v/>
      </c>
      <c r="M14" s="31" t="str">
        <f ca="1">IF(B14="","",SUM('Asphalt Plant (AP-1)'!T25,'Asphalt Plant (AP-2)'!T26,'Asphalt Plant (AP-3)'!T26,'Asphalt Plant (AP-4)'!T26,'Asphalt Plant (AP-5)'!T26,'Asphalt Plant (AP-6)'!T26,'Asphalt Plant (AP-7)'!T26,'Asphalt Plant (AP-8)'!T26,'Asphalt Plant (AP-9)'!T26,'Asphalt Plant (AP-10)'!T26,))</f>
        <v/>
      </c>
    </row>
    <row r="15" spans="1:14" x14ac:dyDescent="0.25">
      <c r="A15" s="30" t="str">
        <f>IF(SUM('Asphalt Plant (AP-1)'!O35,'Asphalt Plant (AP-2)'!O36,'Asphalt Plant (AP-3)'!O36,'Asphalt Plant (AP-4)'!O36,'Asphalt Plant (AP-5)'!O36,'Asphalt Plant (AP-6)'!O36,'Asphalt Plant (AP-7)'!O36,'Asphalt Plant (AP-8)'!O36,'Asphalt Plant (AP-9)'!O36,'Asphalt Plant (AP-10)'!O36)&gt;0,"ALL","")</f>
        <v/>
      </c>
      <c r="B15" s="135" t="str">
        <f>IF(SUM('Asphalt Plant (AP-1)'!O35,'Asphalt Plant (AP-2)'!O36,'Asphalt Plant (AP-3)'!O36,'Asphalt Plant (AP-4)'!O36,'Asphalt Plant (AP-5)'!O36,'Asphalt Plant (AP-6)'!O36,'Asphalt Plant (AP-7)'!O36,'Asphalt Plant (AP-8)'!O36,'Asphalt Plant (AP-9)'!O36,'Asphalt Plant (AP-10)'!O36)&gt;0,"Storage Piles","")</f>
        <v/>
      </c>
      <c r="C15" s="30" t="str">
        <f>IF(B15="","","30500203")</f>
        <v/>
      </c>
      <c r="D15" s="30" t="str">
        <f>IF(B15="","",SUM('Asphalt Plant (AP-1)'!O35,'Asphalt Plant (AP-2)'!O36,'Asphalt Plant (AP-3)'!O36,'Asphalt Plant (AP-4)'!O36,'Asphalt Plant (AP-5)'!O36,'Asphalt Plant (AP-6)'!O36,'Asphalt Plant (AP-7)'!O36,'Asphalt Plant (AP-8)'!O36,'Asphalt Plant (AP-9)'!O36,'Asphalt Plant (AP-10)'!O36))</f>
        <v/>
      </c>
      <c r="E15" s="30" t="str">
        <f>IF(B15="","","acre/day")</f>
        <v/>
      </c>
      <c r="F15" s="137" t="str">
        <f>IF(B15="","",3.64)</f>
        <v/>
      </c>
      <c r="G15" s="100" t="str">
        <f>IF(B15="","","lb/acre-day")</f>
        <v/>
      </c>
      <c r="H15" s="138" t="str">
        <f>IF(B15="","","WebFIRE")</f>
        <v/>
      </c>
      <c r="I15" s="31" t="str">
        <f>IF(B15="","",SUM('Asphalt Plant (AP-1)'!Q35,'Asphalt Plant (AP-2)'!Q36,'Asphalt Plant (AP-3)'!Q36,'Asphalt Plant (AP-4)'!Q36,'Asphalt Plant (AP-5)'!Q36,'Asphalt Plant (AP-6)'!Q36,'Asphalt Plant (AP-7)'!Q36,'Asphalt Plant (AP-8)'!Q36,'Asphalt Plant (AP-9)'!Q36,'Asphalt Plant (AP-10)'!Q36))</f>
        <v/>
      </c>
      <c r="J15" s="31"/>
      <c r="L15" s="31" t="str">
        <f>IF(B15="","",SUM('Asphalt Plant (AP-1)'!S35,'Asphalt Plant (AP-2)'!S36,'Asphalt Plant (AP-3)'!S36,'Asphalt Plant (AP-4)'!S36,'Asphalt Plant (AP-5)'!S36,'Asphalt Plant (AP-6)'!S36,'Asphalt Plant (AP-7)'!S36,'Asphalt Plant (AP-8)'!S36,'Asphalt Plant (AP-9)'!S36,'Asphalt Plant (AP-10)'!S36))</f>
        <v/>
      </c>
      <c r="M15" s="31" t="str">
        <f>IF(B15="","",SUM('Asphalt Plant (AP-1)'!T35,'Asphalt Plant (AP-2)'!T36,'Asphalt Plant (AP-3)'!T36,'Asphalt Plant (AP-4)'!T36,'Asphalt Plant (AP-5)'!T36,'Asphalt Plant (AP-6)'!T36,'Asphalt Plant (AP-7)'!T36,'Asphalt Plant (AP-8)'!T36,'Asphalt Plant (AP-9)'!T36,'Asphalt Plant (AP-10)'!T36))</f>
        <v/>
      </c>
    </row>
    <row r="16" spans="1:14" x14ac:dyDescent="0.25">
      <c r="A16" s="30" t="str">
        <f>IF('Haul Roads'!L41=0,"","ALL")</f>
        <v/>
      </c>
      <c r="B16" s="98" t="str">
        <f>IF('Haul Roads'!L41=0,"","Unpaved Haul Roads")</f>
        <v/>
      </c>
      <c r="C16" s="30" t="str">
        <f>IF('Haul Roads'!L41=0,"","30205054")</f>
        <v/>
      </c>
      <c r="D16" s="31" t="str">
        <f>IF(F16="","",'Haul Roads'!P36*'Haul Roads'!L36/8760)</f>
        <v/>
      </c>
      <c r="E16" s="30" t="str">
        <f>IF(B16="","","vmt/hr")</f>
        <v/>
      </c>
      <c r="F16" s="100" t="str">
        <f>IF(B16="","",'Haul Roads'!U36)</f>
        <v/>
      </c>
      <c r="G16" s="30" t="str">
        <f>IF(F16="","","lb/vmt")</f>
        <v/>
      </c>
      <c r="H16" s="101" t="str">
        <f>IF(F16="","","AP-42 Ch 13.2.2")</f>
        <v/>
      </c>
      <c r="I16" s="31" t="str">
        <f>IF(F16="","",D16*F16)</f>
        <v/>
      </c>
      <c r="J16" s="30" t="str">
        <f>IF(SUM('Haul Roads'!W6:W35)&gt;0,40,"")</f>
        <v/>
      </c>
      <c r="K16" s="31" t="str">
        <f>IF(SUM('Haul Roads'!W6:W35)&gt;0,(SUM('Haul Roads'!W6:W35)),"")</f>
        <v/>
      </c>
      <c r="L16" s="31" t="str">
        <f>IF(AND((SUM('Haul Roads'!$M$6:$M$35)&gt;0),'Haul Roads'!L39&gt;0),SUM('Haul Roads'!$AL$8:$AL$17),IF(B16="","",'Haul Roads'!L39))</f>
        <v/>
      </c>
      <c r="M16" s="31" t="str">
        <f>IF(AND((SUM('Haul Roads'!$M$6:$M$35)&gt;0),'Haul Roads'!L44&gt;0),SUM('Haul Roads'!$AM$8:$AM$17),IF(B16="","",'Haul Roads'!L44))</f>
        <v/>
      </c>
    </row>
    <row r="17" spans="1:13" x14ac:dyDescent="0.25">
      <c r="A17" s="30" t="str">
        <f>IF('Haul Roads'!L42=0,"","ALL")</f>
        <v/>
      </c>
      <c r="B17" s="98" t="str">
        <f>IF('Haul Roads'!L42=0,"","Paved Haul Roads")</f>
        <v/>
      </c>
      <c r="C17" s="30" t="str">
        <f>IF('Haul Roads'!L42=0,"","30205054")</f>
        <v/>
      </c>
      <c r="D17" s="31" t="str">
        <f>IF(F17="","",'Haul Roads'!P37*'Haul Roads'!L37/8760)</f>
        <v/>
      </c>
      <c r="E17" s="30" t="str">
        <f>IF(B17="","","vmt/hr")</f>
        <v/>
      </c>
      <c r="F17" s="100" t="str">
        <f>IF(B17="","",'Haul Roads'!U37)</f>
        <v/>
      </c>
      <c r="G17" s="30" t="str">
        <f>IF(F17="","","lb/vmt")</f>
        <v/>
      </c>
      <c r="H17" s="101" t="str">
        <f>IF(F17="","","AP-42 Ch 13.2.1")</f>
        <v/>
      </c>
      <c r="I17" s="31" t="str">
        <f>IF(F17="","",D17*F17)</f>
        <v/>
      </c>
      <c r="J17" s="30"/>
      <c r="K17" s="31"/>
      <c r="L17" s="31" t="str">
        <f>IF(B17="","",IF(AND((SUM('Haul Roads'!$M$6:$M$35)&gt;0),'Haul Roads'!L40&gt;0,'Haul Roads'!L39&gt;0),"",IF(AND((SUM('Haul Roads'!$M$6:$M$35)&gt;0),'Haul Roads'!L40&gt;0),SUM('Haul Roads'!$AL$8:$AL$17),'Haul Roads'!L40)))</f>
        <v/>
      </c>
      <c r="M17" s="31" t="str">
        <f>IF(B17="","",IF(AND((SUM('Haul Roads'!$M$6:$M$35)&gt;0),'Haul Roads'!L45&gt;0,'Haul Roads'!L44&gt;0),"",IF(AND((SUM('Haul Roads'!$M$6:$M$35)&gt;0),'Haul Roads'!L45&gt;0),SUM('Haul Roads'!$AM$8:$AM$17),'Haul Roads'!L45)))</f>
        <v/>
      </c>
    </row>
    <row r="18" spans="1:13" x14ac:dyDescent="0.25">
      <c r="A18" s="30" t="str">
        <f>IF('Permitted Diesel Engines'!R50=0,"","ALL")</f>
        <v/>
      </c>
      <c r="B18" s="98" t="str">
        <f>IF('Permitted Diesel Engines'!R50=0,"","Diesel Generator ≤ 600 bhp")</f>
        <v/>
      </c>
      <c r="C18" s="30" t="str">
        <f>IF('Permitted Diesel Engines'!R50=0,"",LOOKUP(B18,'Emission Factors'!A43:A44,'Emission Factors'!B43:B44))</f>
        <v/>
      </c>
      <c r="D18" s="30" t="str">
        <f>IF('Permitted Diesel Engines'!R50=0,"",'Permitted Diesel Engines'!R50)</f>
        <v/>
      </c>
      <c r="E18" s="30" t="str">
        <f>IF(B18="","","MMBtu/hr")</f>
        <v/>
      </c>
      <c r="F18" s="100" t="str">
        <f>IF(B18="","",LOOKUP(B18,'Emission Factors'!$A$43:$A$44,'Emission Factors'!$D$43:$D$44))</f>
        <v/>
      </c>
      <c r="G18" s="30" t="str">
        <f>IF(B18="","",LOOKUP(B18,'Emission Factors'!$A$43:$A$44,'Emission Factors'!$C$43:$C$44))</f>
        <v/>
      </c>
      <c r="H18" s="101" t="str">
        <f>IF(B18="","",LOOKUP(B18,'Emission Factors'!$A$43:$A$44,'Emission Factors'!$E$43:$E$44))</f>
        <v/>
      </c>
      <c r="I18" s="31" t="str">
        <f>IF(B18="","",'Emission Calculations'!D18*'Emission Calculations'!F18)</f>
        <v/>
      </c>
      <c r="J18" s="30"/>
      <c r="K18" s="31"/>
      <c r="L18" s="31" t="str">
        <f>IF(F18="","",'Permitted Diesel Engines'!$Z$77)</f>
        <v/>
      </c>
      <c r="M18" s="31" t="str">
        <f>IF(B18="","",'Permitted Diesel Engines'!$T$50*F18/2000)</f>
        <v/>
      </c>
    </row>
    <row r="19" spans="1:13" x14ac:dyDescent="0.25">
      <c r="A19" s="30" t="str">
        <f>IF('Permitted Diesel Engines'!R51=0,"","ALL")</f>
        <v/>
      </c>
      <c r="B19" s="98" t="str">
        <f>IF('Permitted Diesel Engines'!R51=0,"","Diesel Generator&gt; 600 bhp")</f>
        <v/>
      </c>
      <c r="C19" s="30" t="str">
        <f>IF('Permitted Diesel Engines'!R51=0,"",LOOKUP(B19,'Emission Factors'!$A$43:$A$44,'Emission Factors'!$B$43:$B$44))</f>
        <v/>
      </c>
      <c r="D19" s="30" t="str">
        <f>IF('Permitted Diesel Engines'!R51=0,"",'Permitted Diesel Engines'!R51)</f>
        <v/>
      </c>
      <c r="E19" s="30" t="str">
        <f>IF(B19="","","MMBtu/hr")</f>
        <v/>
      </c>
      <c r="F19" s="100" t="str">
        <f>IF(B19="","",LOOKUP(B19,'Emission Factors'!$A$43:$A$44,'Emission Factors'!$D$43:$D$44))</f>
        <v/>
      </c>
      <c r="G19" s="30" t="str">
        <f>IF(B19="","",LOOKUP(B19,'Emission Factors'!$A$43:$A$44,'Emission Factors'!$C$43:$C$44))</f>
        <v/>
      </c>
      <c r="H19" s="101" t="str">
        <f>IF(B19="","",LOOKUP(B19,'Emission Factors'!$A$43:$A$44,'Emission Factors'!$E$43:$E$44))</f>
        <v/>
      </c>
      <c r="I19" s="31" t="str">
        <f>IF(B19="","",'Emission Calculations'!D19*'Emission Calculations'!F19)</f>
        <v/>
      </c>
      <c r="J19" s="30"/>
      <c r="K19" s="31"/>
      <c r="L19" s="31" t="str">
        <f>IF(F19="","",'Permitted Diesel Engines'!$AA$77)</f>
        <v/>
      </c>
      <c r="M19" s="31" t="str">
        <f>IF(B19="","",'Permitted Diesel Engines'!$T$51*F19/2000)</f>
        <v/>
      </c>
    </row>
    <row r="20" spans="1:13" x14ac:dyDescent="0.25">
      <c r="A20" s="7"/>
      <c r="B20" s="6"/>
      <c r="C20" s="7"/>
      <c r="D20" s="7"/>
      <c r="E20" s="7"/>
      <c r="F20" s="7"/>
      <c r="G20" s="7"/>
      <c r="H20" s="7"/>
      <c r="I20" s="8"/>
      <c r="J20" s="255" t="s">
        <v>30</v>
      </c>
      <c r="L20" s="25">
        <f ca="1">SUM(L6:L19)</f>
        <v>0</v>
      </c>
      <c r="M20" s="31">
        <f ca="1">SUM(M6:M19)</f>
        <v>0</v>
      </c>
    </row>
    <row r="21" spans="1:13" ht="8.25" customHeight="1" x14ac:dyDescent="0.25">
      <c r="A21" s="7"/>
      <c r="B21" s="6"/>
      <c r="C21" s="7"/>
      <c r="D21" s="7"/>
      <c r="E21" s="7"/>
      <c r="F21" s="7"/>
      <c r="G21" s="7"/>
      <c r="H21" s="7"/>
      <c r="I21" s="8"/>
      <c r="J21" s="7"/>
      <c r="K21" s="41"/>
      <c r="L21" s="41"/>
      <c r="M21" s="116"/>
    </row>
    <row r="22" spans="1:13" ht="18.75" customHeight="1" x14ac:dyDescent="0.3">
      <c r="A22" s="295" t="s">
        <v>16</v>
      </c>
      <c r="B22" s="295"/>
      <c r="C22" s="190"/>
      <c r="D22" s="7"/>
      <c r="E22" s="7"/>
      <c r="F22" s="7"/>
      <c r="G22" s="6"/>
      <c r="H22" s="6"/>
      <c r="I22" s="268" t="s">
        <v>306</v>
      </c>
      <c r="J22" s="12"/>
      <c r="K22" s="268" t="s">
        <v>308</v>
      </c>
      <c r="L22" s="268" t="s">
        <v>309</v>
      </c>
      <c r="M22" s="268" t="s">
        <v>299</v>
      </c>
    </row>
    <row r="23" spans="1:13" ht="30.75" customHeight="1" x14ac:dyDescent="0.25">
      <c r="A23" s="277" t="s">
        <v>10</v>
      </c>
      <c r="B23" s="270" t="s">
        <v>11</v>
      </c>
      <c r="C23" s="277" t="s">
        <v>8</v>
      </c>
      <c r="D23" s="270" t="s">
        <v>9</v>
      </c>
      <c r="E23" s="268" t="s">
        <v>31</v>
      </c>
      <c r="F23" s="270" t="s">
        <v>12</v>
      </c>
      <c r="G23" s="268" t="s">
        <v>31</v>
      </c>
      <c r="H23" s="279" t="s">
        <v>284</v>
      </c>
      <c r="I23" s="269" t="s">
        <v>305</v>
      </c>
      <c r="J23" s="270" t="s">
        <v>14</v>
      </c>
      <c r="K23" s="269" t="s">
        <v>307</v>
      </c>
      <c r="L23" s="269" t="s">
        <v>303</v>
      </c>
      <c r="M23" s="269" t="s">
        <v>303</v>
      </c>
    </row>
    <row r="24" spans="1:13" s="102" customFormat="1" x14ac:dyDescent="0.25">
      <c r="A24" s="30" t="str">
        <f t="shared" ref="A24:A29" ca="1" si="3">IF(D24="","","ALL")</f>
        <v/>
      </c>
      <c r="B24" s="135" t="str">
        <f ca="1">IF(D24="","","Batch Mix Plant - Fuel Oil")</f>
        <v/>
      </c>
      <c r="C24" s="30" t="str">
        <f ca="1">IF(B24="","","30500246")</f>
        <v/>
      </c>
      <c r="D24" s="30" t="str">
        <f ca="1">IF(SUM(IF('Asphalt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(AP-10)'!N5,0))&gt;0,SUM(IF('Asphalt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f>
        <v/>
      </c>
      <c r="E24" s="30" t="str">
        <f t="shared" ref="E24:E32" ca="1" si="4">IF(B24="","","tons/hr")</f>
        <v/>
      </c>
      <c r="F24" s="137" t="str">
        <f ca="1">IF(B24="","",MAX(IF('Asphalt Plant (AP-1)'!$C$5="batch mix plant",'Asphalt Plant (AP-1)'!O27,0),IF('Asphalt Plant (AP-2)'!$C$5="batch mix plant",'Asphalt Plant (AP-2)'!O28,0),IF('Asphalt Plant (AP-3)'!$C$5="batch mix plant",'Asphalt Plant (AP-3)'!O28,0),IF('Asphalt Plant (AP-4)'!$C$5="batch mix plant",'Asphalt Plant (AP-4)'!O28,0),IF('Asphalt Plant (AP-5)'!$C$5="batch mix plant",'Asphalt Plant (AP-5)'!O28,0),IF('Asphalt Plant (AP-6)'!$C$5="batch mix plant",'Asphalt Plant (AP-6)'!O28,0),IF('Asphalt Plant (AP-7)'!$C$5="batch mix plant",'Asphalt Plant (AP-7)'!O28,0),IF('Asphalt Plant (AP-8)'!$C$5="batch mix plant",'Asphalt Plant (AP-8)'!O28,0),IF('Asphalt Plant (AP-9)'!$C$5="batch mix plant",'Asphalt Plant (AP-9)'!O28,0),IF('Asphalt Plant (AP-10)'!$C$5="batch mix plant",'Asphalt Plant (AP-10)'!O28,0)))</f>
        <v/>
      </c>
      <c r="G24" s="30" t="str">
        <f t="shared" ref="G24:G32" ca="1" si="5">IF(B24="","","lb/ton")</f>
        <v/>
      </c>
      <c r="H24" s="138" t="str">
        <f ca="1">IF(B24="","","AP-42 Table 11.1-2,5,6,9")</f>
        <v/>
      </c>
      <c r="I24" s="31" t="str">
        <f ca="1">IF(B24="","",SUM(IF('Asphalt Plant (AP-1)'!$C$5="batch mix plant",'Asphalt Plant (AP-1)'!Q27,0),IF('Asphalt Plant (AP-2)'!$C$5="batch mix plant",'Asphalt Plant (AP-2)'!Q28,0),IF('Asphalt Plant (AP-3)'!$C$5="batch mix plant",'Asphalt Plant (AP-3)'!Q28,0),IF('Asphalt Plant (AP-4)'!$C$5="batch mix plant",'Asphalt Plant (AP-4)'!Q28,0),IF('Asphalt Plant (AP-5)'!$C$5="batch mix plant",'Asphalt Plant (AP-5)'!Q28,0),IF('Asphalt Plant (AP-6)'!$C$5="batch mix plant",'Asphalt Plant (AP-6)'!Q28,0),IF('Asphalt Plant (AP-7)'!$C$5="batch mix plant",'Asphalt Plant (AP-7)'!Q28,0),IF('Asphalt Plant (AP-8)'!$C$5="batch mix plant",'Asphalt Plant (AP-8)'!Q28,0),IF('Asphalt Plant (AP-9)'!$C$5="batch mix plant",'Asphalt Plant (AP-9)'!Q28,0),IF('Asphalt Plant (AP-10)'!$C$5="batch mix plant",'Asphalt Plant (AP-10)'!Q28,0)))</f>
        <v/>
      </c>
      <c r="K24" s="31" t="str">
        <f ca="1">IF(B24="","",SUM(IF('Asphalt Plant (AP-1)'!$C$5="batch mix plant",'Asphalt Plant (AP-1)'!R27,0),IF('Asphalt Plant (AP-2)'!$C$5="batch mix plant",'Asphalt Plant (AP-2)'!R28,0),IF('Asphalt Plant (AP-3)'!$C$5="batch mix plant",'Asphalt Plant (AP-3)'!R28,0),IF('Asphalt Plant (AP-4)'!$C$5="batch mix plant",'Asphalt Plant (AP-4)'!R28,0),IF('Asphalt Plant (AP-5)'!$C$5="batch mix plant",'Asphalt Plant (AP-5)'!R28,0),IF('Asphalt Plant (AP-6)'!$C$5="batch mix plant",'Asphalt Plant (AP-6)'!R28,0),IF('Asphalt Plant (AP-7)'!$C$5="batch mix plant",'Asphalt Plant (AP-7)'!R28,0),IF('Asphalt Plant (AP-8)'!$C$5="batch mix plant",'Asphalt Plant (AP-8)'!R28,0),IF('Asphalt Plant (AP-9)'!$C$5="batch mix plant",'Asphalt Plant (AP-9)'!R28,0),IF('Asphalt Plant (AP-10)'!$C$5="batch mix plant",'Asphalt Plant (AP-10)'!R28,0)))</f>
        <v/>
      </c>
      <c r="L24" s="31" t="str">
        <f ca="1">IF(B24="","",SUM(IF('Asphalt Plant (AP-1)'!$C$5="batch mix plant",'Asphalt Plant (AP-1)'!S27,0),IF('Asphalt Plant (AP-2)'!$C$5="batch mix plant",'Asphalt Plant (AP-2)'!S28,0),IF('Asphalt Plant (AP-3)'!$C$5="batch mix plant",'Asphalt Plant (AP-3)'!S28,0),IF('Asphalt Plant (AP-4)'!$C$5="batch mix plant",'Asphalt Plant (AP-4)'!S28,0),IF('Asphalt Plant (AP-5)'!$C$5="batch mix plant",'Asphalt Plant (AP-5)'!S28,0),IF('Asphalt Plant (AP-6)'!$C$5="batch mix plant",'Asphalt Plant (AP-6)'!S28,0),IF('Asphalt Plant (AP-7)'!$C$5="batch mix plant",'Asphalt Plant (AP-7)'!S28,0),IF('Asphalt Plant (AP-8)'!$C$5="batch mix plant",'Asphalt Plant (AP-8)'!S28,0),IF('Asphalt Plant (AP-9)'!$C$5="batch mix plant",'Asphalt Plant (AP-9)'!S28,0),IF('Asphalt Plant (AP-10)'!$C$5="batch mix plant",'Asphalt Plant (AP-10)'!S28,0)))</f>
        <v/>
      </c>
      <c r="M24" s="31" t="str">
        <f ca="1">IF(B24="","",SUM(IF('Asphalt Plant (AP-1)'!$C$5="batch mix plant",'Asphalt Plant (AP-1)'!T27,0),IF('Asphalt Plant (AP-2)'!$C$5="batch mix plant",'Asphalt Plant (AP-2)'!T28,0),IF('Asphalt Plant (AP-3)'!$C$5="batch mix plant",'Asphalt Plant (AP-3)'!T28,0),IF('Asphalt Plant (AP-4)'!$C$5="batch mix plant",'Asphalt Plant (AP-4)'!T28,0),IF('Asphalt Plant (AP-5)'!$C$5="batch mix plant",'Asphalt Plant (AP-5)'!T28,0),IF('Asphalt Plant (AP-6)'!$C$5="batch mix plant",'Asphalt Plant (AP-6)'!T28,0),IF('Asphalt Plant (AP-7)'!$C$5="batch mix plant",'Asphalt Plant (AP-7)'!T28,0),IF('Asphalt Plant (AP-8)'!$C$5="batch mix plant",'Asphalt Plant (AP-8)'!T28,0),IF('Asphalt Plant (AP-9)'!$C$5="batch mix plant",'Asphalt Plant (AP-9)'!T28,0),IF('Asphalt Plant (AP-10)'!$C$5="batch mix plant",'Asphalt Plant (AP-10)'!T28,0)))</f>
        <v/>
      </c>
    </row>
    <row r="25" spans="1:13" s="102" customFormat="1" x14ac:dyDescent="0.25">
      <c r="A25" s="30" t="str">
        <f t="shared" ca="1" si="3"/>
        <v/>
      </c>
      <c r="B25" s="135" t="str">
        <f ca="1">IF(D25="","","Batch Mix Plant - Waste Oil")</f>
        <v/>
      </c>
      <c r="C25" s="30" t="str">
        <f ca="1">IF(B25="","","30500245")</f>
        <v/>
      </c>
      <c r="D25" s="30" t="str">
        <f ca="1">IF(SUM(IF('Asphalt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(AP-10)'!N6,0))&gt;0,SUM(IF('Asphalt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f>
        <v/>
      </c>
      <c r="E25" s="30" t="str">
        <f t="shared" ca="1" si="4"/>
        <v/>
      </c>
      <c r="F25" s="137" t="str">
        <f ca="1">IF(B7="","",MAX(IF('Asphalt Plant (AP-1)'!$C$5="batch mix plant",'Asphalt Plant (AP-1)'!O28,0),IF('Asphalt Plant (AP-2)'!$C$5="batch mix plant",'Asphalt Plant (AP-2)'!O29,0),IF('Asphalt Plant (AP-3)'!$C$5="batch mix plant",'Asphalt Plant (AP-3)'!O29,0),IF('Asphalt Plant (AP-4)'!$C$5="batch mix plant",'Asphalt Plant (AP-4)'!O29,0),IF('Asphalt Plant (AP-5)'!$C$5="batch mix plant",'Asphalt Plant (AP-5)'!O29,0),IF('Asphalt Plant (AP-6)'!$C$5="batch mix plant",'Asphalt Plant (AP-6)'!O29,0),IF('Asphalt Plant (AP-7)'!$C$5="batch mix plant",'Asphalt Plant (AP-7)'!O29,0),IF('Asphalt Plant (AP-8)'!$C$5="batch mix plant",'Asphalt Plant (AP-8)'!O29,0),IF('Asphalt Plant (AP-9)'!$C$5="batch mix plant",'Asphalt Plant (AP-9)'!O29,0),IF('Asphalt Plant (AP-10)'!$C$5="batch mix plant",'Asphalt Plant (AP-10)'!O29,0)))</f>
        <v/>
      </c>
      <c r="G25" s="30" t="str">
        <f t="shared" ca="1" si="5"/>
        <v/>
      </c>
      <c r="H25" s="138" t="str">
        <f ca="1">IF(B25="","","AP-42 Table 11.1-2,5,6,9")</f>
        <v/>
      </c>
      <c r="I25" s="31" t="str">
        <f ca="1">IF(B25="","",SUM(IF('Asphalt Plant (AP-1)'!$C$5="batch mix plant",'Asphalt Plant (AP-1)'!Q28,0),IF('Asphalt Plant (AP-2)'!$C$5="batch mix plant",'Asphalt Plant (AP-2)'!Q29,0),IF('Asphalt Plant (AP-3)'!$C$5="batch mix plant",'Asphalt Plant (AP-3)'!Q29,0),IF('Asphalt Plant (AP-4)'!$C$5="batch mix plant",'Asphalt Plant (AP-4)'!Q29,0),IF('Asphalt Plant (AP-5)'!$C$5="batch mix plant",'Asphalt Plant (AP-5)'!Q29,0),IF('Asphalt Plant (AP-6)'!$C$5="batch mix plant",'Asphalt Plant (AP-6)'!Q29,0),IF('Asphalt Plant (AP-7)'!$C$5="batch mix plant",'Asphalt Plant (AP-7)'!Q29,0),IF('Asphalt Plant (AP-8)'!$C$5="batch mix plant",'Asphalt Plant (AP-8)'!Q29,0),IF('Asphalt Plant (AP-9)'!$C$5="batch mix plant",'Asphalt Plant (AP-9)'!Q29,0),IF('Asphalt Plant (AP-10)'!$C$5="batch mix plant",'Asphalt Plant (AP-10)'!Q29,0)))</f>
        <v/>
      </c>
      <c r="J25" s="30"/>
      <c r="K25" s="31" t="str">
        <f ca="1">IF(B25="","",SUM(IF('Asphalt Plant (AP-1)'!$C$5="batch mix plant",'Asphalt Plant (AP-1)'!R28,0),IF('Asphalt Plant (AP-2)'!$C$5="batch mix plant",'Asphalt Plant (AP-2)'!R29,0),IF('Asphalt Plant (AP-3)'!$C$5="batch mix plant",'Asphalt Plant (AP-3)'!R29,0),IF('Asphalt Plant (AP-4)'!$C$5="batch mix plant",'Asphalt Plant (AP-4)'!R29,0),IF('Asphalt Plant (AP-5)'!$C$5="batch mix plant",'Asphalt Plant (AP-5)'!R29,0),IF('Asphalt Plant (AP-6)'!$C$5="batch mix plant",'Asphalt Plant (AP-6)'!R29,0),IF('Asphalt Plant (AP-7)'!$C$5="batch mix plant",'Asphalt Plant (AP-7)'!R29,0),IF('Asphalt Plant (AP-8)'!$C$5="batch mix plant",'Asphalt Plant (AP-8)'!R29,0),IF('Asphalt Plant (AP-9)'!$C$5="batch mix plant",'Asphalt Plant (AP-9)'!R29,0),IF('Asphalt Plant (AP-10)'!$C$5="batch mix plant",'Asphalt Plant (AP-10)'!R29,0)))</f>
        <v/>
      </c>
      <c r="L25" s="31" t="str">
        <f ca="1">IF(B25="","",SUM(IF('Asphalt Plant (AP-1)'!$C$5="batch mix plant",'Asphalt Plant (AP-1)'!S28,0),IF('Asphalt Plant (AP-2)'!$C$5="batch mix plant",'Asphalt Plant (AP-2)'!S29,0),IF('Asphalt Plant (AP-3)'!$C$5="batch mix plant",'Asphalt Plant (AP-3)'!S29,0),IF('Asphalt Plant (AP-4)'!$C$5="batch mix plant",'Asphalt Plant (AP-4)'!S29,0),IF('Asphalt Plant (AP-5)'!$C$5="batch mix plant",'Asphalt Plant (AP-5)'!S29,0),IF('Asphalt Plant (AP-6)'!$C$5="batch mix plant",'Asphalt Plant (AP-6)'!S29,0),IF('Asphalt Plant (AP-7)'!$C$5="batch mix plant",'Asphalt Plant (AP-7)'!S29,0),IF('Asphalt Plant (AP-8)'!$C$5="batch mix plant",'Asphalt Plant (AP-8)'!S29,0),IF('Asphalt Plant (AP-9)'!$C$5="batch mix plant",'Asphalt Plant (AP-9)'!S29,0),IF('Asphalt Plant (AP-10)'!$C$5="batch mix plant",'Asphalt Plant (AP-10)'!S29,0)))</f>
        <v/>
      </c>
      <c r="M25" s="31" t="str">
        <f ca="1">IF(B25="","",SUM(IF('Asphalt Plant (AP-1)'!$C$5="batch mix plant",'Asphalt Plant (AP-1)'!T28,0),IF('Asphalt Plant (AP-2)'!$C$5="batch mix plant",'Asphalt Plant (AP-2)'!T29,0),IF('Asphalt Plant (AP-3)'!$C$5="batch mix plant",'Asphalt Plant (AP-3)'!T29,0),IF('Asphalt Plant (AP-4)'!$C$5="batch mix plant",'Asphalt Plant (AP-4)'!T29,0),IF('Asphalt Plant (AP-5)'!$C$5="batch mix plant",'Asphalt Plant (AP-5)'!T29,0),IF('Asphalt Plant (AP-6)'!$C$5="batch mix plant",'Asphalt Plant (AP-6)'!T29,0),IF('Asphalt Plant (AP-7)'!$C$5="batch mix plant",'Asphalt Plant (AP-7)'!T29,0),IF('Asphalt Plant (AP-8)'!$C$5="batch mix plant",'Asphalt Plant (AP-8)'!T29,0),IF('Asphalt Plant (AP-9)'!$C$5="batch mix plant",'Asphalt Plant (AP-9)'!T29,0),IF('Asphalt Plant (AP-10)'!$C$5="batch mix plant",'Asphalt Plant (AP-10)'!T29,0)))</f>
        <v/>
      </c>
    </row>
    <row r="26" spans="1:13" s="102" customFormat="1" x14ac:dyDescent="0.25">
      <c r="A26" s="30" t="str">
        <f t="shared" ca="1" si="3"/>
        <v/>
      </c>
      <c r="B26" s="135" t="str">
        <f ca="1">IF(D26="","","Batch Mix Plant - Natural Gas")</f>
        <v/>
      </c>
      <c r="C26" s="30" t="str">
        <f ca="1">IF(B26="","","30500247")</f>
        <v/>
      </c>
      <c r="D26" s="30" t="str">
        <f ca="1">IF(SUM(IF('Asphalt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(AP-10)'!N7,0))&gt;0,SUM(IF('Asphalt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f>
        <v/>
      </c>
      <c r="E26" s="30" t="str">
        <f t="shared" ca="1" si="4"/>
        <v/>
      </c>
      <c r="F26" s="137" t="str">
        <f ca="1">IF(B8="","",MAX(IF('Asphalt Plant (AP-1)'!$C$5="batch mix plant",'Asphalt Plant (AP-1)'!O29,0),IF('Asphalt Plant (AP-2)'!$C$5="batch mix plant",'Asphalt Plant (AP-2)'!O30,0),IF('Asphalt Plant (AP-3)'!$C$5="batch mix plant",'Asphalt Plant (AP-3)'!O30,0),IF('Asphalt Plant (AP-4)'!$C$5="batch mix plant",'Asphalt Plant (AP-4)'!O30,0),IF('Asphalt Plant (AP-5)'!$C$5="batch mix plant",'Asphalt Plant (AP-5)'!O30,0),IF('Asphalt Plant (AP-6)'!$C$5="batch mix plant",'Asphalt Plant (AP-6)'!O30,0),IF('Asphalt Plant (AP-7)'!$C$5="batch mix plant",'Asphalt Plant (AP-7)'!O30,0),IF('Asphalt Plant (AP-8)'!$C$5="batch mix plant",'Asphalt Plant (AP-8)'!O30,0),IF('Asphalt Plant (AP-9)'!$C$5="batch mix plant",'Asphalt Plant (AP-9)'!O30,0),IF('Asphalt Plant (AP-10)'!$C$5="batch mix plant",'Asphalt Plant (AP-10)'!O30,0)))</f>
        <v/>
      </c>
      <c r="G26" s="30" t="str">
        <f t="shared" ca="1" si="5"/>
        <v/>
      </c>
      <c r="H26" s="138" t="str">
        <f ca="1">IF(B26="","","AP-42 Table 11.1-2,5,6,9")</f>
        <v/>
      </c>
      <c r="I26" s="31" t="str">
        <f ca="1">IF(B26="","",SUM(IF('Asphalt Plant (AP-1)'!$C$5="batch mix plant",'Asphalt Plant (AP-1)'!Q29,0),IF('Asphalt Plant (AP-2)'!$C$5="batch mix plant",'Asphalt Plant (AP-2)'!Q30,0),IF('Asphalt Plant (AP-3)'!$C$5="batch mix plant",'Asphalt Plant (AP-3)'!Q30,0),IF('Asphalt Plant (AP-4)'!$C$5="batch mix plant",'Asphalt Plant (AP-4)'!Q30,0),IF('Asphalt Plant (AP-5)'!$C$5="batch mix plant",'Asphalt Plant (AP-5)'!Q30,0),IF('Asphalt Plant (AP-6)'!$C$5="batch mix plant",'Asphalt Plant (AP-6)'!Q30,0),IF('Asphalt Plant (AP-7)'!$C$5="batch mix plant",'Asphalt Plant (AP-7)'!Q30,0),IF('Asphalt Plant (AP-8)'!$C$5="batch mix plant",'Asphalt Plant (AP-8)'!Q30,0),IF('Asphalt Plant (AP-9)'!$C$5="batch mix plant",'Asphalt Plant (AP-9)'!Q30,0),IF('Asphalt Plant (AP-10)'!$C$5="batch mix plant",'Asphalt Plant (AP-10)'!Q30,0)))</f>
        <v/>
      </c>
      <c r="J26" s="30"/>
      <c r="K26" s="31" t="str">
        <f ca="1">IF(B26="","",SUM(IF('Asphalt Plant (AP-1)'!$C$5="batch mix plant",'Asphalt Plant (AP-1)'!R29,0),IF('Asphalt Plant (AP-2)'!$C$5="batch mix plant",'Asphalt Plant (AP-2)'!R30,0),IF('Asphalt Plant (AP-3)'!$C$5="batch mix plant",'Asphalt Plant (AP-3)'!R30,0),IF('Asphalt Plant (AP-4)'!$C$5="batch mix plant",'Asphalt Plant (AP-4)'!R30,0),IF('Asphalt Plant (AP-5)'!$C$5="batch mix plant",'Asphalt Plant (AP-5)'!R30,0),IF('Asphalt Plant (AP-6)'!$C$5="batch mix plant",'Asphalt Plant (AP-6)'!R30,0),IF('Asphalt Plant (AP-7)'!$C$5="batch mix plant",'Asphalt Plant (AP-7)'!R30,0),IF('Asphalt Plant (AP-8)'!$C$5="batch mix plant",'Asphalt Plant (AP-8)'!R30,0),IF('Asphalt Plant (AP-9)'!$C$5="batch mix plant",'Asphalt Plant (AP-9)'!R30,0),IF('Asphalt Plant (AP-10)'!$C$5="batch mix plant",'Asphalt Plant (AP-10)'!R30,0)))</f>
        <v/>
      </c>
      <c r="L26" s="31" t="str">
        <f ca="1">IF(B26="","",SUM(IF('Asphalt Plant (AP-1)'!$C$5="batch mix plant",'Asphalt Plant (AP-1)'!S29,0),IF('Asphalt Plant (AP-2)'!$C$5="batch mix plant",'Asphalt Plant (AP-2)'!S30,0),IF('Asphalt Plant (AP-3)'!$C$5="batch mix plant",'Asphalt Plant (AP-3)'!S30,0),IF('Asphalt Plant (AP-4)'!$C$5="batch mix plant",'Asphalt Plant (AP-4)'!S30,0),IF('Asphalt Plant (AP-5)'!$C$5="batch mix plant",'Asphalt Plant (AP-5)'!S30,0),IF('Asphalt Plant (AP-6)'!$C$5="batch mix plant",'Asphalt Plant (AP-6)'!S30,0),IF('Asphalt Plant (AP-7)'!$C$5="batch mix plant",'Asphalt Plant (AP-7)'!S30,0),IF('Asphalt Plant (AP-8)'!$C$5="batch mix plant",'Asphalt Plant (AP-8)'!S30,0),IF('Asphalt Plant (AP-9)'!$C$5="batch mix plant",'Asphalt Plant (AP-9)'!S30,0),IF('Asphalt Plant (AP-10)'!$C$5="batch mix plant",'Asphalt Plant (AP-10)'!S30,0)))</f>
        <v/>
      </c>
      <c r="M26" s="31" t="str">
        <f ca="1">IF(B26="","",SUM(IF('Asphalt Plant (AP-1)'!$C$5="batch mix plant",'Asphalt Plant (AP-1)'!T29,0),IF('Asphalt Plant (AP-2)'!$C$5="batch mix plant",'Asphalt Plant (AP-2)'!T30,0),IF('Asphalt Plant (AP-3)'!$C$5="batch mix plant",'Asphalt Plant (AP-3)'!T30,0),IF('Asphalt Plant (AP-4)'!$C$5="batch mix plant",'Asphalt Plant (AP-4)'!T30,0),IF('Asphalt Plant (AP-5)'!$C$5="batch mix plant",'Asphalt Plant (AP-5)'!T30,0),IF('Asphalt Plant (AP-6)'!$C$5="batch mix plant",'Asphalt Plant (AP-6)'!T30,0),IF('Asphalt Plant (AP-7)'!$C$5="batch mix plant",'Asphalt Plant (AP-7)'!T30,0),IF('Asphalt Plant (AP-8)'!$C$5="batch mix plant",'Asphalt Plant (AP-8)'!T30,0),IF('Asphalt Plant (AP-9)'!$C$5="batch mix plant",'Asphalt Plant (AP-9)'!T30,0),IF('Asphalt Plant (AP-10)'!$C$5="batch mix plant",'Asphalt Plant (AP-10)'!T30,0)))</f>
        <v/>
      </c>
    </row>
    <row r="27" spans="1:13" s="102" customFormat="1" x14ac:dyDescent="0.25">
      <c r="A27" s="30" t="str">
        <f t="shared" si="3"/>
        <v/>
      </c>
      <c r="B27" s="135" t="str">
        <f>IF(D27="","","Drum Mix Plant - Fuel Oil")</f>
        <v/>
      </c>
      <c r="C27" s="30" t="str">
        <f>IF(B27="","","30500258")</f>
        <v/>
      </c>
      <c r="D27" s="3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27" s="30" t="str">
        <f t="shared" si="4"/>
        <v/>
      </c>
      <c r="F27" s="137" t="str">
        <f>IF(B27="","",MAX(IF('Asphalt Plant (AP-1)'!$C$5="drum mix plant",'Asphalt Plant (AP-1)'!O27,0),IF('Asphalt Plant (AP-2)'!$C$5="drum mix plant",'Asphalt Plant (AP-2)'!O28,0),IF('Asphalt Plant (AP-3)'!$C$5="drum mix plant",'Asphalt Plant (AP-3)'!O28,0),IF('Asphalt Plant (AP-4)'!$C$5="drum mix plant",'Asphalt Plant (AP-4)'!O28,0),IF('Asphalt Plant (AP-5)'!$C$5="drum mix plant",'Asphalt Plant (AP-5)'!O28,0),IF('Asphalt Plant (AP-6)'!$C$5="drum mix plant",'Asphalt Plant (AP-6)'!O28,0),IF('Asphalt Plant (AP-7)'!$C$5="drum mix plant",'Asphalt Plant (AP-7)'!O28,0),IF('Asphalt Plant (AP-8)'!$C$5="drum mix plant",'Asphalt Plant (AP-8)'!O28,0),IF('Asphalt Plant (AP-9)'!$C$5="drum mix plant",'Asphalt Plant (AP-9)'!O28,0),IF('Asphalt Plant (AP-10)'!$C$5="drum mix plant",'Asphalt Plant (AP-10)'!O28,0)))</f>
        <v/>
      </c>
      <c r="G27" s="30" t="str">
        <f t="shared" si="5"/>
        <v/>
      </c>
      <c r="H27" s="138" t="str">
        <f>IF(B27="","","AP-42 Table 11.1-4,7,8,10")</f>
        <v/>
      </c>
      <c r="I27" s="31" t="str">
        <f>IF(B27="","",SUM(IF('Asphalt Plant (AP-1)'!$C$5="drum mix plant",'Asphalt Plant (AP-1)'!Q27,0),IF('Asphalt Plant (AP-2)'!$C$5="drum mix plant",'Asphalt Plant (AP-2)'!Q28,0),IF('Asphalt Plant (AP-3)'!$C$5="drum mix plant",'Asphalt Plant (AP-3)'!Q28,0),IF('Asphalt Plant (AP-4)'!$C$5="drum mix plant",'Asphalt Plant (AP-4)'!Q28,0),IF('Asphalt Plant (AP-5)'!$C$5="drum mix plant",'Asphalt Plant (AP-5)'!Q28,0),IF('Asphalt Plant (AP-6)'!$C$5="drum mix plant",'Asphalt Plant (AP-6)'!Q28,0),IF('Asphalt Plant (AP-7)'!$C$5="drum mix plant",'Asphalt Plant (AP-7)'!Q28,0),IF('Asphalt Plant (AP-8)'!$C$5="drum mix plant",'Asphalt Plant (AP-8)'!Q28,0),IF('Asphalt Plant (AP-9)'!$C$5="drum mix plant",'Asphalt Plant (AP-9)'!Q28,0),IF('Asphalt Plant (AP-10)'!$C$5="drum mix plant",'Asphalt Plant (AP-10)'!Q28,0)))</f>
        <v/>
      </c>
      <c r="K27" s="31" t="str">
        <f>IF(B27="","",SUM(IF('Asphalt Plant (AP-1)'!$C$5="drum mix plant",'Asphalt Plant (AP-1)'!R27,0),IF('Asphalt Plant (AP-2)'!$C$5="drum mix plant",'Asphalt Plant (AP-2)'!R28,0),IF('Asphalt Plant (AP-3)'!$C$5="drum mix plant",'Asphalt Plant (AP-3)'!R28,0),IF('Asphalt Plant (AP-4)'!$C$5="drum mix plant",'Asphalt Plant (AP-4)'!R28,0),IF('Asphalt Plant (AP-5)'!$C$5="drum mix plant",'Asphalt Plant (AP-5)'!R28,0),IF('Asphalt Plant (AP-6)'!$C$5="drum mix plant",'Asphalt Plant (AP-6)'!R28,0),IF('Asphalt Plant (AP-7)'!$C$5="drum mix plant",'Asphalt Plant (AP-7)'!R28,0),IF('Asphalt Plant (AP-8)'!$C$5="drum mix plant",'Asphalt Plant (AP-8)'!R28,0),IF('Asphalt Plant (AP-9)'!$C$5="drum mix plant",'Asphalt Plant (AP-9)'!R28,0),IF('Asphalt Plant (AP-10)'!$C$5="drum mix plant",'Asphalt Plant (AP-10)'!R28,0)))</f>
        <v/>
      </c>
      <c r="L27" s="31" t="str">
        <f>IF(B27="","",SUM(IF('Asphalt Plant (AP-1)'!$C$5="drum mix plant",'Asphalt Plant (AP-1)'!S27,0),IF('Asphalt Plant (AP-2)'!$C$5="drum mix plant",'Asphalt Plant (AP-2)'!S28,0),IF('Asphalt Plant (AP-3)'!$C$5="drum mix plant",'Asphalt Plant (AP-3)'!S28,0),IF('Asphalt Plant (AP-4)'!$C$5="drum mix plant",'Asphalt Plant (AP-4)'!S28,0),IF('Asphalt Plant (AP-5)'!$C$5="drum mix plant",'Asphalt Plant (AP-5)'!S28,0),IF('Asphalt Plant (AP-6)'!$C$5="drum mix plant",'Asphalt Plant (AP-6)'!S28,0),IF('Asphalt Plant (AP-7)'!$C$5="drum mix plant",'Asphalt Plant (AP-7)'!S28,0),IF('Asphalt Plant (AP-8)'!$C$5="drum mix plant",'Asphalt Plant (AP-8)'!S28,0),IF('Asphalt Plant (AP-9)'!$C$5="drum mix plant",'Asphalt Plant (AP-9)'!S28,0),IF('Asphalt Plant (AP-10)'!$C$5="drum mix plant",'Asphalt Plant (AP-10)'!S28,0)))</f>
        <v/>
      </c>
      <c r="M27" s="31" t="str">
        <f>IF(B27="","",SUM(IF('Asphalt Plant (AP-1)'!$C$5="drum mix plant",'Asphalt Plant (AP-1)'!T27,0),IF('Asphalt Plant (AP-2)'!$C$5="drum mix plant",'Asphalt Plant (AP-2)'!T28,0),IF('Asphalt Plant (AP-3)'!$C$5="drum mix plant",'Asphalt Plant (AP-3)'!T28,0),IF('Asphalt Plant (AP-4)'!$C$5="drum mix plant",'Asphalt Plant (AP-4)'!T28,0),IF('Asphalt Plant (AP-5)'!$C$5="drum mix plant",'Asphalt Plant (AP-5)'!T28,0),IF('Asphalt Plant (AP-6)'!$C$5="drum mix plant",'Asphalt Plant (AP-6)'!T28,0),IF('Asphalt Plant (AP-7)'!$C$5="drum mix plant",'Asphalt Plant (AP-7)'!T28,0),IF('Asphalt Plant (AP-8)'!$C$5="drum mix plant",'Asphalt Plant (AP-8)'!T28,0),IF('Asphalt Plant (AP-9)'!$C$5="drum mix plant",'Asphalt Plant (AP-9)'!T28,0),IF('Asphalt Plant (AP-10)'!$C$5="drum mix plant",'Asphalt Plant (AP-10)'!T28,0)))</f>
        <v/>
      </c>
    </row>
    <row r="28" spans="1:13" s="102" customFormat="1" x14ac:dyDescent="0.25">
      <c r="A28" s="30" t="str">
        <f t="shared" si="3"/>
        <v/>
      </c>
      <c r="B28" s="135" t="str">
        <f>IF(D28="","","Drum Mix Plant - Waste Oil")</f>
        <v/>
      </c>
      <c r="C28" s="30" t="str">
        <f>IF(B28="","","30500255")</f>
        <v/>
      </c>
      <c r="D28" s="3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28" s="30" t="str">
        <f t="shared" si="4"/>
        <v/>
      </c>
      <c r="F28" s="137" t="str">
        <f>IF(B28="","",MAX(IF('Asphalt Plant (AP-1)'!$C$5="drum mix plant",'Asphalt Plant (AP-1)'!O28,0),IF('Asphalt Plant (AP-2)'!$C$5="drum mix plant",'Asphalt Plant (AP-2)'!O29,0),IF('Asphalt Plant (AP-3)'!$C$5="drum mix plant",'Asphalt Plant (AP-3)'!O29,0),IF('Asphalt Plant (AP-4)'!$C$5="drum mix plant",'Asphalt Plant (AP-4)'!O29,0),IF('Asphalt Plant (AP-5)'!$C$5="drum mix plant",'Asphalt Plant (AP-5)'!O29,0),IF('Asphalt Plant (AP-6)'!$C$5="drum mix plant",'Asphalt Plant (AP-6)'!O29,0),IF('Asphalt Plant (AP-7)'!$C$5="drum mix plant",'Asphalt Plant (AP-7)'!O29,0),IF('Asphalt Plant (AP-8)'!$C$5="drum mix plant",'Asphalt Plant (AP-8)'!O29,0),IF('Asphalt Plant (AP-9)'!$C$5="drum mix plant",'Asphalt Plant (AP-9)'!O29,0),IF('Asphalt Plant (AP-10)'!$C$5="drum mix plant",'Asphalt Plant (AP-10)'!O29,0)))</f>
        <v/>
      </c>
      <c r="G28" s="30" t="str">
        <f t="shared" si="5"/>
        <v/>
      </c>
      <c r="H28" s="138" t="str">
        <f>IF(B28="","","AP-42 Table 11.1-4,7,8,10")</f>
        <v/>
      </c>
      <c r="I28" s="31" t="str">
        <f>IF(B28="","",SUM(IF('Asphalt Plant (AP-1)'!$C$5="drum mix plant",'Asphalt Plant (AP-1)'!Q28,0),IF('Asphalt Plant (AP-2)'!$C$5="drum mix plant",'Asphalt Plant (AP-2)'!Q29,0),IF('Asphalt Plant (AP-3)'!$C$5="drum mix plant",'Asphalt Plant (AP-3)'!Q29,0),IF('Asphalt Plant (AP-4)'!$C$5="drum mix plant",'Asphalt Plant (AP-4)'!Q29,0),IF('Asphalt Plant (AP-5)'!$C$5="drum mix plant",'Asphalt Plant (AP-5)'!Q29,0),IF('Asphalt Plant (AP-6)'!$C$5="drum mix plant",'Asphalt Plant (AP-6)'!Q29,0),IF('Asphalt Plant (AP-7)'!$C$5="drum mix plant",'Asphalt Plant (AP-7)'!Q29,0),IF('Asphalt Plant (AP-8)'!$C$5="drum mix plant",'Asphalt Plant (AP-8)'!Q29,0),IF('Asphalt Plant (AP-9)'!$C$5="drum mix plant",'Asphalt Plant (AP-9)'!Q29,0),IF('Asphalt Plant (AP-10)'!$C$5="drum mix plant",'Asphalt Plant (AP-10)'!Q29,0)))</f>
        <v/>
      </c>
      <c r="J28" s="30"/>
      <c r="K28" s="31" t="str">
        <f>IF(B28="","",SUM(IF('Asphalt Plant (AP-1)'!$C$5="drum mix plant",'Asphalt Plant (AP-1)'!R28,0),IF('Asphalt Plant (AP-2)'!$C$5="drum mix plant",'Asphalt Plant (AP-2)'!R29,0),IF('Asphalt Plant (AP-3)'!$C$5="drum mix plant",'Asphalt Plant (AP-3)'!R29,0),IF('Asphalt Plant (AP-4)'!$C$5="drum mix plant",'Asphalt Plant (AP-4)'!R29,0),IF('Asphalt Plant (AP-5)'!$C$5="drum mix plant",'Asphalt Plant (AP-5)'!R29,0),IF('Asphalt Plant (AP-6)'!$C$5="drum mix plant",'Asphalt Plant (AP-6)'!R29,0),IF('Asphalt Plant (AP-7)'!$C$5="drum mix plant",'Asphalt Plant (AP-7)'!R29,0),IF('Asphalt Plant (AP-8)'!$C$5="drum mix plant",'Asphalt Plant (AP-8)'!R29,0),IF('Asphalt Plant (AP-9)'!$C$5="drum mix plant",'Asphalt Plant (AP-9)'!R29,0),IF('Asphalt Plant (AP-10)'!$C$5="drum mix plant",'Asphalt Plant (AP-10)'!R29,0)))</f>
        <v/>
      </c>
      <c r="L28" s="31" t="str">
        <f>IF(B28="","",SUM(IF('Asphalt Plant (AP-1)'!$C$5="drum mix plant",'Asphalt Plant (AP-1)'!S28,0),IF('Asphalt Plant (AP-2)'!$C$5="drum mix plant",'Asphalt Plant (AP-2)'!S29,0),IF('Asphalt Plant (AP-3)'!$C$5="drum mix plant",'Asphalt Plant (AP-3)'!S29,0),IF('Asphalt Plant (AP-4)'!$C$5="drum mix plant",'Asphalt Plant (AP-4)'!S29,0),IF('Asphalt Plant (AP-5)'!$C$5="drum mix plant",'Asphalt Plant (AP-5)'!S29,0),IF('Asphalt Plant (AP-6)'!$C$5="drum mix plant",'Asphalt Plant (AP-6)'!S29,0),IF('Asphalt Plant (AP-7)'!$C$5="drum mix plant",'Asphalt Plant (AP-7)'!S29,0),IF('Asphalt Plant (AP-8)'!$C$5="drum mix plant",'Asphalt Plant (AP-8)'!S29,0),IF('Asphalt Plant (AP-9)'!$C$5="drum mix plant",'Asphalt Plant (AP-9)'!S29,0),IF('Asphalt Plant (AP-10)'!$C$5="drum mix plant",'Asphalt Plant (AP-10)'!S29,0)))</f>
        <v/>
      </c>
      <c r="M28" s="31" t="str">
        <f>IF(B28="","",SUM(IF('Asphalt Plant (AP-1)'!$C$5="drum mix plant",'Asphalt Plant (AP-1)'!T28,0),IF('Asphalt Plant (AP-2)'!$C$5="drum mix plant",'Asphalt Plant (AP-2)'!T29,0),IF('Asphalt Plant (AP-3)'!$C$5="drum mix plant",'Asphalt Plant (AP-3)'!T29,0),IF('Asphalt Plant (AP-4)'!$C$5="drum mix plant",'Asphalt Plant (AP-4)'!T29,0),IF('Asphalt Plant (AP-5)'!$C$5="drum mix plant",'Asphalt Plant (AP-5)'!T29,0),IF('Asphalt Plant (AP-6)'!$C$5="drum mix plant",'Asphalt Plant (AP-6)'!T29,0),IF('Asphalt Plant (AP-7)'!$C$5="drum mix plant",'Asphalt Plant (AP-7)'!T29,0),IF('Asphalt Plant (AP-8)'!$C$5="drum mix plant",'Asphalt Plant (AP-8)'!T29,0),IF('Asphalt Plant (AP-9)'!$C$5="drum mix plant",'Asphalt Plant (AP-9)'!T29,0),IF('Asphalt Plant (AP-10)'!$C$5="drum mix plant",'Asphalt Plant (AP-10)'!T29,0)))</f>
        <v/>
      </c>
    </row>
    <row r="29" spans="1:13" s="102" customFormat="1" x14ac:dyDescent="0.25">
      <c r="A29" s="30" t="str">
        <f t="shared" si="3"/>
        <v/>
      </c>
      <c r="B29" s="135" t="str">
        <f>IF(D29="","","Drum Mix Plant - Natural Gas")</f>
        <v/>
      </c>
      <c r="C29" s="30" t="str">
        <f>IF(B29="","","30500261")</f>
        <v/>
      </c>
      <c r="D29" s="3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29" s="30" t="str">
        <f t="shared" si="4"/>
        <v/>
      </c>
      <c r="F29" s="137" t="str">
        <f>IF(B29="","",MAX(IF('Asphalt Plant (AP-1)'!$C$5="drum mix plant",'Asphalt Plant (AP-1)'!O29,0),IF('Asphalt Plant (AP-2)'!$C$5="drum mix plant",'Asphalt Plant (AP-2)'!O30,0),IF('Asphalt Plant (AP-3)'!$C$5="drum mix plant",'Asphalt Plant (AP-3)'!O30,0),IF('Asphalt Plant (AP-4)'!$C$5="drum mix plant",'Asphalt Plant (AP-4)'!O30,0),IF('Asphalt Plant (AP-5)'!$C$5="drum mix plant",'Asphalt Plant (AP-5)'!O30,0),IF('Asphalt Plant (AP-6)'!$C$5="drum mix plant",'Asphalt Plant (AP-6)'!O30,0),IF('Asphalt Plant (AP-7)'!$C$5="drum mix plant",'Asphalt Plant (AP-7)'!O30,0),IF('Asphalt Plant (AP-8)'!$C$5="drum mix plant",'Asphalt Plant (AP-8)'!O30,0),IF('Asphalt Plant (AP-9)'!$C$5="drum mix plant",'Asphalt Plant (AP-9)'!O30,0),IF('Asphalt Plant (AP-10)'!$C$5="drum mix plant",'Asphalt Plant (AP-10)'!O30,0)))</f>
        <v/>
      </c>
      <c r="G29" s="30" t="str">
        <f t="shared" si="5"/>
        <v/>
      </c>
      <c r="H29" s="138" t="str">
        <f>IF(B29="","","AP-42 Table 11.1-4,7,8,10,12")</f>
        <v/>
      </c>
      <c r="I29" s="31" t="str">
        <f>IF(B29="","",SUM(IF('Asphalt Plant (AP-1)'!$C$5="drum mix plant",'Asphalt Plant (AP-1)'!Q29,0),IF('Asphalt Plant (AP-2)'!$C$5="drum mix plant",'Asphalt Plant (AP-2)'!Q30,0),IF('Asphalt Plant (AP-3)'!$C$5="drum mix plant",'Asphalt Plant (AP-3)'!Q30,0),IF('Asphalt Plant (AP-4)'!$C$5="drum mix plant",'Asphalt Plant (AP-4)'!Q30,0),IF('Asphalt Plant (AP-5)'!$C$5="drum mix plant",'Asphalt Plant (AP-5)'!Q30,0),IF('Asphalt Plant (AP-6)'!$C$5="drum mix plant",'Asphalt Plant (AP-6)'!Q30,0),IF('Asphalt Plant (AP-7)'!$C$5="drum mix plant",'Asphalt Plant (AP-7)'!Q30,0),IF('Asphalt Plant (AP-8)'!$C$5="drum mix plant",'Asphalt Plant (AP-8)'!Q30,0),IF('Asphalt Plant (AP-9)'!$C$5="drum mix plant",'Asphalt Plant (AP-9)'!Q30,0),IF('Asphalt Plant (AP-10)'!$C$5="drum mix plant",'Asphalt Plant (AP-10)'!Q30,0)))</f>
        <v/>
      </c>
      <c r="J29" s="30"/>
      <c r="K29" s="31" t="str">
        <f>IF(B29="","",SUM(IF('Asphalt Plant (AP-1)'!$C$5="drum mix plant",'Asphalt Plant (AP-1)'!R29,0),IF('Asphalt Plant (AP-2)'!$C$5="drum mix plant",'Asphalt Plant (AP-2)'!R30,0),IF('Asphalt Plant (AP-3)'!$C$5="drum mix plant",'Asphalt Plant (AP-3)'!R30,0),IF('Asphalt Plant (AP-4)'!$C$5="drum mix plant",'Asphalt Plant (AP-4)'!R30,0),IF('Asphalt Plant (AP-5)'!$C$5="drum mix plant",'Asphalt Plant (AP-5)'!R30,0),IF('Asphalt Plant (AP-6)'!$C$5="drum mix plant",'Asphalt Plant (AP-6)'!R30,0),IF('Asphalt Plant (AP-7)'!$C$5="drum mix plant",'Asphalt Plant (AP-7)'!R30,0),IF('Asphalt Plant (AP-8)'!$C$5="drum mix plant",'Asphalt Plant (AP-8)'!R30,0),IF('Asphalt Plant (AP-9)'!$C$5="drum mix plant",'Asphalt Plant (AP-9)'!R30,0),IF('Asphalt Plant (AP-10)'!$C$5="drum mix plant",'Asphalt Plant (AP-10)'!R30,0)))</f>
        <v/>
      </c>
      <c r="L29" s="31" t="str">
        <f>IF(B29="","",SUM(IF('Asphalt Plant (AP-1)'!$C$5="drum mix plant",'Asphalt Plant (AP-1)'!S29,0),IF('Asphalt Plant (AP-2)'!$C$5="drum mix plant",'Asphalt Plant (AP-2)'!S30,0),IF('Asphalt Plant (AP-3)'!$C$5="drum mix plant",'Asphalt Plant (AP-3)'!S30,0),IF('Asphalt Plant (AP-4)'!$C$5="drum mix plant",'Asphalt Plant (AP-4)'!S30,0),IF('Asphalt Plant (AP-5)'!$C$5="drum mix plant",'Asphalt Plant (AP-5)'!S30,0),IF('Asphalt Plant (AP-6)'!$C$5="drum mix plant",'Asphalt Plant (AP-6)'!S30,0),IF('Asphalt Plant (AP-7)'!$C$5="drum mix plant",'Asphalt Plant (AP-7)'!S30,0),IF('Asphalt Plant (AP-8)'!$C$5="drum mix plant",'Asphalt Plant (AP-8)'!S30,0),IF('Asphalt Plant (AP-9)'!$C$5="drum mix plant",'Asphalt Plant (AP-9)'!S30,0),IF('Asphalt Plant (AP-10)'!$C$5="drum mix plant",'Asphalt Plant (AP-10)'!S30,0)))</f>
        <v/>
      </c>
      <c r="M29" s="31" t="str">
        <f>IF(B29="","",SUM(IF('Asphalt Plant (AP-1)'!$C$5="drum mix plant",'Asphalt Plant (AP-1)'!T29,0),IF('Asphalt Plant (AP-2)'!$C$5="drum mix plant",'Asphalt Plant (AP-2)'!T30,0),IF('Asphalt Plant (AP-3)'!$C$5="drum mix plant",'Asphalt Plant (AP-3)'!T30,0),IF('Asphalt Plant (AP-4)'!$C$5="drum mix plant",'Asphalt Plant (AP-4)'!T30,0),IF('Asphalt Plant (AP-5)'!$C$5="drum mix plant",'Asphalt Plant (AP-5)'!T30,0),IF('Asphalt Plant (AP-6)'!$C$5="drum mix plant",'Asphalt Plant (AP-6)'!T30,0),IF('Asphalt Plant (AP-7)'!$C$5="drum mix plant",'Asphalt Plant (AP-7)'!T30,0),IF('Asphalt Plant (AP-8)'!$C$5="drum mix plant",'Asphalt Plant (AP-8)'!T30,0),IF('Asphalt Plant (AP-9)'!$C$5="drum mix plant",'Asphalt Plant (AP-9)'!T30,0),IF('Asphalt Plant (AP-10)'!$C$5="drum mix plant",'Asphalt Plant (AP-10)'!T30,0)))</f>
        <v/>
      </c>
    </row>
    <row r="30" spans="1:13" s="102" customFormat="1" x14ac:dyDescent="0.25">
      <c r="A30" s="30" t="str">
        <f ca="1">IF(SUM('Asphalt Plant (AP-1)'!N30,'Asphalt Plant (AP-2)'!N31,'Asphalt Plant (AP-3)'!N31,'Asphalt Plant (AP-4)'!N31,'Asphalt Plant (AP-5)'!N31,'Asphalt Plant (AP-6)'!N31,'Asphalt Plant (AP-7)'!N31,'Asphalt Plant (AP-8)'!N31,'Asphalt Plant (AP-9)'!N31,'Asphalt Plant (AP-10)'!N31)&gt;0,"ALL","")</f>
        <v/>
      </c>
      <c r="B30" s="99" t="str">
        <f ca="1">IF(SUM('Asphalt Plant (AP-1)'!N30,'Asphalt Plant (AP-2)'!N31,'Asphalt Plant (AP-3)'!N31,'Asphalt Plant (AP-4)'!N31,'Asphalt Plant (AP-5)'!N31,'Asphalt Plant (AP-6)'!N31,'Asphalt Plant (AP-7)'!N31,'Asphalt Plant (AP-8)'!N31,'Asphalt Plant (AP-9)'!N31,'Asphalt Plant (AP-10)'!N31)&gt;0,"Silo Filling","")</f>
        <v/>
      </c>
      <c r="C30" s="30" t="str">
        <f ca="1">IF(B30="","","30500213")</f>
        <v/>
      </c>
      <c r="D30" s="30" t="str">
        <f ca="1">IF(SUM('Asphalt Plant (AP-1)'!N11,'Asphalt Plant (AP-2)'!N11,'Asphalt Plant (AP-3)'!N11,'Asphalt Plant (AP-4)'!N11,'Asphalt Plant (AP-5)'!N11,'Asphalt Plant (AP-6)'!N11,'Asphalt Plant (AP-7)'!N11,'Asphalt Plant (AP-8)'!N11,'Asphalt Plant (AP-9)'!N11,'Asphalt Plant (AP-10)'!N11)&gt;0,SUM('Asphalt Plant (AP-1)'!N11,'Asphalt Plant (AP-2)'!N11,'Asphalt Plant (AP-3)'!N11,'Asphalt Plant (AP-4)'!N11,'Asphalt Plant (AP-5)'!N11,'Asphalt Plant (AP-6)'!N11,'Asphalt Plant (AP-7)'!N11,'Asphalt Plant (AP-8)'!N11,'Asphalt Plant (AP-9)'!N11,'Asphalt Plant (AP-10)'!N11),"")</f>
        <v/>
      </c>
      <c r="E30" s="30" t="str">
        <f t="shared" ca="1" si="4"/>
        <v/>
      </c>
      <c r="F30" s="137" t="str">
        <f ca="1">IF(B30="","",LOOKUP(B30,'Emission Factors'!$A$23:$A$25,'Emission Factors'!$F$23:$F$25))</f>
        <v/>
      </c>
      <c r="G30" s="30" t="str">
        <f t="shared" ca="1" si="5"/>
        <v/>
      </c>
      <c r="H30" s="138" t="str">
        <f ca="1">IF(B30="","",LOOKUP(B30,'Emission Factors'!$A$23:$A$25,'Emission Factors'!$C$23:$C$25))</f>
        <v/>
      </c>
      <c r="I30" s="31" t="str">
        <f ca="1">IF(D12="","",SUM('Asphalt Plant (AP-1)'!Q30,'Asphalt Plant (AP-2)'!Q31,'Asphalt Plant (AP-3)'!Q31,'Asphalt Plant (AP-4)'!Q31,'Asphalt Plant (AP-5)'!Q31,'Asphalt Plant (AP-6)'!Q31,'Asphalt Plant (AP-7)'!Q31,'Asphalt Plant (AP-8)'!Q31,'Asphalt Plant (AP-9)'!Q31,'Asphalt Plant (AP-10)'!Q31))</f>
        <v/>
      </c>
      <c r="J30" s="30"/>
      <c r="K30" s="31"/>
      <c r="L30" s="31" t="str">
        <f ca="1">IF(B12="","",SUM('Asphalt Plant (AP-1)'!S30,'Asphalt Plant (AP-2)'!S31,'Asphalt Plant (AP-3)'!S31,'Asphalt Plant (AP-4)'!S31,'Asphalt Plant (AP-5)'!S31,'Asphalt Plant (AP-6)'!S31,'Asphalt Plant (AP-7)'!S31,'Asphalt Plant (AP-8)'!S31,'Asphalt Plant (AP-9)'!S31,'Asphalt Plant (AP-10)'!S31,))</f>
        <v/>
      </c>
      <c r="M30" s="31" t="str">
        <f ca="1">IF(C12="","",SUM('Asphalt Plant (AP-1)'!T30,'Asphalt Plant (AP-2)'!T31,'Asphalt Plant (AP-3)'!T31,'Asphalt Plant (AP-4)'!T31,'Asphalt Plant (AP-5)'!T31,'Asphalt Plant (AP-6)'!T31,'Asphalt Plant (AP-7)'!T31,'Asphalt Plant (AP-8)'!T31,'Asphalt Plant (AP-9)'!T31,'Asphalt Plant (AP-10)'!T31,))</f>
        <v/>
      </c>
    </row>
    <row r="31" spans="1:13" s="102" customFormat="1" x14ac:dyDescent="0.25">
      <c r="A31" s="30" t="str">
        <f ca="1">IF(SUM('Asphalt Plant (AP-1)'!N31,'Asphalt Plant (AP-2)'!N32,'Asphalt Plant (AP-3)'!N32,'Asphalt Plant (AP-4)'!N32,'Asphalt Plant (AP-5)'!N32,'Asphalt Plant (AP-6)'!N32,'Asphalt Plant (AP-7)'!N32,'Asphalt Plant (AP-8)'!N32,'Asphalt Plant (AP-9)'!N32,'Asphalt Plant (AP-10)'!N32)&gt;0,"ALL","")</f>
        <v/>
      </c>
      <c r="B31" s="99" t="str">
        <f ca="1">IF(SUM('Asphalt Plant (AP-1)'!N31,'Asphalt Plant (AP-2)'!N32,'Asphalt Plant (AP-3)'!N32,'Asphalt Plant (AP-4)'!N32,'Asphalt Plant (AP-5)'!N32,'Asphalt Plant (AP-6)'!N32,'Asphalt Plant (AP-7)'!N32,'Asphalt Plant (AP-8)'!N32,'Asphalt Plant (AP-9)'!N32,'Asphalt Plant (AP-10)'!N32)&gt;0,"Truck Loadout","")</f>
        <v/>
      </c>
      <c r="C31" s="30" t="str">
        <f ca="1">IF(B31="","","30500214")</f>
        <v/>
      </c>
      <c r="D31" s="30" t="str">
        <f ca="1">IF(SUM('Asphalt Plant (AP-1)'!N12,'Asphalt Plant (AP-2)'!N12,'Asphalt Plant (AP-3)'!N12,'Asphalt Plant (AP-4)'!N12,'Asphalt Plant (AP-5)'!N12,'Asphalt Plant (AP-6)'!N12,'Asphalt Plant (AP-7)'!N12,'Asphalt Plant (AP-8)'!N12,'Asphalt Plant (AP-9)'!N12,'Asphalt Plant (AP-10)'!N12)&gt;0,SUM('Asphalt Plant (AP-1)'!N12,'Asphalt Plant (AP-2)'!N12,'Asphalt Plant (AP-3)'!N12,'Asphalt Plant (AP-4)'!N12,'Asphalt Plant (AP-5)'!N12,'Asphalt Plant (AP-6)'!N12,'Asphalt Plant (AP-7)'!N12,'Asphalt Plant (AP-8)'!N12,'Asphalt Plant (AP-9)'!N12,'Asphalt Plant (AP-10)'!N12),"")</f>
        <v/>
      </c>
      <c r="E31" s="30" t="str">
        <f t="shared" ca="1" si="4"/>
        <v/>
      </c>
      <c r="F31" s="137" t="str">
        <f ca="1">IF(B31="","",LOOKUP(B31,'Emission Factors'!$A$23:$A$25,'Emission Factors'!$F$23:$F$25))</f>
        <v/>
      </c>
      <c r="G31" s="30" t="str">
        <f t="shared" ca="1" si="5"/>
        <v/>
      </c>
      <c r="H31" s="138" t="str">
        <f ca="1">IF(B31="","",LOOKUP(B31,'Emission Factors'!$A$23:$A$25,'Emission Factors'!$C$23:$C$25))</f>
        <v/>
      </c>
      <c r="I31" s="31" t="str">
        <f ca="1">IF(D13="","",SUM('Asphalt Plant (AP-1)'!Q31,'Asphalt Plant (AP-2)'!Q32,'Asphalt Plant (AP-3)'!Q32,'Asphalt Plant (AP-4)'!Q32,'Asphalt Plant (AP-5)'!Q32,'Asphalt Plant (AP-6)'!Q32,'Asphalt Plant (AP-7)'!Q32,'Asphalt Plant (AP-8)'!Q32,'Asphalt Plant (AP-9)'!Q32,'Asphalt Plant (AP-10)'!Q32))</f>
        <v/>
      </c>
      <c r="J31" s="30"/>
      <c r="K31" s="31"/>
      <c r="L31" s="31" t="str">
        <f ca="1">IF(B13="","",SUM('Asphalt Plant (AP-1)'!S31,'Asphalt Plant (AP-2)'!S32,'Asphalt Plant (AP-3)'!S32,'Asphalt Plant (AP-4)'!S32,'Asphalt Plant (AP-5)'!S32,'Asphalt Plant (AP-6)'!S32,'Asphalt Plant (AP-7)'!S32,'Asphalt Plant (AP-8)'!S32,'Asphalt Plant (AP-9)'!S32,'Asphalt Plant (AP-10)'!S32,))</f>
        <v/>
      </c>
      <c r="M31" s="31" t="str">
        <f ca="1">IF(C13="","",SUM('Asphalt Plant (AP-1)'!T31,'Asphalt Plant (AP-2)'!T32,'Asphalt Plant (AP-3)'!T32,'Asphalt Plant (AP-4)'!T32,'Asphalt Plant (AP-5)'!T32,'Asphalt Plant (AP-6)'!T32,'Asphalt Plant (AP-7)'!T32,'Asphalt Plant (AP-8)'!T32,'Asphalt Plant (AP-9)'!T32,'Asphalt Plant (AP-10)'!T32,))</f>
        <v/>
      </c>
    </row>
    <row r="32" spans="1:13" s="102" customFormat="1" x14ac:dyDescent="0.25">
      <c r="A32" s="30" t="str">
        <f ca="1">IF(SUM('Asphalt Plant (AP-1)'!N32,'Asphalt Plant (AP-2)'!N33,'Asphalt Plant (AP-3)'!N33,'Asphalt Plant (AP-4)'!N33,'Asphalt Plant (AP-5)'!N33,'Asphalt Plant (AP-6)'!N33,'Asphalt Plant (AP-7)'!N33,'Asphalt Plant (AP-8)'!N33,'Asphalt Plant (AP-9)'!N33,'Asphalt Plant (AP-10)'!N33)&gt;0,"ALL","")</f>
        <v/>
      </c>
      <c r="B32" s="99" t="str">
        <f ca="1">IF(SUM('Asphalt Plant (AP-1)'!N32,'Asphalt Plant (AP-2)'!N33,'Asphalt Plant (AP-3)'!N33,'Asphalt Plant (AP-4)'!N33,'Asphalt Plant (AP-5)'!N33,'Asphalt Plant (AP-6)'!N33,'Asphalt Plant (AP-7)'!N33,'Asphalt Plant (AP-8)'!N33,'Asphalt Plant (AP-9)'!N33,'Asphalt Plant (AP-10)'!N33)&gt;0,"Cold Aggregate Bins","")</f>
        <v/>
      </c>
      <c r="C32" s="30" t="str">
        <f ca="1">IF(B32="","","30500204")</f>
        <v/>
      </c>
      <c r="D32" s="30" t="str">
        <f ca="1">IF(SUM('Asphalt Plant (AP-1)'!N13,'Asphalt Plant (AP-2)'!N13,'Asphalt Plant (AP-3)'!N13,'Asphalt Plant (AP-4)'!N13,'Asphalt Plant (AP-5)'!N13,'Asphalt Plant (AP-6)'!N13,'Asphalt Plant (AP-7)'!N13,'Asphalt Plant (AP-8)'!N13,'Asphalt Plant (AP-9)'!N13,'Asphalt Plant (AP-10)'!N13)&gt;0,SUM('Asphalt Plant (AP-1)'!N13,'Asphalt Plant (AP-2)'!N13,'Asphalt Plant (AP-3)'!N13,'Asphalt Plant (AP-4)'!N13,'Asphalt Plant (AP-5)'!N13,'Asphalt Plant (AP-6)'!N13,'Asphalt Plant (AP-7)'!N13,'Asphalt Plant (AP-8)'!N13,'Asphalt Plant (AP-9)'!N13,'Asphalt Plant (AP-10)'!N13),"")</f>
        <v/>
      </c>
      <c r="E32" s="30" t="str">
        <f t="shared" ca="1" si="4"/>
        <v/>
      </c>
      <c r="F32" s="137" t="str">
        <f ca="1">IF(B32="","",LOOKUP(B32,'Emission Factors'!$A$23:$A$25,'Emission Factors'!$F$23:$F$25))</f>
        <v/>
      </c>
      <c r="G32" s="30" t="str">
        <f t="shared" ca="1" si="5"/>
        <v/>
      </c>
      <c r="H32" s="138" t="str">
        <f ca="1">IF(B32="","",LOOKUP(B32,'Emission Factors'!$A$23:$A$25,'Emission Factors'!$C$23:$C$25))</f>
        <v/>
      </c>
      <c r="I32" s="31" t="str">
        <f ca="1">IF(D14="","",SUM('Asphalt Plant (AP-1)'!Q32,'Asphalt Plant (AP-2)'!Q33,'Asphalt Plant (AP-3)'!Q33,'Asphalt Plant (AP-4)'!Q33,'Asphalt Plant (AP-5)'!Q33,'Asphalt Plant (AP-6)'!Q33,'Asphalt Plant (AP-7)'!Q33,'Asphalt Plant (AP-8)'!Q33,'Asphalt Plant (AP-9)'!Q33,'Asphalt Plant (AP-10)'!Q33))</f>
        <v/>
      </c>
      <c r="J32" s="136"/>
      <c r="K32" s="31"/>
      <c r="L32" s="31" t="str">
        <f ca="1">IF(B14="","",SUM('Asphalt Plant (AP-1)'!S32,'Asphalt Plant (AP-2)'!S33,'Asphalt Plant (AP-3)'!S33,'Asphalt Plant (AP-4)'!S33,'Asphalt Plant (AP-5)'!S33,'Asphalt Plant (AP-6)'!S33,'Asphalt Plant (AP-7)'!S33,'Asphalt Plant (AP-8)'!S33,'Asphalt Plant (AP-9)'!S33,'Asphalt Plant (AP-10)'!S33,))</f>
        <v/>
      </c>
      <c r="M32" s="31" t="str">
        <f ca="1">IF(C14="","",SUM('Asphalt Plant (AP-1)'!T32,'Asphalt Plant (AP-2)'!T33,'Asphalt Plant (AP-3)'!T33,'Asphalt Plant (AP-4)'!T33,'Asphalt Plant (AP-5)'!T33,'Asphalt Plant (AP-6)'!T33,'Asphalt Plant (AP-7)'!T33,'Asphalt Plant (AP-8)'!T33,'Asphalt Plant (AP-9)'!T33,'Asphalt Plant (AP-10)'!T33,))</f>
        <v/>
      </c>
    </row>
    <row r="33" spans="1:13" s="102" customFormat="1" x14ac:dyDescent="0.25">
      <c r="A33" s="30" t="str">
        <f>IF(SUM('Asphalt Plant (AP-1)'!O35,'Asphalt Plant (AP-2)'!O36,'Asphalt Plant (AP-3)'!O36,'Asphalt Plant (AP-4)'!O36,'Asphalt Plant (AP-5)'!O36,'Asphalt Plant (AP-6)'!O36,'Asphalt Plant (AP-7)'!O36,'Asphalt Plant (AP-8)'!O36,'Asphalt Plant (AP-9)'!O36,'Asphalt Plant (AP-10)'!O36)&gt;0,"ALL","")</f>
        <v/>
      </c>
      <c r="B33" s="99" t="str">
        <f>IF(SUM('Asphalt Plant (AP-1)'!O35,'Asphalt Plant (AP-2)'!O36,'Asphalt Plant (AP-3)'!O36,'Asphalt Plant (AP-4)'!O36,'Asphalt Plant (AP-5)'!O36,'Asphalt Plant (AP-6)'!O36,'Asphalt Plant (AP-7)'!O36,'Asphalt Plant (AP-8)'!O36,'Asphalt Plant (AP-9)'!O36,'Asphalt Plant (AP-10)'!O36)&gt;0,"Storage Piles","")</f>
        <v/>
      </c>
      <c r="C33" s="30" t="str">
        <f>IF(B33="","","30500203")</f>
        <v/>
      </c>
      <c r="D33" s="30" t="str">
        <f>IF(B33="","",SUM('Asphalt Plant (AP-1)'!O35,'Asphalt Plant (AP-2)'!O36,'Asphalt Plant (AP-3)'!O36,'Asphalt Plant (AP-4)'!O36,'Asphalt Plant (AP-5)'!O36,'Asphalt Plant (AP-6)'!O36,'Asphalt Plant (AP-7)'!O36,'Asphalt Plant (AP-8)'!O36,'Asphalt Plant (AP-9)'!O36,'Asphalt Plant (AP-10)'!O36))</f>
        <v/>
      </c>
      <c r="E33" s="30" t="str">
        <f>IF(B33="","","acre/day")</f>
        <v/>
      </c>
      <c r="F33" s="137" t="str">
        <f>IF(B33="","",3.64)</f>
        <v/>
      </c>
      <c r="G33" s="100" t="str">
        <f>IF(B33="","","lb/acre-day")</f>
        <v/>
      </c>
      <c r="H33" s="138" t="str">
        <f>IF(B33="","","WebFIRE")</f>
        <v/>
      </c>
      <c r="I33" s="31" t="str">
        <f>IF(B33="","",SUM('Asphalt Plant (AP-1)'!Q35,'Asphalt Plant (AP-2)'!Q36,'Asphalt Plant (AP-3)'!Q36,'Asphalt Plant (AP-4)'!Q36,'Asphalt Plant (AP-5)'!Q36,'Asphalt Plant (AP-6)'!Q36,'Asphalt Plant (AP-7)'!Q36,'Asphalt Plant (AP-8)'!Q36,'Asphalt Plant (AP-9)'!Q36,'Asphalt Plant (AP-10)'!Q36))</f>
        <v/>
      </c>
      <c r="J33" s="136"/>
      <c r="L33" s="31" t="str">
        <f>IF(B33="","",SUM('Asphalt Plant (AP-1)'!S35,'Asphalt Plant (AP-2)'!S36,'Asphalt Plant (AP-3)'!S36,'Asphalt Plant (AP-4)'!S36,'Asphalt Plant (AP-5)'!S36,'Asphalt Plant (AP-6)'!S36,'Asphalt Plant (AP-7)'!S36,'Asphalt Plant (AP-8)'!S36,'Asphalt Plant (AP-9)'!S36,'Asphalt Plant (AP-10)'!S36))</f>
        <v/>
      </c>
      <c r="M33" s="31" t="str">
        <f>IF(B33="","",SUM('Asphalt Plant (AP-1)'!T35,'Asphalt Plant (AP-2)'!T36,'Asphalt Plant (AP-3)'!T36,'Asphalt Plant (AP-4)'!T36,'Asphalt Plant (AP-5)'!T36,'Asphalt Plant (AP-6)'!T36,'Asphalt Plant (AP-7)'!T36,'Asphalt Plant (AP-8)'!T36,'Asphalt Plant (AP-9)'!T36,'Asphalt Plant (AP-10)'!T36))</f>
        <v/>
      </c>
    </row>
    <row r="34" spans="1:13" x14ac:dyDescent="0.25">
      <c r="A34" s="30" t="str">
        <f>IF('Haul Roads'!L41=0,"","ALL")</f>
        <v/>
      </c>
      <c r="B34" s="98" t="str">
        <f>IF('Haul Roads'!L41=0,"","Unpaved Haul Roads")</f>
        <v/>
      </c>
      <c r="C34" s="30" t="str">
        <f>IF('Haul Roads'!L41=0,"","30205054")</f>
        <v/>
      </c>
      <c r="D34" s="31" t="str">
        <f>IF(F34="","",'Haul Roads'!P36*'Haul Roads'!L36/8760)</f>
        <v/>
      </c>
      <c r="E34" s="30" t="str">
        <f>IF(B16="","","vmt/hr")</f>
        <v/>
      </c>
      <c r="F34" s="100" t="str">
        <f>IF(B16="","",'Haul Roads'!Z36)</f>
        <v/>
      </c>
      <c r="G34" s="30" t="str">
        <f>IF(F34="","","lb/vmt")</f>
        <v/>
      </c>
      <c r="H34" s="101" t="str">
        <f>IF(F34="","","AP-42 Ch 13.2.2")</f>
        <v/>
      </c>
      <c r="I34" s="31" t="str">
        <f>IF(F34="","",D34*F34)</f>
        <v/>
      </c>
      <c r="J34" s="30" t="str">
        <f>IF(SUM('Haul Roads'!AB6:AB35)&gt;0,40,"")</f>
        <v/>
      </c>
      <c r="K34" s="31" t="str">
        <f>IF(SUM('Haul Roads'!AB6:AB35)&gt;0,(SUM('Haul Roads'!AB6:AB35)),"")</f>
        <v/>
      </c>
      <c r="L34" s="31" t="str">
        <f>IF(AND((SUM('Haul Roads'!$M$6:$M$35)&gt;0),'Haul Roads'!L41&gt;0),SUM('Haul Roads'!$AN$8:$AN$17),IF(B34="","",'Haul Roads'!L41))</f>
        <v/>
      </c>
      <c r="M34" s="31" t="str">
        <f>IF(AND((SUM('Haul Roads'!$M$6:$M$35)&gt;0),'Haul Roads'!L46&gt;0),SUM('Haul Roads'!$AO$8:$AO$17),IF(B34="","",'Haul Roads'!L46))</f>
        <v/>
      </c>
    </row>
    <row r="35" spans="1:13" x14ac:dyDescent="0.25">
      <c r="A35" s="30" t="str">
        <f>IF('Haul Roads'!L42=0,"","ALL")</f>
        <v/>
      </c>
      <c r="B35" s="98" t="str">
        <f>IF('Haul Roads'!L42=0,"","Paved Haul Roads")</f>
        <v/>
      </c>
      <c r="C35" s="30" t="str">
        <f>IF('Haul Roads'!L42=0,"","30205054")</f>
        <v/>
      </c>
      <c r="D35" s="31" t="str">
        <f>IF(F35="","",'Haul Roads'!P37*'Haul Roads'!L37/8760)</f>
        <v/>
      </c>
      <c r="E35" s="30" t="str">
        <f>IF(B17="","","vmt/hr")</f>
        <v/>
      </c>
      <c r="F35" s="100" t="str">
        <f>IF(B17="","",'Haul Roads'!Z37)</f>
        <v/>
      </c>
      <c r="G35" s="30" t="str">
        <f>IF(F35="","","lb/vmt")</f>
        <v/>
      </c>
      <c r="H35" s="101" t="str">
        <f>IF(F35="","","AP-42 Ch 13.2.1")</f>
        <v/>
      </c>
      <c r="I35" s="31" t="str">
        <f>IF(F35="","",D35*F35)</f>
        <v/>
      </c>
      <c r="J35" s="30"/>
      <c r="K35" s="31"/>
      <c r="L35" s="31" t="str">
        <f>IF(B35="","",IF(AND((SUM('Haul Roads'!$M$6:$M$35)&gt;0),'Haul Roads'!L42&gt;0,'Haul Roads'!L41&gt;0),"",IF(AND((SUM('Haul Roads'!$M$6:$M$35)&gt;0),'Haul Roads'!L42&gt;0),SUM('Haul Roads'!$AN$8:$AN$17),'Haul Roads'!L42)))</f>
        <v/>
      </c>
      <c r="M35" s="31" t="str">
        <f>IF(B35="","",IF(AND((SUM('Haul Roads'!$M$6:$M$35)&gt;0),'Haul Roads'!L47&gt;0,'Haul Roads'!L46&gt;0),"",IF(AND((SUM('Haul Roads'!$M$6:$M$35)&gt;0),'Haul Roads'!L47&gt;0),SUM('Haul Roads'!$AO$8:$AO$17),'Haul Roads'!L47)))</f>
        <v/>
      </c>
    </row>
    <row r="36" spans="1:13" x14ac:dyDescent="0.25">
      <c r="A36" s="30" t="str">
        <f>IF('Permitted Diesel Engines'!R50=0,"","ALL")</f>
        <v/>
      </c>
      <c r="B36" s="98" t="str">
        <f>IF('Permitted Diesel Engines'!R50=0,"","Diesel Generator ≤ 600 bhp")</f>
        <v/>
      </c>
      <c r="C36" s="30" t="str">
        <f>IF('Permitted Diesel Engines'!R50=0,"",LOOKUP(B18,'Emission Factors'!A43:A44,'Emission Factors'!B43:B44))</f>
        <v/>
      </c>
      <c r="D36" s="30" t="str">
        <f>IF('Permitted Diesel Engines'!R50=0,"",'Permitted Diesel Engines'!R50)</f>
        <v/>
      </c>
      <c r="E36" s="30" t="str">
        <f>IF(B36="","","MMBtu/hr")</f>
        <v/>
      </c>
      <c r="F36" s="100" t="str">
        <f>IF(B36="","",LOOKUP(B36,'Emission Factors'!$A$43:$A$44,'Emission Factors'!$F$43:$F$44))</f>
        <v/>
      </c>
      <c r="G36" s="30" t="str">
        <f>IF(B36="","",LOOKUP(B36,'Emission Factors'!$A$43:$A$44,'Emission Factors'!$C$43:$C$44))</f>
        <v/>
      </c>
      <c r="H36" s="101" t="str">
        <f>IF(B36="","",LOOKUP(B36,'Emission Factors'!$A$43:$A$44,'Emission Factors'!$G$43:$G$44))</f>
        <v/>
      </c>
      <c r="I36" s="31" t="str">
        <f>IF(B36="","",'Emission Calculations'!D36*'Emission Calculations'!F36)</f>
        <v/>
      </c>
      <c r="J36" s="30"/>
      <c r="K36" s="31"/>
      <c r="L36" s="31" t="str">
        <f>IF(F36="","",'Permitted Diesel Engines'!$AB$77)</f>
        <v/>
      </c>
      <c r="M36" s="31" t="str">
        <f>IF(B36="","",'Permitted Diesel Engines'!$T$50*F36/2000)</f>
        <v/>
      </c>
    </row>
    <row r="37" spans="1:13" x14ac:dyDescent="0.25">
      <c r="A37" s="30" t="str">
        <f>IF('Permitted Diesel Engines'!R51=0,"","ALL")</f>
        <v/>
      </c>
      <c r="B37" s="98" t="str">
        <f>IF('Permitted Diesel Engines'!R51=0,"","Diesel Generator&gt; 600 bhp")</f>
        <v/>
      </c>
      <c r="C37" s="30" t="str">
        <f>IF('Permitted Diesel Engines'!R51=0,"",LOOKUP(B19,'Emission Factors'!$A$43:$A$44,'Emission Factors'!$B$43:$B$44))</f>
        <v/>
      </c>
      <c r="D37" s="30" t="str">
        <f>IF('Permitted Diesel Engines'!R51=0,"",'Permitted Diesel Engines'!R51)</f>
        <v/>
      </c>
      <c r="E37" s="30" t="str">
        <f>IF(B37="","","MMBtu/hr")</f>
        <v/>
      </c>
      <c r="F37" s="100" t="str">
        <f>IF(B37="","",LOOKUP(B37,'Emission Factors'!$A$43:$A$44,'Emission Factors'!$F$43:$F$44))</f>
        <v/>
      </c>
      <c r="G37" s="30" t="str">
        <f>IF(B37="","",LOOKUP(B37,'Emission Factors'!$A$43:$A$44,'Emission Factors'!$C$43:$C$44))</f>
        <v/>
      </c>
      <c r="H37" s="101" t="str">
        <f>IF(B37="","",LOOKUP(B37,'Emission Factors'!$A$43:$A$44,'Emission Factors'!$G$43:$G$44))</f>
        <v/>
      </c>
      <c r="I37" s="31" t="str">
        <f>IF(B37="","",'Emission Calculations'!D37*'Emission Calculations'!F37)</f>
        <v/>
      </c>
      <c r="J37" s="30"/>
      <c r="K37" s="31"/>
      <c r="L37" s="31" t="str">
        <f>IF(F37="","",'Permitted Diesel Engines'!$AC$77)</f>
        <v/>
      </c>
      <c r="M37" s="31" t="str">
        <f>IF(B37="","",'Permitted Diesel Engines'!$T$51*F37/2000)</f>
        <v/>
      </c>
    </row>
    <row r="38" spans="1:13" x14ac:dyDescent="0.25">
      <c r="A38" s="7"/>
      <c r="B38" s="6"/>
      <c r="C38" s="7"/>
      <c r="D38" s="7"/>
      <c r="E38" s="7"/>
      <c r="F38" s="7"/>
      <c r="G38" s="7"/>
      <c r="H38" s="7"/>
      <c r="I38" s="9"/>
      <c r="J38" s="256" t="s">
        <v>30</v>
      </c>
      <c r="L38" s="25">
        <f ca="1">SUM(L24:L37)</f>
        <v>0</v>
      </c>
      <c r="M38" s="31">
        <f ca="1">SUM(M24:M37)</f>
        <v>0</v>
      </c>
    </row>
    <row r="39" spans="1:13" x14ac:dyDescent="0.25">
      <c r="A39" s="7"/>
      <c r="B39" s="6"/>
      <c r="C39" s="7"/>
      <c r="D39" s="7"/>
      <c r="E39" s="7"/>
      <c r="F39" s="7"/>
      <c r="G39" s="7"/>
      <c r="H39" s="7"/>
      <c r="I39" s="9"/>
      <c r="J39" s="7"/>
      <c r="K39" s="10"/>
      <c r="L39" s="8"/>
      <c r="M39" s="117"/>
    </row>
    <row r="40" spans="1:13" ht="15" customHeight="1" x14ac:dyDescent="0.25">
      <c r="A40" s="7"/>
      <c r="B40" s="6"/>
      <c r="C40" s="7"/>
      <c r="D40" s="7"/>
      <c r="E40" s="7"/>
      <c r="F40" s="7"/>
      <c r="G40" s="7"/>
      <c r="H40" s="7"/>
      <c r="I40" s="268" t="s">
        <v>306</v>
      </c>
      <c r="J40" s="12"/>
      <c r="K40" s="268" t="s">
        <v>308</v>
      </c>
      <c r="L40" s="268" t="s">
        <v>309</v>
      </c>
      <c r="M40" s="268" t="s">
        <v>299</v>
      </c>
    </row>
    <row r="41" spans="1:13" ht="30.75" customHeight="1" x14ac:dyDescent="0.25">
      <c r="A41" s="277" t="s">
        <v>10</v>
      </c>
      <c r="B41" s="270" t="s">
        <v>11</v>
      </c>
      <c r="C41" s="277" t="s">
        <v>8</v>
      </c>
      <c r="D41" s="270" t="s">
        <v>9</v>
      </c>
      <c r="E41" s="270" t="s">
        <v>31</v>
      </c>
      <c r="F41" s="270" t="s">
        <v>12</v>
      </c>
      <c r="G41" s="270" t="s">
        <v>31</v>
      </c>
      <c r="H41" s="270" t="s">
        <v>284</v>
      </c>
      <c r="I41" s="269" t="s">
        <v>305</v>
      </c>
      <c r="J41" s="270" t="s">
        <v>14</v>
      </c>
      <c r="K41" s="269" t="s">
        <v>307</v>
      </c>
      <c r="L41" s="269" t="s">
        <v>303</v>
      </c>
      <c r="M41" s="269" t="s">
        <v>303</v>
      </c>
    </row>
    <row r="42" spans="1:13" ht="15.75" x14ac:dyDescent="0.25">
      <c r="A42" s="299" t="s">
        <v>3</v>
      </c>
      <c r="B42" s="299"/>
      <c r="C42" s="176"/>
      <c r="D42" s="176"/>
      <c r="E42" s="176"/>
      <c r="F42" s="176"/>
      <c r="G42" s="176"/>
      <c r="H42" s="176"/>
      <c r="I42" s="179"/>
      <c r="J42" s="176"/>
      <c r="K42" s="117"/>
      <c r="L42" s="117"/>
      <c r="M42" s="117"/>
    </row>
    <row r="43" spans="1:13" s="187" customFormat="1" ht="14.25" customHeight="1" x14ac:dyDescent="0.25">
      <c r="A43" s="30" t="str">
        <f t="shared" ref="A43:A48" ca="1" si="6">IF(D43="","","ALL")</f>
        <v/>
      </c>
      <c r="B43" s="135" t="str">
        <f ca="1">IF(D43="","","Batch Mix Plant - Fuel Oil")</f>
        <v/>
      </c>
      <c r="C43" s="30" t="str">
        <f ca="1">IF(B43="","","30500246")</f>
        <v/>
      </c>
      <c r="D43" s="180" t="str">
        <f ca="1">IF(SUM(IF('Asphalt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(AP-10)'!N5,0))&gt;0,SUM(IF('Asphalt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f>
        <v/>
      </c>
      <c r="E43" s="180" t="str">
        <f t="shared" ref="E43:E48" ca="1" si="7">IF(B43="","","tons/hr")</f>
        <v/>
      </c>
      <c r="F43" s="180" t="str">
        <f ca="1">IF(B43="","",MAX(IF('Asphalt Plant (AP-1)'!$C$5="batch mix plant",'Asphalt Plant (AP-1)'!O38,0),IF('Asphalt Plant (AP-2)'!$C$5="batch mix plant",'Asphalt Plant (AP-2)'!O39,0),IF('Asphalt Plant (AP-3)'!$C$5="batch mix plant",'Asphalt Plant (AP-3)'!O39,0),IF('Asphalt Plant (AP-4)'!$C$5="batch mix plant",'Asphalt Plant (AP-4)'!O39,0),IF('Asphalt Plant (AP-5)'!$C$5="batch mix plant",'Asphalt Plant (AP-5)'!O39,0),IF('Asphalt Plant (AP-6)'!$C$5="batch mix plant",'Asphalt Plant (AP-6)'!O39,0),IF('Asphalt Plant (AP-7)'!$C$5="batch mix plant",'Asphalt Plant (AP-7)'!O39,0),IF('Asphalt Plant (AP-8)'!$C$5="batch mix plant",'Asphalt Plant (AP-8)'!O39,0),IF('Asphalt Plant (AP-9)'!$C$5="batch mix plant",'Asphalt Plant (AP-9)'!O39,0),IF('Asphalt Plant (AP-10)'!$C$5="batch mix plant",'Asphalt Plant (AP-10)'!O39,0)))</f>
        <v/>
      </c>
      <c r="G43" s="100" t="str">
        <f t="shared" ref="G43:G48" ca="1" si="8">IF(B43="","","lb/ton")</f>
        <v/>
      </c>
      <c r="H43" s="138" t="str">
        <f ca="1">IF(B43="","","AP-42 Table 11.1-2,5,6,9")</f>
        <v/>
      </c>
      <c r="I43" s="115" t="str">
        <f ca="1">IF(B43="","",SUM(IF('Asphalt Plant (AP-1)'!$C$5="batch mix plant",'Asphalt Plant (AP-1)'!Q38,0),IF('Asphalt Plant (AP-2)'!$C$5="batch mix plant",'Asphalt Plant (AP-2)'!Q39,0),IF('Asphalt Plant (AP-3)'!$C$5="batch mix plant",'Asphalt Plant (AP-3)'!Q39,0),IF('Asphalt Plant (AP-4)'!$C$5="batch mix plant",'Asphalt Plant (AP-4)'!Q39,0),IF('Asphalt Plant (AP-5)'!$C$5="batch mix plant",'Asphalt Plant (AP-5)'!Q39,0),IF('Asphalt Plant (AP-6)'!$C$5="batch mix plant",'Asphalt Plant (AP-6)'!Q39,0),IF('Asphalt Plant (AP-7)'!$C$5="batch mix plant",'Asphalt Plant (AP-7)'!Q39,0),IF('Asphalt Plant (AP-8)'!$C$5="batch mix plant",'Asphalt Plant (AP-8)'!Q39,0),IF('Asphalt Plant (AP-9)'!$C$5="batch mix plant",'Asphalt Plant (AP-9)'!Q39,0),IF('Asphalt Plant (AP-10)'!$C$5="batch mix plant",'Asphalt Plant (AP-10)'!Q39,0)))</f>
        <v/>
      </c>
      <c r="J43" s="191"/>
      <c r="K43" s="115" t="str">
        <f ca="1">IF(C43="","",SUM(IF('Asphalt Plant (AP-1)'!$C$5="batch mix plant",'Asphalt Plant (AP-1)'!R38,0),IF('Asphalt Plant (AP-2)'!$C$5="batch mix plant",'Asphalt Plant (AP-2)'!R39,0),IF('Asphalt Plant (AP-3)'!$C$5="batch mix plant",'Asphalt Plant (AP-3)'!R39,0),IF('Asphalt Plant (AP-4)'!$C$5="batch mix plant",'Asphalt Plant (AP-4)'!R39,0),IF('Asphalt Plant (AP-5)'!$C$5="batch mix plant",'Asphalt Plant (AP-5)'!R39,0),IF('Asphalt Plant (AP-6)'!$C$5="batch mix plant",'Asphalt Plant (AP-6)'!R39,0),IF('Asphalt Plant (AP-7)'!$C$5="batch mix plant",'Asphalt Plant (AP-7)'!R39,0),IF('Asphalt Plant (AP-8)'!$C$5="batch mix plant",'Asphalt Plant (AP-8)'!R39,0),IF('Asphalt Plant (AP-9)'!$C$5="batch mix plant",'Asphalt Plant (AP-9)'!R39,0),IF('Asphalt Plant (AP-10)'!$C$5="batch mix plant",'Asphalt Plant (AP-10)'!R39,0)))</f>
        <v/>
      </c>
      <c r="L43" s="115" t="str">
        <f ca="1">IF(D43="","",SUM(IF('Asphalt Plant (AP-1)'!$C$5="batch mix plant",'Asphalt Plant (AP-1)'!S38,0),IF('Asphalt Plant (AP-2)'!$C$5="batch mix plant",'Asphalt Plant (AP-2)'!S39,0),IF('Asphalt Plant (AP-3)'!$C$5="batch mix plant",'Asphalt Plant (AP-3)'!S39,0),IF('Asphalt Plant (AP-4)'!$C$5="batch mix plant",'Asphalt Plant (AP-4)'!S39,0),IF('Asphalt Plant (AP-5)'!$C$5="batch mix plant",'Asphalt Plant (AP-5)'!S39,0),IF('Asphalt Plant (AP-6)'!$C$5="batch mix plant",'Asphalt Plant (AP-6)'!S39,0),IF('Asphalt Plant (AP-7)'!$C$5="batch mix plant",'Asphalt Plant (AP-7)'!S39,0),IF('Asphalt Plant (AP-8)'!$C$5="batch mix plant",'Asphalt Plant (AP-8)'!S39,0),IF('Asphalt Plant (AP-9)'!$C$5="batch mix plant",'Asphalt Plant (AP-9)'!S39,0),IF('Asphalt Plant (AP-10)'!$C$5="batch mix plant",'Asphalt Plant (AP-10)'!S39,0)))</f>
        <v/>
      </c>
      <c r="M43" s="115" t="str">
        <f ca="1">IF(E43="","",SUM(IF('Asphalt Plant (AP-1)'!$C$5="batch mix plant",'Asphalt Plant (AP-1)'!T38,0),IF('Asphalt Plant (AP-2)'!$C$5="batch mix plant",'Asphalt Plant (AP-2)'!T39,0),IF('Asphalt Plant (AP-3)'!$C$5="batch mix plant",'Asphalt Plant (AP-3)'!T39,0),IF('Asphalt Plant (AP-4)'!$C$5="batch mix plant",'Asphalt Plant (AP-4)'!T39,0),IF('Asphalt Plant (AP-5)'!$C$5="batch mix plant",'Asphalt Plant (AP-5)'!T39,0),IF('Asphalt Plant (AP-6)'!$C$5="batch mix plant",'Asphalt Plant (AP-6)'!T39,0),IF('Asphalt Plant (AP-7)'!$C$5="batch mix plant",'Asphalt Plant (AP-7)'!T39,0),IF('Asphalt Plant (AP-8)'!$C$5="batch mix plant",'Asphalt Plant (AP-8)'!T39,0),IF('Asphalt Plant (AP-9)'!$C$5="batch mix plant",'Asphalt Plant (AP-9)'!T39,0),IF('Asphalt Plant (AP-10)'!$C$5="batch mix plant",'Asphalt Plant (AP-10)'!T39,0)))</f>
        <v/>
      </c>
    </row>
    <row r="44" spans="1:13" s="187" customFormat="1" ht="14.25" customHeight="1" x14ac:dyDescent="0.25">
      <c r="A44" s="30" t="str">
        <f t="shared" ca="1" si="6"/>
        <v/>
      </c>
      <c r="B44" s="135" t="str">
        <f ca="1">IF(D44="","","Batch Mix Plant - Waste Oil")</f>
        <v/>
      </c>
      <c r="C44" s="30" t="str">
        <f ca="1">IF(B44="","","30500245")</f>
        <v/>
      </c>
      <c r="D44" s="180" t="str">
        <f ca="1">IF(SUM(IF('Asphalt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(AP-10)'!N6,0))&gt;0,SUM(IF('Asphalt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f>
        <v/>
      </c>
      <c r="E44" s="180" t="str">
        <f t="shared" ca="1" si="7"/>
        <v/>
      </c>
      <c r="F44" s="180" t="str">
        <f ca="1">IF(B44="","",MAX(IF('Asphalt Plant (AP-1)'!$C$5="batch mix plant",'Asphalt Plant (AP-1)'!O39,0),IF('Asphalt Plant (AP-2)'!$C$5="batch mix plant",'Asphalt Plant (AP-2)'!O40,0),IF('Asphalt Plant (AP-3)'!$C$5="batch mix plant",'Asphalt Plant (AP-3)'!O40,0),IF('Asphalt Plant (AP-4)'!$C$5="batch mix plant",'Asphalt Plant (AP-4)'!O40,0),IF('Asphalt Plant (AP-5)'!$C$5="batch mix plant",'Asphalt Plant (AP-5)'!O40,0),IF('Asphalt Plant (AP-6)'!$C$5="batch mix plant",'Asphalt Plant (AP-6)'!O40,0),IF('Asphalt Plant (AP-7)'!$C$5="batch mix plant",'Asphalt Plant (AP-7)'!O40,0),IF('Asphalt Plant (AP-8)'!$C$5="batch mix plant",'Asphalt Plant (AP-8)'!O40,0),IF('Asphalt Plant (AP-9)'!$C$5="batch mix plant",'Asphalt Plant (AP-9)'!O40,0),IF('Asphalt Plant (AP-10)'!$C$5="batch mix plant",'Asphalt Plant (AP-10)'!O40,0)))</f>
        <v/>
      </c>
      <c r="G44" s="100" t="str">
        <f t="shared" ca="1" si="8"/>
        <v/>
      </c>
      <c r="H44" s="138" t="str">
        <f ca="1">IF(B44="","","AP-42 Table 11.1-2,5,6,9")</f>
        <v/>
      </c>
      <c r="I44" s="115" t="str">
        <f ca="1">IF(B44="","",SUM(IF('Asphalt Plant (AP-1)'!$C$5="batch mix plant",'Asphalt Plant (AP-1)'!Q39,0),IF('Asphalt Plant (AP-2)'!$C$5="batch mix plant",'Asphalt Plant (AP-2)'!Q40,0),IF('Asphalt Plant (AP-3)'!$C$5="batch mix plant",'Asphalt Plant (AP-3)'!Q40,0),IF('Asphalt Plant (AP-4)'!$C$5="batch mix plant",'Asphalt Plant (AP-4)'!Q40,0),IF('Asphalt Plant (AP-5)'!$C$5="batch mix plant",'Asphalt Plant (AP-5)'!Q40,0),IF('Asphalt Plant (AP-6)'!$C$5="batch mix plant",'Asphalt Plant (AP-6)'!Q40,0),IF('Asphalt Plant (AP-7)'!$C$5="batch mix plant",'Asphalt Plant (AP-7)'!Q40,0),IF('Asphalt Plant (AP-8)'!$C$5="batch mix plant",'Asphalt Plant (AP-8)'!Q40,0),IF('Asphalt Plant (AP-9)'!$C$5="batch mix plant",'Asphalt Plant (AP-9)'!Q40,0),IF('Asphalt Plant (AP-10)'!$C$5="batch mix plant",'Asphalt Plant (AP-10)'!Q40,0)))</f>
        <v/>
      </c>
      <c r="J44" s="115"/>
      <c r="K44" s="115" t="str">
        <f ca="1">IF(C44="","",SUM(IF('Asphalt Plant (AP-1)'!$C$5="batch mix plant",'Asphalt Plant (AP-1)'!R39,0),IF('Asphalt Plant (AP-2)'!$C$5="batch mix plant",'Asphalt Plant (AP-2)'!R40,0),IF('Asphalt Plant (AP-3)'!$C$5="batch mix plant",'Asphalt Plant (AP-3)'!R40,0),IF('Asphalt Plant (AP-4)'!$C$5="batch mix plant",'Asphalt Plant (AP-4)'!R40,0),IF('Asphalt Plant (AP-5)'!$C$5="batch mix plant",'Asphalt Plant (AP-5)'!R40,0),IF('Asphalt Plant (AP-6)'!$C$5="batch mix plant",'Asphalt Plant (AP-6)'!R40,0),IF('Asphalt Plant (AP-7)'!$C$5="batch mix plant",'Asphalt Plant (AP-7)'!R40,0),IF('Asphalt Plant (AP-8)'!$C$5="batch mix plant",'Asphalt Plant (AP-8)'!R40,0),IF('Asphalt Plant (AP-9)'!$C$5="batch mix plant",'Asphalt Plant (AP-9)'!R40,0),IF('Asphalt Plant (AP-10)'!$C$5="batch mix plant",'Asphalt Plant (AP-10)'!R40,0)))</f>
        <v/>
      </c>
      <c r="L44" s="115" t="str">
        <f ca="1">IF(D44="","",SUM(IF('Asphalt Plant (AP-1)'!$C$5="batch mix plant",'Asphalt Plant (AP-1)'!S39,0),IF('Asphalt Plant (AP-2)'!$C$5="batch mix plant",'Asphalt Plant (AP-2)'!S40,0),IF('Asphalt Plant (AP-3)'!$C$5="batch mix plant",'Asphalt Plant (AP-3)'!S40,0),IF('Asphalt Plant (AP-4)'!$C$5="batch mix plant",'Asphalt Plant (AP-4)'!S40,0),IF('Asphalt Plant (AP-5)'!$C$5="batch mix plant",'Asphalt Plant (AP-5)'!S40,0),IF('Asphalt Plant (AP-6)'!$C$5="batch mix plant",'Asphalt Plant (AP-6)'!S40,0),IF('Asphalt Plant (AP-7)'!$C$5="batch mix plant",'Asphalt Plant (AP-7)'!S40,0),IF('Asphalt Plant (AP-8)'!$C$5="batch mix plant",'Asphalt Plant (AP-8)'!S40,0),IF('Asphalt Plant (AP-9)'!$C$5="batch mix plant",'Asphalt Plant (AP-9)'!S40,0),IF('Asphalt Plant (AP-10)'!$C$5="batch mix plant",'Asphalt Plant (AP-10)'!S40,0)))</f>
        <v/>
      </c>
      <c r="M44" s="115" t="str">
        <f ca="1">IF(E44="","",SUM(IF('Asphalt Plant (AP-1)'!$C$5="batch mix plant",'Asphalt Plant (AP-1)'!T39,0),IF('Asphalt Plant (AP-2)'!$C$5="batch mix plant",'Asphalt Plant (AP-2)'!T40,0),IF('Asphalt Plant (AP-3)'!$C$5="batch mix plant",'Asphalt Plant (AP-3)'!T40,0),IF('Asphalt Plant (AP-4)'!$C$5="batch mix plant",'Asphalt Plant (AP-4)'!T40,0),IF('Asphalt Plant (AP-5)'!$C$5="batch mix plant",'Asphalt Plant (AP-5)'!T40,0),IF('Asphalt Plant (AP-6)'!$C$5="batch mix plant",'Asphalt Plant (AP-6)'!T40,0),IF('Asphalt Plant (AP-7)'!$C$5="batch mix plant",'Asphalt Plant (AP-7)'!T40,0),IF('Asphalt Plant (AP-8)'!$C$5="batch mix plant",'Asphalt Plant (AP-8)'!T40,0),IF('Asphalt Plant (AP-9)'!$C$5="batch mix plant",'Asphalt Plant (AP-9)'!T40,0),IF('Asphalt Plant (AP-10)'!$C$5="batch mix plant",'Asphalt Plant (AP-10)'!T40,0)))</f>
        <v/>
      </c>
    </row>
    <row r="45" spans="1:13" s="187" customFormat="1" ht="14.25" customHeight="1" x14ac:dyDescent="0.25">
      <c r="A45" s="30" t="str">
        <f t="shared" ca="1" si="6"/>
        <v/>
      </c>
      <c r="B45" s="135" t="str">
        <f ca="1">IF(D45="","","Batch Mix Plant - Natural Gas")</f>
        <v/>
      </c>
      <c r="C45" s="30" t="str">
        <f ca="1">IF(B45="","","30500247")</f>
        <v/>
      </c>
      <c r="D45" s="180" t="str">
        <f ca="1">IF(SUM(IF('Asphalt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(AP-10)'!N7,0))&gt;0,SUM(IF('Asphalt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f>
        <v/>
      </c>
      <c r="E45" s="180" t="str">
        <f t="shared" ca="1" si="7"/>
        <v/>
      </c>
      <c r="F45" s="180" t="str">
        <f ca="1">IF(B45="","",MAX(IF('Asphalt Plant (AP-1)'!$C$5="batch mix plant",'Asphalt Plant (AP-1)'!O40,0),IF('Asphalt Plant (AP-2)'!$C$5="batch mix plant",'Asphalt Plant (AP-2)'!O41,0),IF('Asphalt Plant (AP-3)'!$C$5="batch mix plant",'Asphalt Plant (AP-3)'!O41,0),IF('Asphalt Plant (AP-4)'!$C$5="batch mix plant",'Asphalt Plant (AP-4)'!O41,0),IF('Asphalt Plant (AP-5)'!$C$5="batch mix plant",'Asphalt Plant (AP-5)'!O41,0),IF('Asphalt Plant (AP-6)'!$C$5="batch mix plant",'Asphalt Plant (AP-6)'!O41,0),IF('Asphalt Plant (AP-7)'!$C$5="batch mix plant",'Asphalt Plant (AP-7)'!O41,0),IF('Asphalt Plant (AP-8)'!$C$5="batch mix plant",'Asphalt Plant (AP-8)'!O41,0),IF('Asphalt Plant (AP-9)'!$C$5="batch mix plant",'Asphalt Plant (AP-9)'!O41,0),IF('Asphalt Plant (AP-10)'!$C$5="batch mix plant",'Asphalt Plant (AP-10)'!O41,0)))</f>
        <v/>
      </c>
      <c r="G45" s="100" t="str">
        <f t="shared" ca="1" si="8"/>
        <v/>
      </c>
      <c r="H45" s="138" t="str">
        <f ca="1">IF(B45="","","AP-42 Table 11.1-2,5,6,9")</f>
        <v/>
      </c>
      <c r="I45" s="115" t="str">
        <f ca="1">IF(B45="","",SUM(IF('Asphalt Plant (AP-1)'!$C$5="batch mix plant",'Asphalt Plant (AP-1)'!Q40,0),IF('Asphalt Plant (AP-2)'!$C$5="batch mix plant",'Asphalt Plant (AP-2)'!Q41,0),IF('Asphalt Plant (AP-3)'!$C$5="batch mix plant",'Asphalt Plant (AP-3)'!Q41,0),IF('Asphalt Plant (AP-4)'!$C$5="batch mix plant",'Asphalt Plant (AP-4)'!Q41,0),IF('Asphalt Plant (AP-5)'!$C$5="batch mix plant",'Asphalt Plant (AP-5)'!Q41,0),IF('Asphalt Plant (AP-6)'!$C$5="batch mix plant",'Asphalt Plant (AP-6)'!Q41,0),IF('Asphalt Plant (AP-7)'!$C$5="batch mix plant",'Asphalt Plant (AP-7)'!Q41,0),IF('Asphalt Plant (AP-8)'!$C$5="batch mix plant",'Asphalt Plant (AP-8)'!Q41,0),IF('Asphalt Plant (AP-9)'!$C$5="batch mix plant",'Asphalt Plant (AP-9)'!Q41,0),IF('Asphalt Plant (AP-10)'!$C$5="batch mix plant",'Asphalt Plant (AP-10)'!Q41,0)))</f>
        <v/>
      </c>
      <c r="J45" s="115"/>
      <c r="K45" s="115" t="str">
        <f ca="1">IF(C45="","",SUM(IF('Asphalt Plant (AP-1)'!$C$5="batch mix plant",'Asphalt Plant (AP-1)'!R40,0),IF('Asphalt Plant (AP-2)'!$C$5="batch mix plant",'Asphalt Plant (AP-2)'!R41,0),IF('Asphalt Plant (AP-3)'!$C$5="batch mix plant",'Asphalt Plant (AP-3)'!R41,0),IF('Asphalt Plant (AP-4)'!$C$5="batch mix plant",'Asphalt Plant (AP-4)'!R41,0),IF('Asphalt Plant (AP-5)'!$C$5="batch mix plant",'Asphalt Plant (AP-5)'!R41,0),IF('Asphalt Plant (AP-6)'!$C$5="batch mix plant",'Asphalt Plant (AP-6)'!R41,0),IF('Asphalt Plant (AP-7)'!$C$5="batch mix plant",'Asphalt Plant (AP-7)'!R41,0),IF('Asphalt Plant (AP-8)'!$C$5="batch mix plant",'Asphalt Plant (AP-8)'!R41,0),IF('Asphalt Plant (AP-9)'!$C$5="batch mix plant",'Asphalt Plant (AP-9)'!R41,0),IF('Asphalt Plant (AP-10)'!$C$5="batch mix plant",'Asphalt Plant (AP-10)'!R41,0)))</f>
        <v/>
      </c>
      <c r="L45" s="115" t="str">
        <f ca="1">IF(D45="","",SUM(IF('Asphalt Plant (AP-1)'!$C$5="batch mix plant",'Asphalt Plant (AP-1)'!S40,0),IF('Asphalt Plant (AP-2)'!$C$5="batch mix plant",'Asphalt Plant (AP-2)'!S41,0),IF('Asphalt Plant (AP-3)'!$C$5="batch mix plant",'Asphalt Plant (AP-3)'!S41,0),IF('Asphalt Plant (AP-4)'!$C$5="batch mix plant",'Asphalt Plant (AP-4)'!S41,0),IF('Asphalt Plant (AP-5)'!$C$5="batch mix plant",'Asphalt Plant (AP-5)'!S41,0),IF('Asphalt Plant (AP-6)'!$C$5="batch mix plant",'Asphalt Plant (AP-6)'!S41,0),IF('Asphalt Plant (AP-7)'!$C$5="batch mix plant",'Asphalt Plant (AP-7)'!S41,0),IF('Asphalt Plant (AP-8)'!$C$5="batch mix plant",'Asphalt Plant (AP-8)'!S41,0),IF('Asphalt Plant (AP-9)'!$C$5="batch mix plant",'Asphalt Plant (AP-9)'!S41,0),IF('Asphalt Plant (AP-10)'!$C$5="batch mix plant",'Asphalt Plant (AP-10)'!S41,0)))</f>
        <v/>
      </c>
      <c r="M45" s="115" t="str">
        <f ca="1">IF(E45="","",SUM(IF('Asphalt Plant (AP-1)'!$C$5="batch mix plant",'Asphalt Plant (AP-1)'!T40,0),IF('Asphalt Plant (AP-2)'!$C$5="batch mix plant",'Asphalt Plant (AP-2)'!T41,0),IF('Asphalt Plant (AP-3)'!$C$5="batch mix plant",'Asphalt Plant (AP-3)'!T41,0),IF('Asphalt Plant (AP-4)'!$C$5="batch mix plant",'Asphalt Plant (AP-4)'!T41,0),IF('Asphalt Plant (AP-5)'!$C$5="batch mix plant",'Asphalt Plant (AP-5)'!T41,0),IF('Asphalt Plant (AP-6)'!$C$5="batch mix plant",'Asphalt Plant (AP-6)'!T41,0),IF('Asphalt Plant (AP-7)'!$C$5="batch mix plant",'Asphalt Plant (AP-7)'!T41,0),IF('Asphalt Plant (AP-8)'!$C$5="batch mix plant",'Asphalt Plant (AP-8)'!T41,0),IF('Asphalt Plant (AP-9)'!$C$5="batch mix plant",'Asphalt Plant (AP-9)'!T41,0),IF('Asphalt Plant (AP-10)'!$C$5="batch mix plant",'Asphalt Plant (AP-10)'!T41,0)))</f>
        <v/>
      </c>
    </row>
    <row r="46" spans="1:13" s="187" customFormat="1" ht="14.25" customHeight="1" x14ac:dyDescent="0.25">
      <c r="A46" s="30" t="str">
        <f t="shared" si="6"/>
        <v/>
      </c>
      <c r="B46" s="135" t="str">
        <f>IF(D46="","","Drum Mix Plant - Fuel Oil")</f>
        <v/>
      </c>
      <c r="C46" s="30" t="str">
        <f>IF(B46="","","30500258")</f>
        <v/>
      </c>
      <c r="D46" s="18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46" s="180" t="str">
        <f t="shared" si="7"/>
        <v/>
      </c>
      <c r="F46" s="180" t="str">
        <f>IF(B46="","",MAX(IF('Asphalt Plant (AP-1)'!$C$5="drum mix plant",'Asphalt Plant (AP-1)'!O38,0),IF('Asphalt Plant (AP-2)'!$C$5="drum mix plant",'Asphalt Plant (AP-2)'!O39,0),IF('Asphalt Plant (AP-3)'!$C$5="drum mix plant",'Asphalt Plant (AP-3)'!O39,0),IF('Asphalt Plant (AP-4)'!$C$5="drum mix plant",'Asphalt Plant (AP-4)'!O39,0),IF('Asphalt Plant (AP-5)'!$C$5="drum mix plant",'Asphalt Plant (AP-5)'!O39,0),IF('Asphalt Plant (AP-6)'!$C$5="drum mix plant",'Asphalt Plant (AP-6)'!O39,0),IF('Asphalt Plant (AP-7)'!$C$5="drum mix plant",'Asphalt Plant (AP-7)'!O39,0),IF('Asphalt Plant (AP-8)'!$C$5="drum mix plant",'Asphalt Plant (AP-8)'!O39,0),IF('Asphalt Plant (AP-9)'!$C$5="drum mix plant",'Asphalt Plant (AP-9)'!O39,0),IF('Asphalt Plant (AP-10)'!$C$5="drum mix plant",'Asphalt Plant (AP-10)'!O39,0)))</f>
        <v/>
      </c>
      <c r="G46" s="100" t="str">
        <f t="shared" si="8"/>
        <v/>
      </c>
      <c r="H46" s="138" t="str">
        <f>IF(B46="","","AP-42 Table 11.1-4,7,8,10")</f>
        <v/>
      </c>
      <c r="I46" s="115" t="str">
        <f>IF(B46="","",SUM(IF('Asphalt Plant (AP-1)'!$C$5="drum mix plant",'Asphalt Plant (AP-1)'!Q38,0),IF('Asphalt Plant (AP-2)'!$C$5="drum mix plant",'Asphalt Plant (AP-2)'!Q39,0),IF('Asphalt Plant (AP-3)'!$C$5="drum mix plant",'Asphalt Plant (AP-3)'!Q39,0),IF('Asphalt Plant (AP-4)'!$C$5="drum mix plant",'Asphalt Plant (AP-4)'!Q39,0),IF('Asphalt Plant (AP-5)'!$C$5="drum mix plant",'Asphalt Plant (AP-5)'!Q39,0),IF('Asphalt Plant (AP-6)'!$C$5="drum mix plant",'Asphalt Plant (AP-6)'!Q39,0),IF('Asphalt Plant (AP-7)'!$C$5="drum mix plant",'Asphalt Plant (AP-7)'!Q39,0),IF('Asphalt Plant (AP-8)'!$C$5="drum mix plant",'Asphalt Plant (AP-8)'!Q39,0),IF('Asphalt Plant (AP-9)'!$C$5="drum mix plant",'Asphalt Plant (AP-9)'!Q39,0),IF('Asphalt Plant (AP-10)'!$C$5="drum mix plant",'Asphalt Plant (AP-10)'!Q39,0)))</f>
        <v/>
      </c>
      <c r="K46" s="115" t="str">
        <f>IF(C46="","",SUM(IF('Asphalt Plant (AP-1)'!$C$5="drum mix plant",'Asphalt Plant (AP-1)'!R38,0),IF('Asphalt Plant (AP-2)'!$C$5="drum mix plant",'Asphalt Plant (AP-2)'!R39,0),IF('Asphalt Plant (AP-3)'!$C$5="drum mix plant",'Asphalt Plant (AP-3)'!R39,0),IF('Asphalt Plant (AP-4)'!$C$5="drum mix plant",'Asphalt Plant (AP-4)'!R39,0),IF('Asphalt Plant (AP-5)'!$C$5="drum mix plant",'Asphalt Plant (AP-5)'!R39,0),IF('Asphalt Plant (AP-6)'!$C$5="drum mix plant",'Asphalt Plant (AP-6)'!R39,0),IF('Asphalt Plant (AP-7)'!$C$5="drum mix plant",'Asphalt Plant (AP-7)'!R39,0),IF('Asphalt Plant (AP-8)'!$C$5="drum mix plant",'Asphalt Plant (AP-8)'!R39,0),IF('Asphalt Plant (AP-9)'!$C$5="drum mix plant",'Asphalt Plant (AP-9)'!R39,0),IF('Asphalt Plant (AP-10)'!$C$5="drum mix plant",'Asphalt Plant (AP-10)'!R39,0)))</f>
        <v/>
      </c>
      <c r="L46" s="115" t="str">
        <f>IF(D46="","",SUM(IF('Asphalt Plant (AP-1)'!$C$5="drum mix plant",'Asphalt Plant (AP-1)'!S38,0),IF('Asphalt Plant (AP-2)'!$C$5="drum mix plant",'Asphalt Plant (AP-2)'!S39,0),IF('Asphalt Plant (AP-3)'!$C$5="drum mix plant",'Asphalt Plant (AP-3)'!S39,0),IF('Asphalt Plant (AP-4)'!$C$5="drum mix plant",'Asphalt Plant (AP-4)'!S39,0),IF('Asphalt Plant (AP-5)'!$C$5="drum mix plant",'Asphalt Plant (AP-5)'!S39,0),IF('Asphalt Plant (AP-6)'!$C$5="drum mix plant",'Asphalt Plant (AP-6)'!S39,0),IF('Asphalt Plant (AP-7)'!$C$5="drum mix plant",'Asphalt Plant (AP-7)'!S39,0),IF('Asphalt Plant (AP-8)'!$C$5="drum mix plant",'Asphalt Plant (AP-8)'!S39,0),IF('Asphalt Plant (AP-9)'!$C$5="drum mix plant",'Asphalt Plant (AP-9)'!S39,0),IF('Asphalt Plant (AP-10)'!$C$5="drum mix plant",'Asphalt Plant (AP-10)'!S39,0)))</f>
        <v/>
      </c>
      <c r="M46" s="115" t="str">
        <f>IF(E46="","",SUM(IF('Asphalt Plant (AP-1)'!$C$5="drum mix plant",'Asphalt Plant (AP-1)'!T38,0),IF('Asphalt Plant (AP-2)'!$C$5="drum mix plant",'Asphalt Plant (AP-2)'!T39,0),IF('Asphalt Plant (AP-3)'!$C$5="drum mix plant",'Asphalt Plant (AP-3)'!T39,0),IF('Asphalt Plant (AP-4)'!$C$5="drum mix plant",'Asphalt Plant (AP-4)'!T39,0),IF('Asphalt Plant (AP-5)'!$C$5="drum mix plant",'Asphalt Plant (AP-5)'!T39,0),IF('Asphalt Plant (AP-6)'!$C$5="drum mix plant",'Asphalt Plant (AP-6)'!T39,0),IF('Asphalt Plant (AP-7)'!$C$5="drum mix plant",'Asphalt Plant (AP-7)'!T39,0),IF('Asphalt Plant (AP-8)'!$C$5="drum mix plant",'Asphalt Plant (AP-8)'!T39,0),IF('Asphalt Plant (AP-9)'!$C$5="drum mix plant",'Asphalt Plant (AP-9)'!T39,0),IF('Asphalt Plant (AP-10)'!$C$5="drum mix plant",'Asphalt Plant (AP-10)'!T39,0)))</f>
        <v/>
      </c>
    </row>
    <row r="47" spans="1:13" s="187" customFormat="1" ht="14.25" customHeight="1" x14ac:dyDescent="0.25">
      <c r="A47" s="30" t="str">
        <f t="shared" si="6"/>
        <v/>
      </c>
      <c r="B47" s="135" t="str">
        <f>IF(D47="","","Drum Mix Plant - Waste Oil")</f>
        <v/>
      </c>
      <c r="C47" s="30" t="str">
        <f>IF(B47="","","30500255")</f>
        <v/>
      </c>
      <c r="D47" s="18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47" s="180" t="str">
        <f t="shared" si="7"/>
        <v/>
      </c>
      <c r="F47" s="180" t="str">
        <f>IF(B47="","",MAX(IF('Asphalt Plant (AP-1)'!$C$5="drum mix plant",'Asphalt Plant (AP-1)'!O39,0),IF('Asphalt Plant (AP-2)'!$C$5="drum mix plant",'Asphalt Plant (AP-2)'!O40,0),IF('Asphalt Plant (AP-3)'!$C$5="drum mix plant",'Asphalt Plant (AP-3)'!O40,0),IF('Asphalt Plant (AP-4)'!$C$5="drum mix plant",'Asphalt Plant (AP-4)'!O40,0),IF('Asphalt Plant (AP-5)'!$C$5="drum mix plant",'Asphalt Plant (AP-5)'!O40,0),IF('Asphalt Plant (AP-6)'!$C$5="drum mix plant",'Asphalt Plant (AP-6)'!O40,0),IF('Asphalt Plant (AP-7)'!$C$5="drum mix plant",'Asphalt Plant (AP-7)'!O40,0),IF('Asphalt Plant (AP-8)'!$C$5="drum mix plant",'Asphalt Plant (AP-8)'!O40,0),IF('Asphalt Plant (AP-9)'!$C$5="drum mix plant",'Asphalt Plant (AP-9)'!O40,0),IF('Asphalt Plant (AP-10)'!$C$5="drum mix plant",'Asphalt Plant (AP-10)'!O40,0)))</f>
        <v/>
      </c>
      <c r="G47" s="100" t="str">
        <f t="shared" si="8"/>
        <v/>
      </c>
      <c r="H47" s="138" t="str">
        <f>IF(B47="","","AP-42 Table 11.1-4,7,8,10")</f>
        <v/>
      </c>
      <c r="I47" s="115" t="str">
        <f>IF(B47="","",SUM(IF('Asphalt Plant (AP-1)'!$C$5="drum mix plant",'Asphalt Plant (AP-1)'!Q39,0),IF('Asphalt Plant (AP-2)'!$C$5="drum mix plant",'Asphalt Plant (AP-2)'!Q40,0),IF('Asphalt Plant (AP-3)'!$C$5="drum mix plant",'Asphalt Plant (AP-3)'!Q40,0),IF('Asphalt Plant (AP-4)'!$C$5="drum mix plant",'Asphalt Plant (AP-4)'!Q40,0),IF('Asphalt Plant (AP-5)'!$C$5="drum mix plant",'Asphalt Plant (AP-5)'!Q40,0),IF('Asphalt Plant (AP-6)'!$C$5="drum mix plant",'Asphalt Plant (AP-6)'!Q40,0),IF('Asphalt Plant (AP-7)'!$C$5="drum mix plant",'Asphalt Plant (AP-7)'!Q40,0),IF('Asphalt Plant (AP-8)'!$C$5="drum mix plant",'Asphalt Plant (AP-8)'!Q40,0),IF('Asphalt Plant (AP-9)'!$C$5="drum mix plant",'Asphalt Plant (AP-9)'!Q40,0),IF('Asphalt Plant (AP-10)'!$C$5="drum mix plant",'Asphalt Plant (AP-10)'!Q40,0)))</f>
        <v/>
      </c>
      <c r="J47" s="191"/>
      <c r="K47" s="115" t="str">
        <f>IF(C47="","",SUM(IF('Asphalt Plant (AP-1)'!$C$5="drum mix plant",'Asphalt Plant (AP-1)'!R39,0),IF('Asphalt Plant (AP-2)'!$C$5="drum mix plant",'Asphalt Plant (AP-2)'!R40,0),IF('Asphalt Plant (AP-3)'!$C$5="drum mix plant",'Asphalt Plant (AP-3)'!R40,0),IF('Asphalt Plant (AP-4)'!$C$5="drum mix plant",'Asphalt Plant (AP-4)'!R40,0),IF('Asphalt Plant (AP-5)'!$C$5="drum mix plant",'Asphalt Plant (AP-5)'!R40,0),IF('Asphalt Plant (AP-6)'!$C$5="drum mix plant",'Asphalt Plant (AP-6)'!R40,0),IF('Asphalt Plant (AP-7)'!$C$5="drum mix plant",'Asphalt Plant (AP-7)'!R40,0),IF('Asphalt Plant (AP-8)'!$C$5="drum mix plant",'Asphalt Plant (AP-8)'!R40,0),IF('Asphalt Plant (AP-9)'!$C$5="drum mix plant",'Asphalt Plant (AP-9)'!R40,0),IF('Asphalt Plant (AP-10)'!$C$5="drum mix plant",'Asphalt Plant (AP-10)'!R40,0)))</f>
        <v/>
      </c>
      <c r="L47" s="115" t="str">
        <f>IF(D47="","",SUM(IF('Asphalt Plant (AP-1)'!$C$5="drum mix plant",'Asphalt Plant (AP-1)'!S39,0),IF('Asphalt Plant (AP-2)'!$C$5="drum mix plant",'Asphalt Plant (AP-2)'!S40,0),IF('Asphalt Plant (AP-3)'!$C$5="drum mix plant",'Asphalt Plant (AP-3)'!S40,0),IF('Asphalt Plant (AP-4)'!$C$5="drum mix plant",'Asphalt Plant (AP-4)'!S40,0),IF('Asphalt Plant (AP-5)'!$C$5="drum mix plant",'Asphalt Plant (AP-5)'!S40,0),IF('Asphalt Plant (AP-6)'!$C$5="drum mix plant",'Asphalt Plant (AP-6)'!S40,0),IF('Asphalt Plant (AP-7)'!$C$5="drum mix plant",'Asphalt Plant (AP-7)'!S40,0),IF('Asphalt Plant (AP-8)'!$C$5="drum mix plant",'Asphalt Plant (AP-8)'!S40,0),IF('Asphalt Plant (AP-9)'!$C$5="drum mix plant",'Asphalt Plant (AP-9)'!S40,0),IF('Asphalt Plant (AP-10)'!$C$5="drum mix plant",'Asphalt Plant (AP-10)'!S40,0)))</f>
        <v/>
      </c>
      <c r="M47" s="115" t="str">
        <f>IF(E47="","",SUM(IF('Asphalt Plant (AP-1)'!$C$5="drum mix plant",'Asphalt Plant (AP-1)'!T39,0),IF('Asphalt Plant (AP-2)'!$C$5="drum mix plant",'Asphalt Plant (AP-2)'!T40,0),IF('Asphalt Plant (AP-3)'!$C$5="drum mix plant",'Asphalt Plant (AP-3)'!T40,0),IF('Asphalt Plant (AP-4)'!$C$5="drum mix plant",'Asphalt Plant (AP-4)'!T40,0),IF('Asphalt Plant (AP-5)'!$C$5="drum mix plant",'Asphalt Plant (AP-5)'!T40,0),IF('Asphalt Plant (AP-6)'!$C$5="drum mix plant",'Asphalt Plant (AP-6)'!T40,0),IF('Asphalt Plant (AP-7)'!$C$5="drum mix plant",'Asphalt Plant (AP-7)'!T40,0),IF('Asphalt Plant (AP-8)'!$C$5="drum mix plant",'Asphalt Plant (AP-8)'!T40,0),IF('Asphalt Plant (AP-9)'!$C$5="drum mix plant",'Asphalt Plant (AP-9)'!T40,0),IF('Asphalt Plant (AP-10)'!$C$5="drum mix plant",'Asphalt Plant (AP-10)'!T40,0)))</f>
        <v/>
      </c>
    </row>
    <row r="48" spans="1:13" s="187" customFormat="1" ht="14.25" customHeight="1" x14ac:dyDescent="0.25">
      <c r="A48" s="30" t="str">
        <f t="shared" si="6"/>
        <v/>
      </c>
      <c r="B48" s="135" t="str">
        <f>IF(D48="","","Drum Mix Plant - Natural Gas")</f>
        <v/>
      </c>
      <c r="C48" s="30" t="str">
        <f>IF(B48="","","30500261")</f>
        <v/>
      </c>
      <c r="D48" s="18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48" s="180" t="str">
        <f t="shared" si="7"/>
        <v/>
      </c>
      <c r="F48" s="180" t="str">
        <f>IF(B48="","",MAX(IF('Asphalt Plant (AP-1)'!$C$5="drum mix plant",'Asphalt Plant (AP-1)'!O40,0),IF('Asphalt Plant (AP-2)'!$C$5="drum mix plant",'Asphalt Plant (AP-2)'!O41,0),IF('Asphalt Plant (AP-3)'!$C$5="drum mix plant",'Asphalt Plant (AP-3)'!O41,0),IF('Asphalt Plant (AP-4)'!$C$5="drum mix plant",'Asphalt Plant (AP-4)'!O41,0),IF('Asphalt Plant (AP-5)'!$C$5="drum mix plant",'Asphalt Plant (AP-5)'!O41,0),IF('Asphalt Plant (AP-6)'!$C$5="drum mix plant",'Asphalt Plant (AP-6)'!O41,0),IF('Asphalt Plant (AP-7)'!$C$5="drum mix plant",'Asphalt Plant (AP-7)'!O41,0),IF('Asphalt Plant (AP-8)'!$C$5="drum mix plant",'Asphalt Plant (AP-8)'!O41,0),IF('Asphalt Plant (AP-9)'!$C$5="drum mix plant",'Asphalt Plant (AP-9)'!O41,0),IF('Asphalt Plant (AP-10)'!$C$5="drum mix plant",'Asphalt Plant (AP-10)'!O41,0)))</f>
        <v/>
      </c>
      <c r="G48" s="100" t="str">
        <f t="shared" si="8"/>
        <v/>
      </c>
      <c r="H48" s="138" t="str">
        <f>IF(B48="","","AP-42 Table 11.1-4,7,8,10,12")</f>
        <v/>
      </c>
      <c r="I48" s="115" t="str">
        <f>IF(B48="","",SUM(IF('Asphalt Plant (AP-1)'!$C$5="drum mix plant",'Asphalt Plant (AP-1)'!Q40,0),IF('Asphalt Plant (AP-2)'!$C$5="drum mix plant",'Asphalt Plant (AP-2)'!Q41,0),IF('Asphalt Plant (AP-3)'!$C$5="drum mix plant",'Asphalt Plant (AP-3)'!Q41,0),IF('Asphalt Plant (AP-4)'!$C$5="drum mix plant",'Asphalt Plant (AP-4)'!Q41,0),IF('Asphalt Plant (AP-5)'!$C$5="drum mix plant",'Asphalt Plant (AP-5)'!Q41,0),IF('Asphalt Plant (AP-6)'!$C$5="drum mix plant",'Asphalt Plant (AP-6)'!Q41,0),IF('Asphalt Plant (AP-7)'!$C$5="drum mix plant",'Asphalt Plant (AP-7)'!Q41,0),IF('Asphalt Plant (AP-8)'!$C$5="drum mix plant",'Asphalt Plant (AP-8)'!Q41,0),IF('Asphalt Plant (AP-9)'!$C$5="drum mix plant",'Asphalt Plant (AP-9)'!Q41,0),IF('Asphalt Plant (AP-10)'!$C$5="drum mix plant",'Asphalt Plant (AP-10)'!Q41,0)))</f>
        <v/>
      </c>
      <c r="J48" s="191"/>
      <c r="K48" s="115" t="str">
        <f>IF(C48="","",SUM(IF('Asphalt Plant (AP-1)'!$C$5="drum mix plant",'Asphalt Plant (AP-1)'!R40,0),IF('Asphalt Plant (AP-2)'!$C$5="drum mix plant",'Asphalt Plant (AP-2)'!R41,0),IF('Asphalt Plant (AP-3)'!$C$5="drum mix plant",'Asphalt Plant (AP-3)'!R41,0),IF('Asphalt Plant (AP-4)'!$C$5="drum mix plant",'Asphalt Plant (AP-4)'!R41,0),IF('Asphalt Plant (AP-5)'!$C$5="drum mix plant",'Asphalt Plant (AP-5)'!R41,0),IF('Asphalt Plant (AP-6)'!$C$5="drum mix plant",'Asphalt Plant (AP-6)'!R41,0),IF('Asphalt Plant (AP-7)'!$C$5="drum mix plant",'Asphalt Plant (AP-7)'!R41,0),IF('Asphalt Plant (AP-8)'!$C$5="drum mix plant",'Asphalt Plant (AP-8)'!R41,0),IF('Asphalt Plant (AP-9)'!$C$5="drum mix plant",'Asphalt Plant (AP-9)'!R41,0),IF('Asphalt Plant (AP-10)'!$C$5="drum mix plant",'Asphalt Plant (AP-10)'!R41,0)))</f>
        <v/>
      </c>
      <c r="L48" s="115" t="str">
        <f>IF(D48="","",SUM(IF('Asphalt Plant (AP-1)'!$C$5="drum mix plant",'Asphalt Plant (AP-1)'!S40,0),IF('Asphalt Plant (AP-2)'!$C$5="drum mix plant",'Asphalt Plant (AP-2)'!S41,0),IF('Asphalt Plant (AP-3)'!$C$5="drum mix plant",'Asphalt Plant (AP-3)'!S41,0),IF('Asphalt Plant (AP-4)'!$C$5="drum mix plant",'Asphalt Plant (AP-4)'!S41,0),IF('Asphalt Plant (AP-5)'!$C$5="drum mix plant",'Asphalt Plant (AP-5)'!S41,0),IF('Asphalt Plant (AP-6)'!$C$5="drum mix plant",'Asphalt Plant (AP-6)'!S41,0),IF('Asphalt Plant (AP-7)'!$C$5="drum mix plant",'Asphalt Plant (AP-7)'!S41,0),IF('Asphalt Plant (AP-8)'!$C$5="drum mix plant",'Asphalt Plant (AP-8)'!S41,0),IF('Asphalt Plant (AP-9)'!$C$5="drum mix plant",'Asphalt Plant (AP-9)'!S41,0),IF('Asphalt Plant (AP-10)'!$C$5="drum mix plant",'Asphalt Plant (AP-10)'!S41,0)))</f>
        <v/>
      </c>
      <c r="M48" s="115" t="str">
        <f>IF(E48="","",SUM(IF('Asphalt Plant (AP-1)'!$C$5="drum mix plant",'Asphalt Plant (AP-1)'!T40,0),IF('Asphalt Plant (AP-2)'!$C$5="drum mix plant",'Asphalt Plant (AP-2)'!T41,0),IF('Asphalt Plant (AP-3)'!$C$5="drum mix plant",'Asphalt Plant (AP-3)'!T41,0),IF('Asphalt Plant (AP-4)'!$C$5="drum mix plant",'Asphalt Plant (AP-4)'!T41,0),IF('Asphalt Plant (AP-5)'!$C$5="drum mix plant",'Asphalt Plant (AP-5)'!T41,0),IF('Asphalt Plant (AP-6)'!$C$5="drum mix plant",'Asphalt Plant (AP-6)'!T41,0),IF('Asphalt Plant (AP-7)'!$C$5="drum mix plant",'Asphalt Plant (AP-7)'!T41,0),IF('Asphalt Plant (AP-8)'!$C$5="drum mix plant",'Asphalt Plant (AP-8)'!T41,0),IF('Asphalt Plant (AP-9)'!$C$5="drum mix plant",'Asphalt Plant (AP-9)'!T41,0),IF('Asphalt Plant (AP-10)'!$C$5="drum mix plant",'Asphalt Plant (AP-10)'!T41,0)))</f>
        <v/>
      </c>
    </row>
    <row r="49" spans="1:13" x14ac:dyDescent="0.25">
      <c r="A49" s="114" t="str">
        <f>IF('Permitted Diesel Engines'!R50=0,"","ALL")</f>
        <v/>
      </c>
      <c r="B49" s="99" t="str">
        <f>IF('Permitted Diesel Engines'!R50=0,"","Diesel Generator ≤ 600 bhp")</f>
        <v/>
      </c>
      <c r="C49" s="30" t="str">
        <f>IF('Permitted Diesel Engines'!R50=0,"",LOOKUP(B49,'Emission Factors'!A43:A44,'Emission Factors'!B43:B44))</f>
        <v/>
      </c>
      <c r="D49" s="30" t="str">
        <f>IF('Permitted Diesel Engines'!R50=0,"",'Permitted Diesel Engines'!R50)</f>
        <v/>
      </c>
      <c r="E49" s="30" t="str">
        <f>IF(B49="","","MMBtu/hr")</f>
        <v/>
      </c>
      <c r="F49" s="30" t="str">
        <f>IF(B49="","",LOOKUP(B49,'Emission Factors'!$A$43:$A$44,'Emission Factors'!$H$43:$H$44))</f>
        <v/>
      </c>
      <c r="G49" s="30" t="str">
        <f>IF(B49="","",LOOKUP(B49,'Emission Factors'!$A$43:$A$44,'Emission Factors'!$C$43:$C$44))</f>
        <v/>
      </c>
      <c r="H49" s="101" t="str">
        <f>IF(B49="","",LOOKUP(B49,'Emission Factors'!$A$43:$A$44,'Emission Factors'!$I$43:$I$44))</f>
        <v/>
      </c>
      <c r="I49" s="115" t="str">
        <f>IF('Permitted Diesel Engines'!R50=0,"",IF(F49='Emission Factors'!$H$43,D49*F49,D49*F49*$F$51))</f>
        <v/>
      </c>
      <c r="J49" s="30"/>
      <c r="K49" s="31"/>
      <c r="L49" s="31" t="str">
        <f>IF(B49="","",'Permitted Diesel Engines'!$AD$77)</f>
        <v/>
      </c>
      <c r="M49" s="31" t="str">
        <f>IF(B49="","",'Permitted Diesel Engines'!$T$50*F49/2000)</f>
        <v/>
      </c>
    </row>
    <row r="50" spans="1:13" x14ac:dyDescent="0.25">
      <c r="A50" s="114" t="str">
        <f>IF('Permitted Diesel Engines'!R51=0,"","ALL")</f>
        <v/>
      </c>
      <c r="B50" s="99" t="str">
        <f>IF('Permitted Diesel Engines'!R51=0,"","Diesel Generator&gt; 600 bhp")</f>
        <v/>
      </c>
      <c r="C50" s="30" t="str">
        <f>IF('Permitted Diesel Engines'!R51=0,"",LOOKUP(B50,'Emission Factors'!A44:A45,'Emission Factors'!B44:B45))</f>
        <v/>
      </c>
      <c r="D50" s="30" t="str">
        <f>IF('Permitted Diesel Engines'!R51=0,"",'Permitted Diesel Engines'!R51)</f>
        <v/>
      </c>
      <c r="E50" s="30" t="str">
        <f>IF(B50="","","MMBtu/hr")</f>
        <v/>
      </c>
      <c r="F50" s="30" t="str">
        <f>IF(B50="","",LOOKUP(B50,'Emission Factors'!$A$43:$A$44,'Emission Factors'!$H$43:$H$44))</f>
        <v/>
      </c>
      <c r="G50" s="30" t="str">
        <f>IF(B50="","",LOOKUP(B50,'Emission Factors'!$A$43:$A$44,'Emission Factors'!$C$43:$C$44))</f>
        <v/>
      </c>
      <c r="H50" s="101" t="str">
        <f>IF(B50="","",LOOKUP(B50,'Emission Factors'!$A$43:$A$44,'Emission Factors'!$I$43:$I$44))</f>
        <v/>
      </c>
      <c r="I50" s="115" t="str">
        <f>IF('Permitted Diesel Engines'!R51=0,"",IF(F50='Emission Factors'!$H$43,D50*F50,D50*F50*$F$51))</f>
        <v/>
      </c>
      <c r="J50" s="30"/>
      <c r="K50" s="31"/>
      <c r="L50" s="31" t="str">
        <f>IF(B50="","",'Permitted Diesel Engines'!$AE$77)</f>
        <v/>
      </c>
      <c r="M50" s="31" t="str">
        <f>IF(B50="","",'Permitted Diesel Engines'!$T$51*F50*F51/2000)</f>
        <v/>
      </c>
    </row>
    <row r="51" spans="1:13" x14ac:dyDescent="0.25">
      <c r="A51" s="185"/>
      <c r="B51" s="15"/>
      <c r="C51" s="186"/>
      <c r="D51" s="301"/>
      <c r="E51" s="278" t="s">
        <v>71</v>
      </c>
      <c r="F51" s="30">
        <f>IF('Permitted Diesel Engines'!G5&gt;0,'Permitted Diesel Engines'!G5,0.5)</f>
        <v>0.5</v>
      </c>
      <c r="G51" s="102"/>
      <c r="H51" s="189"/>
      <c r="I51" s="183"/>
      <c r="J51" s="257" t="s">
        <v>30</v>
      </c>
      <c r="L51" s="31">
        <f ca="1">SUM(L43:L50)</f>
        <v>0</v>
      </c>
      <c r="M51" s="31">
        <f ca="1">SUM(M43:M50)</f>
        <v>0</v>
      </c>
    </row>
    <row r="52" spans="1:13" x14ac:dyDescent="0.25">
      <c r="A52" s="185"/>
      <c r="B52" s="15"/>
      <c r="C52" s="186"/>
      <c r="D52" s="298"/>
      <c r="E52" s="303"/>
      <c r="F52" s="186"/>
      <c r="G52" s="102"/>
      <c r="H52" s="189"/>
      <c r="I52" s="183"/>
      <c r="J52" s="257"/>
      <c r="L52" s="116"/>
      <c r="M52" s="116"/>
    </row>
    <row r="53" spans="1:13" ht="15.75" x14ac:dyDescent="0.25">
      <c r="A53" s="300" t="s">
        <v>26</v>
      </c>
      <c r="B53" s="300"/>
      <c r="C53" s="176"/>
      <c r="D53" s="176"/>
      <c r="E53" s="176"/>
      <c r="F53" s="176"/>
      <c r="G53" s="176"/>
      <c r="H53" s="188"/>
      <c r="I53" s="179"/>
      <c r="J53" s="176"/>
      <c r="K53" s="117"/>
      <c r="L53" s="117"/>
      <c r="M53" s="117"/>
    </row>
    <row r="54" spans="1:13" s="194" customFormat="1" ht="14.25" customHeight="1" x14ac:dyDescent="0.25">
      <c r="A54" s="30" t="str">
        <f t="shared" ref="A54:A59" ca="1" si="9">IF(D54="","","ALL")</f>
        <v/>
      </c>
      <c r="B54" s="135" t="str">
        <f ca="1">IF(D54="","","Batch Mix Plant - Fuel Oil")</f>
        <v/>
      </c>
      <c r="C54" s="30" t="str">
        <f ca="1">IF(B54="","","30500246")</f>
        <v/>
      </c>
      <c r="D54" s="180" t="str">
        <f ca="1">IF(SUM(IF('Asphalt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(AP-10)'!N5,0))&gt;0,SUM(IF('Asphalt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f>
        <v/>
      </c>
      <c r="E54" s="180" t="str">
        <f t="shared" ref="E54:E59" ca="1" si="10">IF(B54="","","tons/hr")</f>
        <v/>
      </c>
      <c r="F54" s="180" t="str">
        <f ca="1">IF(B54="","",MAX(IF('Asphalt Plant (AP-1)'!$C$5="batch mix plant",'Asphalt Plant (AP-1)'!O42,0),IF('Asphalt Plant (AP-2)'!$C$5="batch mix plant",'Asphalt Plant (AP-2)'!O43,0),IF('Asphalt Plant (AP-3)'!$C$5="batch mix plant",'Asphalt Plant (AP-3)'!O43,0),IF('Asphalt Plant (AP-4)'!$C$5="batch mix plant",'Asphalt Plant (AP-4)'!O43,0),IF('Asphalt Plant (AP-5)'!$C$5="batch mix plant",'Asphalt Plant (AP-5)'!O43,0),IF('Asphalt Plant (AP-6)'!$C$5="batch mix plant",'Asphalt Plant (AP-6)'!O43,0),IF('Asphalt Plant (AP-7)'!$C$5="batch mix plant",'Asphalt Plant (AP-7)'!O43,0),IF('Asphalt Plant (AP-8)'!$C$5="batch mix plant",'Asphalt Plant (AP-8)'!O43,0),IF('Asphalt Plant (AP-9)'!$C$5="batch mix plant",'Asphalt Plant (AP-9)'!O43,0),IF('Asphalt Plant (AP-10)'!$C$5="batch mix plant",'Asphalt Plant (AP-10)'!O43,0)))</f>
        <v/>
      </c>
      <c r="G54" s="100" t="str">
        <f t="shared" ref="G54:G59" ca="1" si="11">IF(B54="","","lb/ton")</f>
        <v/>
      </c>
      <c r="H54" s="138" t="str">
        <f ca="1">IF(B54="","","AP-42 Table 11.1-2,5,6,9")</f>
        <v/>
      </c>
      <c r="I54" s="115" t="str">
        <f ca="1">IF(B54="","",SUM(IF('Asphalt Plant (AP-1)'!$C$5="batch mix plant",'Asphalt Plant (AP-1)'!Q42,0),IF('Asphalt Plant (AP-2)'!$C$5="batch mix plant",'Asphalt Plant (AP-2)'!Q43,0),IF('Asphalt Plant (AP-3)'!$C$5="batch mix plant",'Asphalt Plant (AP-3)'!Q43,0),IF('Asphalt Plant (AP-4)'!$C$5="batch mix plant",'Asphalt Plant (AP-4)'!Q43,0),IF('Asphalt Plant (AP-5)'!$C$5="batch mix plant",'Asphalt Plant (AP-5)'!Q43,0),IF('Asphalt Plant (AP-6)'!$C$5="batch mix plant",'Asphalt Plant (AP-6)'!Q43,0),IF('Asphalt Plant (AP-7)'!$C$5="batch mix plant",'Asphalt Plant (AP-7)'!Q43,0),IF('Asphalt Plant (AP-8)'!$C$5="batch mix plant",'Asphalt Plant (AP-8)'!Q43,0),IF('Asphalt Plant (AP-9)'!$C$5="batch mix plant",'Asphalt Plant (AP-9)'!Q43,0),IF('Asphalt Plant (AP-10)'!$C$5="batch mix plant",'Asphalt Plant (AP-10)'!Q43,0)))</f>
        <v/>
      </c>
      <c r="J54" s="193"/>
      <c r="K54" s="115" t="str">
        <f ca="1">IF(B54="","",SUM(IF('Asphalt Plant (AP-1)'!$C$5="batch mix plant",'Asphalt Plant (AP-1)'!R42,0),IF('Asphalt Plant (AP-2)'!$C$5="batch mix plant",'Asphalt Plant (AP-2)'!R43,0),IF('Asphalt Plant (AP-3)'!$C$5="batch mix plant",'Asphalt Plant (AP-3)'!R43,0),IF('Asphalt Plant (AP-4)'!$C$5="batch mix plant",'Asphalt Plant (AP-4)'!R43,0),IF('Asphalt Plant (AP-5)'!$C$5="batch mix plant",'Asphalt Plant (AP-5)'!R43,0),IF('Asphalt Plant (AP-6)'!$C$5="batch mix plant",'Asphalt Plant (AP-6)'!R43,0),IF('Asphalt Plant (AP-7)'!$C$5="batch mix plant",'Asphalt Plant (AP-7)'!R43,0),IF('Asphalt Plant (AP-8)'!$C$5="batch mix plant",'Asphalt Plant (AP-8)'!R43,0),IF('Asphalt Plant (AP-9)'!$C$5="batch mix plant",'Asphalt Plant (AP-9)'!R43,0),IF('Asphalt Plant (AP-10)'!$C$5="batch mix plant",'Asphalt Plant (AP-10)'!R43,0)))</f>
        <v/>
      </c>
      <c r="L54" s="115" t="str">
        <f ca="1">IF(B54="","",SUM(IF('Asphalt Plant (AP-1)'!$C$5="batch mix plant",'Asphalt Plant (AP-1)'!S42,0),IF('Asphalt Plant (AP-2)'!$C$5="batch mix plant",'Asphalt Plant (AP-2)'!S43,0),IF('Asphalt Plant (AP-3)'!$C$5="batch mix plant",'Asphalt Plant (AP-3)'!S43,0),IF('Asphalt Plant (AP-4)'!$C$5="batch mix plant",'Asphalt Plant (AP-4)'!S43,0),IF('Asphalt Plant (AP-5)'!$C$5="batch mix plant",'Asphalt Plant (AP-5)'!S43,0),IF('Asphalt Plant (AP-6)'!$C$5="batch mix plant",'Asphalt Plant (AP-6)'!S43,0),IF('Asphalt Plant (AP-7)'!$C$5="batch mix plant",'Asphalt Plant (AP-7)'!S43,0),IF('Asphalt Plant (AP-8)'!$C$5="batch mix plant",'Asphalt Plant (AP-8)'!S43,0),IF('Asphalt Plant (AP-9)'!$C$5="batch mix plant",'Asphalt Plant (AP-9)'!S43,0),IF('Asphalt Plant (AP-10)'!$C$5="batch mix plant",'Asphalt Plant (AP-10)'!S43,0)))</f>
        <v/>
      </c>
      <c r="M54" s="115" t="str">
        <f ca="1">IF(B54="","",SUM(IF('Asphalt Plant (AP-1)'!$C$5="batch mix plant",'Asphalt Plant (AP-1)'!T42,0),IF('Asphalt Plant (AP-2)'!$C$5="batch mix plant",'Asphalt Plant (AP-2)'!T43,0),IF('Asphalt Plant (AP-3)'!$C$5="batch mix plant",'Asphalt Plant (AP-3)'!T43,0),IF('Asphalt Plant (AP-4)'!$C$5="batch mix plant",'Asphalt Plant (AP-4)'!T43,0),IF('Asphalt Plant (AP-5)'!$C$5="batch mix plant",'Asphalt Plant (AP-5)'!T43,0),IF('Asphalt Plant (AP-6)'!$C$5="batch mix plant",'Asphalt Plant (AP-6)'!T43,0),IF('Asphalt Plant (AP-7)'!$C$5="batch mix plant",'Asphalt Plant (AP-7)'!T43,0),IF('Asphalt Plant (AP-8)'!$C$5="batch mix plant",'Asphalt Plant (AP-8)'!T43,0),IF('Asphalt Plant (AP-9)'!$C$5="batch mix plant",'Asphalt Plant (AP-9)'!T43,0),IF('Asphalt Plant (AP-10)'!$C$5="batch mix plant",'Asphalt Plant (AP-10)'!T43,0)))</f>
        <v/>
      </c>
    </row>
    <row r="55" spans="1:13" s="194" customFormat="1" ht="14.25" customHeight="1" x14ac:dyDescent="0.25">
      <c r="A55" s="30" t="str">
        <f t="shared" ca="1" si="9"/>
        <v/>
      </c>
      <c r="B55" s="135" t="str">
        <f ca="1">IF(D55="","","Batch Mix Plant - Waste Oil")</f>
        <v/>
      </c>
      <c r="C55" s="30" t="str">
        <f ca="1">IF(B55="","","30500245")</f>
        <v/>
      </c>
      <c r="D55" s="180" t="str">
        <f ca="1">IF(SUM(IF('Asphalt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(AP-10)'!N6,0))&gt;0,SUM(IF('Asphalt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f>
        <v/>
      </c>
      <c r="E55" s="180" t="str">
        <f t="shared" ca="1" si="10"/>
        <v/>
      </c>
      <c r="F55" s="180" t="str">
        <f ca="1">IF(B55="","",MAX(IF('Asphalt Plant (AP-1)'!$C$5="batch mix plant",'Asphalt Plant (AP-1)'!O43,0),IF('Asphalt Plant (AP-2)'!$C$5="batch mix plant",'Asphalt Plant (AP-2)'!O44,0),IF('Asphalt Plant (AP-3)'!$C$5="batch mix plant",'Asphalt Plant (AP-3)'!O44,0),IF('Asphalt Plant (AP-4)'!$C$5="batch mix plant",'Asphalt Plant (AP-4)'!O44,0),IF('Asphalt Plant (AP-5)'!$C$5="batch mix plant",'Asphalt Plant (AP-5)'!O44,0),IF('Asphalt Plant (AP-6)'!$C$5="batch mix plant",'Asphalt Plant (AP-6)'!O44,0),IF('Asphalt Plant (AP-7)'!$C$5="batch mix plant",'Asphalt Plant (AP-7)'!O44,0),IF('Asphalt Plant (AP-8)'!$C$5="batch mix plant",'Asphalt Plant (AP-8)'!O44,0),IF('Asphalt Plant (AP-9)'!$C$5="batch mix plant",'Asphalt Plant (AP-9)'!O44,0),IF('Asphalt Plant (AP-10)'!$C$5="batch mix plant",'Asphalt Plant (AP-10)'!O44,0)))</f>
        <v/>
      </c>
      <c r="G55" s="100" t="str">
        <f t="shared" ca="1" si="11"/>
        <v/>
      </c>
      <c r="H55" s="138" t="str">
        <f ca="1">IF(B55="","","AP-42 Table 11.1-2,5,6,9")</f>
        <v/>
      </c>
      <c r="I55" s="115" t="str">
        <f ca="1">IF(B55="","",SUM(IF('Asphalt Plant (AP-1)'!$C$5="batch mix plant",'Asphalt Plant (AP-1)'!Q43,0),IF('Asphalt Plant (AP-2)'!$C$5="batch mix plant",'Asphalt Plant (AP-2)'!Q44,0),IF('Asphalt Plant (AP-3)'!$C$5="batch mix plant",'Asphalt Plant (AP-3)'!Q44,0),IF('Asphalt Plant (AP-4)'!$C$5="batch mix plant",'Asphalt Plant (AP-4)'!Q44,0),IF('Asphalt Plant (AP-5)'!$C$5="batch mix plant",'Asphalt Plant (AP-5)'!Q44,0),IF('Asphalt Plant (AP-6)'!$C$5="batch mix plant",'Asphalt Plant (AP-6)'!Q44,0),IF('Asphalt Plant (AP-7)'!$C$5="batch mix plant",'Asphalt Plant (AP-7)'!Q44,0),IF('Asphalt Plant (AP-8)'!$C$5="batch mix plant",'Asphalt Plant (AP-8)'!Q44,0),IF('Asphalt Plant (AP-9)'!$C$5="batch mix plant",'Asphalt Plant (AP-9)'!Q44,0),IF('Asphalt Plant (AP-10)'!$C$5="batch mix plant",'Asphalt Plant (AP-10)'!Q44,0)))</f>
        <v/>
      </c>
      <c r="J55" s="193"/>
      <c r="K55" s="115" t="str">
        <f ca="1">IF(B55="","",SUM(IF('Asphalt Plant (AP-1)'!$C$5="batch mix plant",'Asphalt Plant (AP-1)'!R43,0),IF('Asphalt Plant (AP-2)'!$C$5="batch mix plant",'Asphalt Plant (AP-2)'!R44,0),IF('Asphalt Plant (AP-3)'!$C$5="batch mix plant",'Asphalt Plant (AP-3)'!R44,0),IF('Asphalt Plant (AP-4)'!$C$5="batch mix plant",'Asphalt Plant (AP-4)'!R44,0),IF('Asphalt Plant (AP-5)'!$C$5="batch mix plant",'Asphalt Plant (AP-5)'!R44,0),IF('Asphalt Plant (AP-6)'!$C$5="batch mix plant",'Asphalt Plant (AP-6)'!R44,0),IF('Asphalt Plant (AP-7)'!$C$5="batch mix plant",'Asphalt Plant (AP-7)'!R44,0),IF('Asphalt Plant (AP-8)'!$C$5="batch mix plant",'Asphalt Plant (AP-8)'!R44,0),IF('Asphalt Plant (AP-9)'!$C$5="batch mix plant",'Asphalt Plant (AP-9)'!R44,0),IF('Asphalt Plant (AP-10)'!$C$5="batch mix plant",'Asphalt Plant (AP-10)'!R44,0)))</f>
        <v/>
      </c>
      <c r="L55" s="115" t="str">
        <f ca="1">IF(B55="","",SUM(IF('Asphalt Plant (AP-1)'!$C$5="batch mix plant",'Asphalt Plant (AP-1)'!S43,0),IF('Asphalt Plant (AP-2)'!$C$5="batch mix plant",'Asphalt Plant (AP-2)'!S44,0),IF('Asphalt Plant (AP-3)'!$C$5="batch mix plant",'Asphalt Plant (AP-3)'!S44,0),IF('Asphalt Plant (AP-4)'!$C$5="batch mix plant",'Asphalt Plant (AP-4)'!S44,0),IF('Asphalt Plant (AP-5)'!$C$5="batch mix plant",'Asphalt Plant (AP-5)'!S44,0),IF('Asphalt Plant (AP-6)'!$C$5="batch mix plant",'Asphalt Plant (AP-6)'!S44,0),IF('Asphalt Plant (AP-7)'!$C$5="batch mix plant",'Asphalt Plant (AP-7)'!S44,0),IF('Asphalt Plant (AP-8)'!$C$5="batch mix plant",'Asphalt Plant (AP-8)'!S44,0),IF('Asphalt Plant (AP-9)'!$C$5="batch mix plant",'Asphalt Plant (AP-9)'!S44,0),IF('Asphalt Plant (AP-10)'!$C$5="batch mix plant",'Asphalt Plant (AP-10)'!S44,0)))</f>
        <v/>
      </c>
      <c r="M55" s="115" t="str">
        <f ca="1">IF(B55="","",SUM(IF('Asphalt Plant (AP-1)'!$C$5="batch mix plant",'Asphalt Plant (AP-1)'!T43,0),IF('Asphalt Plant (AP-2)'!$C$5="batch mix plant",'Asphalt Plant (AP-2)'!T44,0),IF('Asphalt Plant (AP-3)'!$C$5="batch mix plant",'Asphalt Plant (AP-3)'!T44,0),IF('Asphalt Plant (AP-4)'!$C$5="batch mix plant",'Asphalt Plant (AP-4)'!T44,0),IF('Asphalt Plant (AP-5)'!$C$5="batch mix plant",'Asphalt Plant (AP-5)'!T44,0),IF('Asphalt Plant (AP-6)'!$C$5="batch mix plant",'Asphalt Plant (AP-6)'!T44,0),IF('Asphalt Plant (AP-7)'!$C$5="batch mix plant",'Asphalt Plant (AP-7)'!T44,0),IF('Asphalt Plant (AP-8)'!$C$5="batch mix plant",'Asphalt Plant (AP-8)'!T44,0),IF('Asphalt Plant (AP-9)'!$C$5="batch mix plant",'Asphalt Plant (AP-9)'!T44,0),IF('Asphalt Plant (AP-10)'!$C$5="batch mix plant",'Asphalt Plant (AP-10)'!T44,0)))</f>
        <v/>
      </c>
    </row>
    <row r="56" spans="1:13" s="194" customFormat="1" ht="14.25" customHeight="1" x14ac:dyDescent="0.25">
      <c r="A56" s="30" t="str">
        <f t="shared" ca="1" si="9"/>
        <v/>
      </c>
      <c r="B56" s="135" t="str">
        <f ca="1">IF(D56="","","Batch Mix Plant - Natural Gas")</f>
        <v/>
      </c>
      <c r="C56" s="30" t="str">
        <f ca="1">IF(B56="","","30500247")</f>
        <v/>
      </c>
      <c r="D56" s="180" t="str">
        <f ca="1">IF(SUM(IF('Asphalt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(AP-10)'!N7,0))&gt;0,SUM(IF('Asphalt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f>
        <v/>
      </c>
      <c r="E56" s="180" t="str">
        <f t="shared" ca="1" si="10"/>
        <v/>
      </c>
      <c r="F56" s="180" t="str">
        <f ca="1">IF(B56="","",MAX(IF('Asphalt Plant (AP-1)'!$C$5="batch mix plant",'Asphalt Plant (AP-1)'!O44,0),IF('Asphalt Plant (AP-2)'!$C$5="batch mix plant",'Asphalt Plant (AP-2)'!O45,0),IF('Asphalt Plant (AP-3)'!$C$5="batch mix plant",'Asphalt Plant (AP-3)'!O45,0),IF('Asphalt Plant (AP-4)'!$C$5="batch mix plant",'Asphalt Plant (AP-4)'!O45,0),IF('Asphalt Plant (AP-5)'!$C$5="batch mix plant",'Asphalt Plant (AP-5)'!O45,0),IF('Asphalt Plant (AP-6)'!$C$5="batch mix plant",'Asphalt Plant (AP-6)'!O45,0),IF('Asphalt Plant (AP-7)'!$C$5="batch mix plant",'Asphalt Plant (AP-7)'!O45,0),IF('Asphalt Plant (AP-8)'!$C$5="batch mix plant",'Asphalt Plant (AP-8)'!O45,0),IF('Asphalt Plant (AP-9)'!$C$5="batch mix plant",'Asphalt Plant (AP-9)'!O45,0),IF('Asphalt Plant (AP-10)'!$C$5="batch mix plant",'Asphalt Plant (AP-10)'!O45,0)))</f>
        <v/>
      </c>
      <c r="G56" s="100" t="str">
        <f t="shared" ca="1" si="11"/>
        <v/>
      </c>
      <c r="H56" s="138" t="str">
        <f ca="1">IF(B56="","","AP-42 Table 11.1-2,5,6,9")</f>
        <v/>
      </c>
      <c r="I56" s="115" t="str">
        <f ca="1">IF(B56="","",SUM(IF('Asphalt Plant (AP-1)'!$C$5="batch mix plant",'Asphalt Plant (AP-1)'!Q44,0),IF('Asphalt Plant (AP-2)'!$C$5="batch mix plant",'Asphalt Plant (AP-2)'!Q45,0),IF('Asphalt Plant (AP-3)'!$C$5="batch mix plant",'Asphalt Plant (AP-3)'!Q45,0),IF('Asphalt Plant (AP-4)'!$C$5="batch mix plant",'Asphalt Plant (AP-4)'!Q45,0),IF('Asphalt Plant (AP-5)'!$C$5="batch mix plant",'Asphalt Plant (AP-5)'!Q45,0),IF('Asphalt Plant (AP-6)'!$C$5="batch mix plant",'Asphalt Plant (AP-6)'!Q45,0),IF('Asphalt Plant (AP-7)'!$C$5="batch mix plant",'Asphalt Plant (AP-7)'!Q45,0),IF('Asphalt Plant (AP-8)'!$C$5="batch mix plant",'Asphalt Plant (AP-8)'!Q45,0),IF('Asphalt Plant (AP-9)'!$C$5="batch mix plant",'Asphalt Plant (AP-9)'!Q45,0),IF('Asphalt Plant (AP-10)'!$C$5="batch mix plant",'Asphalt Plant (AP-10)'!Q45,0)))</f>
        <v/>
      </c>
      <c r="J56" s="193"/>
      <c r="K56" s="115" t="str">
        <f ca="1">IF(B56="","",SUM(IF('Asphalt Plant (AP-1)'!$C$5="batch mix plant",'Asphalt Plant (AP-1)'!R44,0),IF('Asphalt Plant (AP-2)'!$C$5="batch mix plant",'Asphalt Plant (AP-2)'!R45,0),IF('Asphalt Plant (AP-3)'!$C$5="batch mix plant",'Asphalt Plant (AP-3)'!R45,0),IF('Asphalt Plant (AP-4)'!$C$5="batch mix plant",'Asphalt Plant (AP-4)'!R45,0),IF('Asphalt Plant (AP-5)'!$C$5="batch mix plant",'Asphalt Plant (AP-5)'!R45,0),IF('Asphalt Plant (AP-6)'!$C$5="batch mix plant",'Asphalt Plant (AP-6)'!R45,0),IF('Asphalt Plant (AP-7)'!$C$5="batch mix plant",'Asphalt Plant (AP-7)'!R45,0),IF('Asphalt Plant (AP-8)'!$C$5="batch mix plant",'Asphalt Plant (AP-8)'!R45,0),IF('Asphalt Plant (AP-9)'!$C$5="batch mix plant",'Asphalt Plant (AP-9)'!R45,0),IF('Asphalt Plant (AP-10)'!$C$5="batch mix plant",'Asphalt Plant (AP-10)'!R45,0)))</f>
        <v/>
      </c>
      <c r="L56" s="115" t="str">
        <f ca="1">IF(B56="","",SUM(IF('Asphalt Plant (AP-1)'!$C$5="batch mix plant",'Asphalt Plant (AP-1)'!S44,0),IF('Asphalt Plant (AP-2)'!$C$5="batch mix plant",'Asphalt Plant (AP-2)'!S45,0),IF('Asphalt Plant (AP-3)'!$C$5="batch mix plant",'Asphalt Plant (AP-3)'!S45,0),IF('Asphalt Plant (AP-4)'!$C$5="batch mix plant",'Asphalt Plant (AP-4)'!S45,0),IF('Asphalt Plant (AP-5)'!$C$5="batch mix plant",'Asphalt Plant (AP-5)'!S45,0),IF('Asphalt Plant (AP-6)'!$C$5="batch mix plant",'Asphalt Plant (AP-6)'!S45,0),IF('Asphalt Plant (AP-7)'!$C$5="batch mix plant",'Asphalt Plant (AP-7)'!S45,0),IF('Asphalt Plant (AP-8)'!$C$5="batch mix plant",'Asphalt Plant (AP-8)'!S45,0),IF('Asphalt Plant (AP-9)'!$C$5="batch mix plant",'Asphalt Plant (AP-9)'!S45,0),IF('Asphalt Plant (AP-10)'!$C$5="batch mix plant",'Asphalt Plant (AP-10)'!S45,0)))</f>
        <v/>
      </c>
      <c r="M56" s="115" t="str">
        <f ca="1">IF(B56="","",SUM(IF('Asphalt Plant (AP-1)'!$C$5="batch mix plant",'Asphalt Plant (AP-1)'!T44,0),IF('Asphalt Plant (AP-2)'!$C$5="batch mix plant",'Asphalt Plant (AP-2)'!T45,0),IF('Asphalt Plant (AP-3)'!$C$5="batch mix plant",'Asphalt Plant (AP-3)'!T45,0),IF('Asphalt Plant (AP-4)'!$C$5="batch mix plant",'Asphalt Plant (AP-4)'!T45,0),IF('Asphalt Plant (AP-5)'!$C$5="batch mix plant",'Asphalt Plant (AP-5)'!T45,0),IF('Asphalt Plant (AP-6)'!$C$5="batch mix plant",'Asphalt Plant (AP-6)'!T45,0),IF('Asphalt Plant (AP-7)'!$C$5="batch mix plant",'Asphalt Plant (AP-7)'!T45,0),IF('Asphalt Plant (AP-8)'!$C$5="batch mix plant",'Asphalt Plant (AP-8)'!T45,0),IF('Asphalt Plant (AP-9)'!$C$5="batch mix plant",'Asphalt Plant (AP-9)'!T45,0),IF('Asphalt Plant (AP-10)'!$C$5="batch mix plant",'Asphalt Plant (AP-10)'!T45,0)))</f>
        <v/>
      </c>
    </row>
    <row r="57" spans="1:13" s="194" customFormat="1" ht="14.25" customHeight="1" x14ac:dyDescent="0.25">
      <c r="A57" s="30" t="str">
        <f t="shared" si="9"/>
        <v/>
      </c>
      <c r="B57" s="135" t="str">
        <f>IF(D57="","","Drum Mix Plant - Fuel Oil")</f>
        <v/>
      </c>
      <c r="C57" s="30" t="str">
        <f>IF(B57="","","30500258")</f>
        <v/>
      </c>
      <c r="D57" s="18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57" s="180" t="str">
        <f t="shared" si="10"/>
        <v/>
      </c>
      <c r="F57" s="180" t="str">
        <f>IF(B57="","",MAX(IF('Asphalt Plant (AP-1)'!$C$5="drum mix plant",'Asphalt Plant (AP-1)'!O42,0),IF('Asphalt Plant (AP-2)'!$C$5="drum mix plant",'Asphalt Plant (AP-2)'!O43,0),IF('Asphalt Plant (AP-3)'!$C$5="drum mix plant",'Asphalt Plant (AP-3)'!O43,0),IF('Asphalt Plant (AP-4)'!$C$5="drum mix plant",'Asphalt Plant (AP-4)'!O43,0),IF('Asphalt Plant (AP-5)'!$C$5="drum mix plant",'Asphalt Plant (AP-5)'!O43,0),IF('Asphalt Plant (AP-6)'!$C$5="drum mix plant",'Asphalt Plant (AP-6)'!O43,0),IF('Asphalt Plant (AP-7)'!$C$5="drum mix plant",'Asphalt Plant (AP-7)'!O43,0),IF('Asphalt Plant (AP-8)'!$C$5="drum mix plant",'Asphalt Plant (AP-8)'!O43,0),IF('Asphalt Plant (AP-9)'!$C$5="drum mix plant",'Asphalt Plant (AP-9)'!O43,0),IF('Asphalt Plant (AP-10)'!$C$5="drum mix plant",'Asphalt Plant (AP-10)'!O43,0)))</f>
        <v/>
      </c>
      <c r="G57" s="100" t="str">
        <f t="shared" si="11"/>
        <v/>
      </c>
      <c r="H57" s="138" t="str">
        <f>IF(B57="","","AP-42 Table 11.1-4,7,8,10")</f>
        <v/>
      </c>
      <c r="I57" s="115" t="str">
        <f>IF(B57="","",SUM(IF('Asphalt Plant (AP-1)'!$C$5="drum mix plant",'Asphalt Plant (AP-1)'!Q42,0),IF('Asphalt Plant (AP-2)'!$C$5="drum mix plant",'Asphalt Plant (AP-2)'!Q43,0),IF('Asphalt Plant (AP-3)'!$C$5="drum mix plant",'Asphalt Plant (AP-3)'!Q43,0),IF('Asphalt Plant (AP-4)'!$C$5="drum mix plant",'Asphalt Plant (AP-4)'!Q43,0),IF('Asphalt Plant (AP-5)'!$C$5="drum mix plant",'Asphalt Plant (AP-5)'!Q43,0),IF('Asphalt Plant (AP-6)'!$C$5="drum mix plant",'Asphalt Plant (AP-6)'!Q43,0),IF('Asphalt Plant (AP-7)'!$C$5="drum mix plant",'Asphalt Plant (AP-7)'!Q43,0),IF('Asphalt Plant (AP-8)'!$C$5="drum mix plant",'Asphalt Plant (AP-8)'!Q43,0),IF('Asphalt Plant (AP-9)'!$C$5="drum mix plant",'Asphalt Plant (AP-9)'!Q43,0),IF('Asphalt Plant (AP-10)'!$C$5="drum mix plant",'Asphalt Plant (AP-10)'!Q43,0)))</f>
        <v/>
      </c>
      <c r="K57" s="115" t="str">
        <f>IF(B57="","",SUM(IF('Asphalt Plant (AP-1)'!$C$5="drum mix plant",'Asphalt Plant (AP-1)'!R42,0),IF('Asphalt Plant (AP-2)'!$C$5="drum mix plant",'Asphalt Plant (AP-2)'!R43,0),IF('Asphalt Plant (AP-3)'!$C$5="drum mix plant",'Asphalt Plant (AP-3)'!R43,0),IF('Asphalt Plant (AP-4)'!$C$5="drum mix plant",'Asphalt Plant (AP-4)'!R43,0),IF('Asphalt Plant (AP-5)'!$C$5="drum mix plant",'Asphalt Plant (AP-5)'!R43,0),IF('Asphalt Plant (AP-6)'!$C$5="drum mix plant",'Asphalt Plant (AP-6)'!R43,0),IF('Asphalt Plant (AP-7)'!$C$5="drum mix plant",'Asphalt Plant (AP-7)'!R43,0),IF('Asphalt Plant (AP-8)'!$C$5="drum mix plant",'Asphalt Plant (AP-8)'!R43,0),IF('Asphalt Plant (AP-9)'!$C$5="drum mix plant",'Asphalt Plant (AP-9)'!R43,0),IF('Asphalt Plant (AP-10)'!$C$5="drum mix plant",'Asphalt Plant (AP-10)'!R43,0)))</f>
        <v/>
      </c>
      <c r="L57" s="115" t="str">
        <f>IF(B57="","",SUM(IF('Asphalt Plant (AP-1)'!$C$5="drum mix plant",'Asphalt Plant (AP-1)'!S42,0),IF('Asphalt Plant (AP-2)'!$C$5="drum mix plant",'Asphalt Plant (AP-2)'!S43,0),IF('Asphalt Plant (AP-3)'!$C$5="drum mix plant",'Asphalt Plant (AP-3)'!S43,0),IF('Asphalt Plant (AP-4)'!$C$5="drum mix plant",'Asphalt Plant (AP-4)'!S43,0),IF('Asphalt Plant (AP-5)'!$C$5="drum mix plant",'Asphalt Plant (AP-5)'!S43,0),IF('Asphalt Plant (AP-6)'!$C$5="drum mix plant",'Asphalt Plant (AP-6)'!S43,0),IF('Asphalt Plant (AP-7)'!$C$5="drum mix plant",'Asphalt Plant (AP-7)'!S43,0),IF('Asphalt Plant (AP-8)'!$C$5="drum mix plant",'Asphalt Plant (AP-8)'!S43,0),IF('Asphalt Plant (AP-9)'!$C$5="drum mix plant",'Asphalt Plant (AP-9)'!S43,0),IF('Asphalt Plant (AP-10)'!$C$5="drum mix plant",'Asphalt Plant (AP-10)'!S43,0)))</f>
        <v/>
      </c>
      <c r="M57" s="115" t="str">
        <f>IF(B57="","",SUM(IF('Asphalt Plant (AP-1)'!$C$5="drum mix plant",'Asphalt Plant (AP-1)'!T42,0),IF('Asphalt Plant (AP-2)'!$C$5="drum mix plant",'Asphalt Plant (AP-2)'!T43,0),IF('Asphalt Plant (AP-3)'!$C$5="drum mix plant",'Asphalt Plant (AP-3)'!T43,0),IF('Asphalt Plant (AP-4)'!$C$5="drum mix plant",'Asphalt Plant (AP-4)'!T43,0),IF('Asphalt Plant (AP-5)'!$C$5="drum mix plant",'Asphalt Plant (AP-5)'!T43,0),IF('Asphalt Plant (AP-6)'!$C$5="drum mix plant",'Asphalt Plant (AP-6)'!T43,0),IF('Asphalt Plant (AP-7)'!$C$5="drum mix plant",'Asphalt Plant (AP-7)'!T43,0),IF('Asphalt Plant (AP-8)'!$C$5="drum mix plant",'Asphalt Plant (AP-8)'!T43,0),IF('Asphalt Plant (AP-9)'!$C$5="drum mix plant",'Asphalt Plant (AP-9)'!T43,0),IF('Asphalt Plant (AP-10)'!$C$5="drum mix plant",'Asphalt Plant (AP-10)'!T43,0)))</f>
        <v/>
      </c>
    </row>
    <row r="58" spans="1:13" s="194" customFormat="1" ht="14.25" customHeight="1" x14ac:dyDescent="0.25">
      <c r="A58" s="30" t="str">
        <f t="shared" si="9"/>
        <v/>
      </c>
      <c r="B58" s="135" t="str">
        <f>IF(D58="","","Drum Mix Plant - Waste Oil")</f>
        <v/>
      </c>
      <c r="C58" s="30" t="str">
        <f>IF(B58="","","30500255")</f>
        <v/>
      </c>
      <c r="D58" s="18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58" s="180" t="str">
        <f t="shared" si="10"/>
        <v/>
      </c>
      <c r="F58" s="180" t="str">
        <f>IF(B58="","",MAX(IF('Asphalt Plant (AP-1)'!$C$5="drum mix plant",'Asphalt Plant (AP-1)'!O43,0),IF('Asphalt Plant (AP-2)'!$C$5="drum mix plant",'Asphalt Plant (AP-2)'!O44,0),IF('Asphalt Plant (AP-3)'!$C$5="drum mix plant",'Asphalt Plant (AP-3)'!O44,0),IF('Asphalt Plant (AP-4)'!$C$5="drum mix plant",'Asphalt Plant (AP-4)'!O44,0),IF('Asphalt Plant (AP-5)'!$C$5="drum mix plant",'Asphalt Plant (AP-5)'!O44,0),IF('Asphalt Plant (AP-6)'!$C$5="drum mix plant",'Asphalt Plant (AP-6)'!O44,0),IF('Asphalt Plant (AP-7)'!$C$5="drum mix plant",'Asphalt Plant (AP-7)'!O44,0),IF('Asphalt Plant (AP-8)'!$C$5="drum mix plant",'Asphalt Plant (AP-8)'!O44,0),IF('Asphalt Plant (AP-9)'!$C$5="drum mix plant",'Asphalt Plant (AP-9)'!O44,0),IF('Asphalt Plant (AP-10)'!$C$5="drum mix plant",'Asphalt Plant (AP-10)'!O44,0)))</f>
        <v/>
      </c>
      <c r="G58" s="100" t="str">
        <f t="shared" si="11"/>
        <v/>
      </c>
      <c r="H58" s="138" t="str">
        <f>IF(B58="","","AP-42 Table 11.1-4,7,8,10")</f>
        <v/>
      </c>
      <c r="I58" s="115" t="str">
        <f>IF(B58="","",SUM(IF('Asphalt Plant (AP-1)'!$C$5="drum mix plant",'Asphalt Plant (AP-1)'!Q43,0),IF('Asphalt Plant (AP-2)'!$C$5="drum mix plant",'Asphalt Plant (AP-2)'!Q44,0),IF('Asphalt Plant (AP-3)'!$C$5="drum mix plant",'Asphalt Plant (AP-3)'!Q44,0),IF('Asphalt Plant (AP-4)'!$C$5="drum mix plant",'Asphalt Plant (AP-4)'!Q44,0),IF('Asphalt Plant (AP-5)'!$C$5="drum mix plant",'Asphalt Plant (AP-5)'!Q44,0),IF('Asphalt Plant (AP-6)'!$C$5="drum mix plant",'Asphalt Plant (AP-6)'!Q44,0),IF('Asphalt Plant (AP-7)'!$C$5="drum mix plant",'Asphalt Plant (AP-7)'!Q44,0),IF('Asphalt Plant (AP-8)'!$C$5="drum mix plant",'Asphalt Plant (AP-8)'!Q44,0),IF('Asphalt Plant (AP-9)'!$C$5="drum mix plant",'Asphalt Plant (AP-9)'!Q44,0),IF('Asphalt Plant (AP-10)'!$C$5="drum mix plant",'Asphalt Plant (AP-10)'!Q44,0)))</f>
        <v/>
      </c>
      <c r="J58" s="193"/>
      <c r="K58" s="115" t="str">
        <f>IF(B58="","",SUM(IF('Asphalt Plant (AP-1)'!$C$5="drum mix plant",'Asphalt Plant (AP-1)'!R43,0),IF('Asphalt Plant (AP-2)'!$C$5="drum mix plant",'Asphalt Plant (AP-2)'!R44,0),IF('Asphalt Plant (AP-3)'!$C$5="drum mix plant",'Asphalt Plant (AP-3)'!R44,0),IF('Asphalt Plant (AP-4)'!$C$5="drum mix plant",'Asphalt Plant (AP-4)'!R44,0),IF('Asphalt Plant (AP-5)'!$C$5="drum mix plant",'Asphalt Plant (AP-5)'!R44,0),IF('Asphalt Plant (AP-6)'!$C$5="drum mix plant",'Asphalt Plant (AP-6)'!R44,0),IF('Asphalt Plant (AP-7)'!$C$5="drum mix plant",'Asphalt Plant (AP-7)'!R44,0),IF('Asphalt Plant (AP-8)'!$C$5="drum mix plant",'Asphalt Plant (AP-8)'!R44,0),IF('Asphalt Plant (AP-9)'!$C$5="drum mix plant",'Asphalt Plant (AP-9)'!R44,0),IF('Asphalt Plant (AP-10)'!$C$5="drum mix plant",'Asphalt Plant (AP-10)'!R44,0)))</f>
        <v/>
      </c>
      <c r="L58" s="115" t="str">
        <f>IF(B58="","",SUM(IF('Asphalt Plant (AP-1)'!$C$5="drum mix plant",'Asphalt Plant (AP-1)'!S43,0),IF('Asphalt Plant (AP-2)'!$C$5="drum mix plant",'Asphalt Plant (AP-2)'!S44,0),IF('Asphalt Plant (AP-3)'!$C$5="drum mix plant",'Asphalt Plant (AP-3)'!S44,0),IF('Asphalt Plant (AP-4)'!$C$5="drum mix plant",'Asphalt Plant (AP-4)'!S44,0),IF('Asphalt Plant (AP-5)'!$C$5="drum mix plant",'Asphalt Plant (AP-5)'!S44,0),IF('Asphalt Plant (AP-6)'!$C$5="drum mix plant",'Asphalt Plant (AP-6)'!S44,0),IF('Asphalt Plant (AP-7)'!$C$5="drum mix plant",'Asphalt Plant (AP-7)'!S44,0),IF('Asphalt Plant (AP-8)'!$C$5="drum mix plant",'Asphalt Plant (AP-8)'!S44,0),IF('Asphalt Plant (AP-9)'!$C$5="drum mix plant",'Asphalt Plant (AP-9)'!S44,0),IF('Asphalt Plant (AP-10)'!$C$5="drum mix plant",'Asphalt Plant (AP-10)'!S44,0)))</f>
        <v/>
      </c>
      <c r="M58" s="115" t="str">
        <f>IF(B58="","",SUM(IF('Asphalt Plant (AP-1)'!$C$5="drum mix plant",'Asphalt Plant (AP-1)'!T43,0),IF('Asphalt Plant (AP-2)'!$C$5="drum mix plant",'Asphalt Plant (AP-2)'!T44,0),IF('Asphalt Plant (AP-3)'!$C$5="drum mix plant",'Asphalt Plant (AP-3)'!T44,0),IF('Asphalt Plant (AP-4)'!$C$5="drum mix plant",'Asphalt Plant (AP-4)'!T44,0),IF('Asphalt Plant (AP-5)'!$C$5="drum mix plant",'Asphalt Plant (AP-5)'!T44,0),IF('Asphalt Plant (AP-6)'!$C$5="drum mix plant",'Asphalt Plant (AP-6)'!T44,0),IF('Asphalt Plant (AP-7)'!$C$5="drum mix plant",'Asphalt Plant (AP-7)'!T44,0),IF('Asphalt Plant (AP-8)'!$C$5="drum mix plant",'Asphalt Plant (AP-8)'!T44,0),IF('Asphalt Plant (AP-9)'!$C$5="drum mix plant",'Asphalt Plant (AP-9)'!T44,0),IF('Asphalt Plant (AP-10)'!$C$5="drum mix plant",'Asphalt Plant (AP-10)'!T44,0)))</f>
        <v/>
      </c>
    </row>
    <row r="59" spans="1:13" s="194" customFormat="1" ht="14.25" customHeight="1" x14ac:dyDescent="0.25">
      <c r="A59" s="30" t="str">
        <f t="shared" si="9"/>
        <v/>
      </c>
      <c r="B59" s="135" t="str">
        <f>IF(D59="","","Drum Mix Plant - Natural Gas")</f>
        <v/>
      </c>
      <c r="C59" s="30" t="str">
        <f>IF(B59="","","30500261")</f>
        <v/>
      </c>
      <c r="D59" s="18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59" s="180" t="str">
        <f t="shared" si="10"/>
        <v/>
      </c>
      <c r="F59" s="180" t="str">
        <f>IF(B59="","",MAX(IF('Asphalt Plant (AP-1)'!$C$5="drum mix plant",'Asphalt Plant (AP-1)'!O44,0),IF('Asphalt Plant (AP-2)'!$C$5="drum mix plant",'Asphalt Plant (AP-2)'!O45,0),IF('Asphalt Plant (AP-3)'!$C$5="drum mix plant",'Asphalt Plant (AP-3)'!O45,0),IF('Asphalt Plant (AP-4)'!$C$5="drum mix plant",'Asphalt Plant (AP-4)'!O45,0),IF('Asphalt Plant (AP-5)'!$C$5="drum mix plant",'Asphalt Plant (AP-5)'!O45,0),IF('Asphalt Plant (AP-6)'!$C$5="drum mix plant",'Asphalt Plant (AP-6)'!O45,0),IF('Asphalt Plant (AP-7)'!$C$5="drum mix plant",'Asphalt Plant (AP-7)'!O45,0),IF('Asphalt Plant (AP-8)'!$C$5="drum mix plant",'Asphalt Plant (AP-8)'!O45,0),IF('Asphalt Plant (AP-9)'!$C$5="drum mix plant",'Asphalt Plant (AP-9)'!O45,0),IF('Asphalt Plant (AP-10)'!$C$5="drum mix plant",'Asphalt Plant (AP-10)'!O45,0)))</f>
        <v/>
      </c>
      <c r="G59" s="100" t="str">
        <f t="shared" si="11"/>
        <v/>
      </c>
      <c r="H59" s="138" t="str">
        <f>IF(B59="","","AP-42 Table 11.1-4,7,8,10,12")</f>
        <v/>
      </c>
      <c r="I59" s="115" t="str">
        <f>IF(B59="","",SUM(IF('Asphalt Plant (AP-1)'!$C$5="drum mix plant",'Asphalt Plant (AP-1)'!Q44,0),IF('Asphalt Plant (AP-2)'!$C$5="drum mix plant",'Asphalt Plant (AP-2)'!Q45,0),IF('Asphalt Plant (AP-3)'!$C$5="drum mix plant",'Asphalt Plant (AP-3)'!Q45,0),IF('Asphalt Plant (AP-4)'!$C$5="drum mix plant",'Asphalt Plant (AP-4)'!Q45,0),IF('Asphalt Plant (AP-5)'!$C$5="drum mix plant",'Asphalt Plant (AP-5)'!Q45,0),IF('Asphalt Plant (AP-6)'!$C$5="drum mix plant",'Asphalt Plant (AP-6)'!Q45,0),IF('Asphalt Plant (AP-7)'!$C$5="drum mix plant",'Asphalt Plant (AP-7)'!Q45,0),IF('Asphalt Plant (AP-8)'!$C$5="drum mix plant",'Asphalt Plant (AP-8)'!Q45,0),IF('Asphalt Plant (AP-9)'!$C$5="drum mix plant",'Asphalt Plant (AP-9)'!Q45,0),IF('Asphalt Plant (AP-10)'!$C$5="drum mix plant",'Asphalt Plant (AP-10)'!Q45,0)))</f>
        <v/>
      </c>
      <c r="J59" s="193"/>
      <c r="K59" s="115" t="str">
        <f>IF(B59="","",SUM(IF('Asphalt Plant (AP-1)'!$C$5="drum mix plant",'Asphalt Plant (AP-1)'!R44,0),IF('Asphalt Plant (AP-2)'!$C$5="drum mix plant",'Asphalt Plant (AP-2)'!R45,0),IF('Asphalt Plant (AP-3)'!$C$5="drum mix plant",'Asphalt Plant (AP-3)'!R45,0),IF('Asphalt Plant (AP-4)'!$C$5="drum mix plant",'Asphalt Plant (AP-4)'!R45,0),IF('Asphalt Plant (AP-5)'!$C$5="drum mix plant",'Asphalt Plant (AP-5)'!R45,0),IF('Asphalt Plant (AP-6)'!$C$5="drum mix plant",'Asphalt Plant (AP-6)'!R45,0),IF('Asphalt Plant (AP-7)'!$C$5="drum mix plant",'Asphalt Plant (AP-7)'!R45,0),IF('Asphalt Plant (AP-8)'!$C$5="drum mix plant",'Asphalt Plant (AP-8)'!R45,0),IF('Asphalt Plant (AP-9)'!$C$5="drum mix plant",'Asphalt Plant (AP-9)'!R45,0),IF('Asphalt Plant (AP-10)'!$C$5="drum mix plant",'Asphalt Plant (AP-10)'!R45,0)))</f>
        <v/>
      </c>
      <c r="L59" s="115" t="str">
        <f>IF(B59="","",SUM(IF('Asphalt Plant (AP-1)'!$C$5="drum mix plant",'Asphalt Plant (AP-1)'!S44,0),IF('Asphalt Plant (AP-2)'!$C$5="drum mix plant",'Asphalt Plant (AP-2)'!S45,0),IF('Asphalt Plant (AP-3)'!$C$5="drum mix plant",'Asphalt Plant (AP-3)'!S45,0),IF('Asphalt Plant (AP-4)'!$C$5="drum mix plant",'Asphalt Plant (AP-4)'!S45,0),IF('Asphalt Plant (AP-5)'!$C$5="drum mix plant",'Asphalt Plant (AP-5)'!S45,0),IF('Asphalt Plant (AP-6)'!$C$5="drum mix plant",'Asphalt Plant (AP-6)'!S45,0),IF('Asphalt Plant (AP-7)'!$C$5="drum mix plant",'Asphalt Plant (AP-7)'!S45,0),IF('Asphalt Plant (AP-8)'!$C$5="drum mix plant",'Asphalt Plant (AP-8)'!S45,0),IF('Asphalt Plant (AP-9)'!$C$5="drum mix plant",'Asphalt Plant (AP-9)'!S45,0),IF('Asphalt Plant (AP-10)'!$C$5="drum mix plant",'Asphalt Plant (AP-10)'!S45,0)))</f>
        <v/>
      </c>
      <c r="M59" s="115" t="str">
        <f>IF(B59="","",SUM(IF('Asphalt Plant (AP-1)'!$C$5="drum mix plant",'Asphalt Plant (AP-1)'!T44,0),IF('Asphalt Plant (AP-2)'!$C$5="drum mix plant",'Asphalt Plant (AP-2)'!T45,0),IF('Asphalt Plant (AP-3)'!$C$5="drum mix plant",'Asphalt Plant (AP-3)'!T45,0),IF('Asphalt Plant (AP-4)'!$C$5="drum mix plant",'Asphalt Plant (AP-4)'!T45,0),IF('Asphalt Plant (AP-5)'!$C$5="drum mix plant",'Asphalt Plant (AP-5)'!T45,0),IF('Asphalt Plant (AP-6)'!$C$5="drum mix plant",'Asphalt Plant (AP-6)'!T45,0),IF('Asphalt Plant (AP-7)'!$C$5="drum mix plant",'Asphalt Plant (AP-7)'!T45,0),IF('Asphalt Plant (AP-8)'!$C$5="drum mix plant",'Asphalt Plant (AP-8)'!T45,0),IF('Asphalt Plant (AP-9)'!$C$5="drum mix plant",'Asphalt Plant (AP-9)'!T45,0),IF('Asphalt Plant (AP-10)'!$C$5="drum mix plant",'Asphalt Plant (AP-10)'!T45,0)))</f>
        <v/>
      </c>
    </row>
    <row r="60" spans="1:13" x14ac:dyDescent="0.25">
      <c r="A60" s="114" t="str">
        <f>IF('Permitted Diesel Engines'!R50=0,"","ALL")</f>
        <v/>
      </c>
      <c r="B60" s="99" t="str">
        <f>IF('Permitted Diesel Engines'!R50=0,"","Diesel Generator ≤ 600 bhp")</f>
        <v/>
      </c>
      <c r="C60" s="30" t="str">
        <f>IF('Permitted Diesel Engines'!R50=0,"",LOOKUP(B60,'Emission Factors'!A43:A44,'Emission Factors'!B43:B44))</f>
        <v/>
      </c>
      <c r="D60" s="30" t="str">
        <f>IF('Permitted Diesel Engines'!R50=0,"",'Permitted Diesel Engines'!R50)</f>
        <v/>
      </c>
      <c r="E60" s="30" t="str">
        <f>IF(B60="","","MMBtu/hr")</f>
        <v/>
      </c>
      <c r="F60" s="30" t="str">
        <f>IF(B60="","",LOOKUP(B60,'Emission Factors'!$A$43:$A$44,'Emission Factors'!$J$43:$J$44))</f>
        <v/>
      </c>
      <c r="G60" s="30" t="str">
        <f>IF(B60="","",LOOKUP(B60,'Emission Factors'!$A$43:$A$44,'Emission Factors'!$C$43:$C$44))</f>
        <v/>
      </c>
      <c r="H60" s="101" t="str">
        <f>IF(B60="","",LOOKUP(B60,'Emission Factors'!$A$43:$A$44,'Emission Factors'!$K$43:$K$44))</f>
        <v/>
      </c>
      <c r="I60" s="31" t="str">
        <f>IF(B60="","",'Emission Calculations'!D60*'Emission Calculations'!F60)</f>
        <v/>
      </c>
      <c r="J60" s="30"/>
      <c r="K60" s="31"/>
      <c r="L60" s="31" t="str">
        <f>IF(B60="","",'Permitted Diesel Engines'!$AF$77)</f>
        <v/>
      </c>
      <c r="M60" s="31" t="str">
        <f>IF(B60="","",'Permitted Diesel Engines'!T50*'Emission Calculations'!F60/2000)</f>
        <v/>
      </c>
    </row>
    <row r="61" spans="1:13" x14ac:dyDescent="0.25">
      <c r="A61" s="114" t="str">
        <f>IF('Permitted Diesel Engines'!R51=0,"","ALL")</f>
        <v/>
      </c>
      <c r="B61" s="99" t="str">
        <f>IF('Permitted Diesel Engines'!R51=0,"","Diesel Generator&gt; 600 bhp")</f>
        <v/>
      </c>
      <c r="C61" s="30" t="str">
        <f>IF('Permitted Diesel Engines'!R51=0,"",LOOKUP(B61,'Emission Factors'!A44:A45,'Emission Factors'!B44:B45))</f>
        <v/>
      </c>
      <c r="D61" s="30" t="str">
        <f>IF('Permitted Diesel Engines'!R51=0,"",'Permitted Diesel Engines'!R51)</f>
        <v/>
      </c>
      <c r="E61" s="30" t="str">
        <f>IF(B61="","","MMBtu/hr")</f>
        <v/>
      </c>
      <c r="F61" s="30" t="str">
        <f>IF(B61="","",LOOKUP(B61,'Emission Factors'!$A$43:$A$44,'Emission Factors'!$J$43:$J$44))</f>
        <v/>
      </c>
      <c r="G61" s="30" t="str">
        <f>IF(B61="","",LOOKUP(B61,'Emission Factors'!$A$43:$A$44,'Emission Factors'!$C$43:$C$44))</f>
        <v/>
      </c>
      <c r="H61" s="101" t="str">
        <f>IF(B61="","",LOOKUP(B61,'Emission Factors'!$A$43:$A$44,'Emission Factors'!$K$43:$K$44))</f>
        <v/>
      </c>
      <c r="I61" s="31" t="str">
        <f>IF(B61="","",'Emission Calculations'!D61*'Emission Calculations'!F61)</f>
        <v/>
      </c>
      <c r="J61" s="30"/>
      <c r="K61" s="31"/>
      <c r="L61" s="31" t="str">
        <f>IF(B61="","",'Permitted Diesel Engines'!$AG$77)</f>
        <v/>
      </c>
      <c r="M61" s="31" t="str">
        <f>IF(B61="","",'Permitted Diesel Engines'!T51*'Emission Calculations'!F61/2000)</f>
        <v/>
      </c>
    </row>
    <row r="62" spans="1:13" x14ac:dyDescent="0.25">
      <c r="A62" s="185"/>
      <c r="B62" s="15"/>
      <c r="C62" s="186"/>
      <c r="D62" s="186"/>
      <c r="E62" s="186"/>
      <c r="F62" s="186"/>
      <c r="G62" s="186"/>
      <c r="H62" s="189"/>
      <c r="I62" s="183"/>
      <c r="J62" s="257" t="s">
        <v>30</v>
      </c>
      <c r="L62" s="31">
        <f ca="1">SUM(L54:L61)</f>
        <v>0</v>
      </c>
      <c r="M62" s="31">
        <f ca="1">SUM(M54:M61)</f>
        <v>0</v>
      </c>
    </row>
    <row r="63" spans="1:13" ht="15.75" x14ac:dyDescent="0.25">
      <c r="A63" s="300" t="s">
        <v>5</v>
      </c>
      <c r="B63" s="300"/>
      <c r="C63" s="176"/>
      <c r="D63" s="176"/>
      <c r="E63" s="176"/>
      <c r="F63" s="176"/>
      <c r="G63" s="176"/>
      <c r="H63" s="188"/>
      <c r="I63" s="179"/>
      <c r="J63" s="176"/>
      <c r="K63" s="117"/>
      <c r="L63" s="117"/>
      <c r="M63" s="117"/>
    </row>
    <row r="64" spans="1:13" s="187" customFormat="1" ht="14.25" customHeight="1" x14ac:dyDescent="0.25">
      <c r="A64" s="30" t="str">
        <f t="shared" ref="A64:A69" ca="1" si="12">IF(D64="","","ALL")</f>
        <v/>
      </c>
      <c r="B64" s="135" t="str">
        <f ca="1">IF(D64="","","Batch Mix Plant - Fuel Oil")</f>
        <v/>
      </c>
      <c r="C64" s="30" t="str">
        <f ca="1">IF(B64="","","30500246")</f>
        <v/>
      </c>
      <c r="D64" s="180" t="str">
        <f ca="1">IF(SUM(IF('Asphalt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(AP-10)'!N5,0))&gt;0,SUM(IF('Asphalt Plant (AP-1)'!$C$5="batch mix plant",'Asphalt Plant (AP-1)'!N5,0),IF('Asphalt Plant (AP-2)'!$C$5="batch mix plant",'Asphalt Plant (AP-2)'!N5,0),IF('Asphalt Plant (AP-3)'!$C$5="batch mix plant",'Asphalt Plant (AP-3)'!N5,0),IF('Asphalt Plant (AP-4)'!$C$5="batch mix plant",'Asphalt Plant (AP-4)'!N5,0),IF('Asphalt Plant (AP-5)'!$C$5="batch mix plant",'Asphalt Plant (AP-5)'!N5,0),IF('Asphalt Plant (AP-6)'!$C$5="batch mix plant",'Asphalt Plant (AP-6)'!N5,0),IF('Asphalt Plant (AP-7)'!$C$5="batch mix plant",'Asphalt Plant (AP-7)'!N5,0),IF('Asphalt Plant (AP-8)'!$C$5="batch mix plant",'Asphalt Plant (AP-8)'!N5,0),IF('Asphalt Plant (AP-9)'!$C$5="batch mix plant",'Asphalt Plant (AP-9)'!N5,0),IF('Asphalt Plant (AP-10)'!$C$5="batch mix plant",'Asphalt Plant (AP-10)'!N5,0)),"")</f>
        <v/>
      </c>
      <c r="E64" s="180" t="str">
        <f t="shared" ref="E64:E69" ca="1" si="13">IF(B64="","","tons/hr")</f>
        <v/>
      </c>
      <c r="F64" s="180" t="str">
        <f ca="1">IF(B64="","",MAX(IF('Asphalt Plant (AP-1)'!$C$5="batch mix plant",'Asphalt Plant (AP-1)'!O46,0),IF('Asphalt Plant (AP-2)'!$C$5="batch mix plant",'Asphalt Plant (AP-2)'!O47,0),IF('Asphalt Plant (AP-3)'!$C$5="batch mix plant",'Asphalt Plant (AP-3)'!O47,0),IF('Asphalt Plant (AP-4)'!$C$5="batch mix plant",'Asphalt Plant (AP-4)'!O47,0),IF('Asphalt Plant (AP-5)'!$C$5="batch mix plant",'Asphalt Plant (AP-5)'!O47,0),IF('Asphalt Plant (AP-6)'!$C$5="batch mix plant",'Asphalt Plant (AP-6)'!O47,0),IF('Asphalt Plant (AP-7)'!$C$5="batch mix plant",'Asphalt Plant (AP-7)'!O47,0),IF('Asphalt Plant (AP-8)'!$C$5="batch mix plant",'Asphalt Plant (AP-8)'!O47,0),IF('Asphalt Plant (AP-9)'!$C$5="batch mix plant",'Asphalt Plant (AP-9)'!O47,0),IF('Asphalt Plant (AP-10)'!$C$5="batch mix plant",'Asphalt Plant (AP-10)'!O47,0)))</f>
        <v/>
      </c>
      <c r="G64" s="100" t="str">
        <f t="shared" ref="G64:G69" ca="1" si="14">IF(B64="","","lb/ton")</f>
        <v/>
      </c>
      <c r="H64" s="138" t="str">
        <f ca="1">IF(B64="","","AP-42 Table 11.1-2,5,6,9")</f>
        <v/>
      </c>
      <c r="I64" s="115" t="str">
        <f ca="1">IF(B64="","",SUM(IF('Asphalt Plant (AP-1)'!$C$5="batch mix plant",'Asphalt Plant (AP-1)'!Q46,0),IF('Asphalt Plant (AP-2)'!$C$5="batch mix plant",'Asphalt Plant (AP-2)'!Q47,0),IF('Asphalt Plant (AP-3)'!$C$5="batch mix plant",'Asphalt Plant (AP-3)'!Q47,0),IF('Asphalt Plant (AP-4)'!$C$5="batch mix plant",'Asphalt Plant (AP-4)'!Q47,0),IF('Asphalt Plant (AP-5)'!$C$5="batch mix plant",'Asphalt Plant (AP-5)'!Q47,0),IF('Asphalt Plant (AP-6)'!$C$5="batch mix plant",'Asphalt Plant (AP-6)'!Q47,0),IF('Asphalt Plant (AP-7)'!$C$5="batch mix plant",'Asphalt Plant (AP-7)'!Q47,0),IF('Asphalt Plant (AP-8)'!$C$5="batch mix plant",'Asphalt Plant (AP-8)'!Q47,0),IF('Asphalt Plant (AP-9)'!$C$5="batch mix plant",'Asphalt Plant (AP-9)'!Q47,0),IF('Asphalt Plant (AP-10)'!$C$5="batch mix plant",'Asphalt Plant (AP-10)'!Q47,0)))</f>
        <v/>
      </c>
      <c r="J64" s="191"/>
      <c r="K64" s="115" t="str">
        <f ca="1">IF(B64="","",SUM(IF('Asphalt Plant (AP-1)'!$C$5="batch mix plant",'Asphalt Plant (AP-1)'!R46,0),IF('Asphalt Plant (AP-2)'!$C$5="batch mix plant",'Asphalt Plant (AP-2)'!R47,0),IF('Asphalt Plant (AP-3)'!$C$5="batch mix plant",'Asphalt Plant (AP-3)'!R47,0),IF('Asphalt Plant (AP-4)'!$C$5="batch mix plant",'Asphalt Plant (AP-4)'!R47,0),IF('Asphalt Plant (AP-5)'!$C$5="batch mix plant",'Asphalt Plant (AP-5)'!R47,0),IF('Asphalt Plant (AP-6)'!$C$5="batch mix plant",'Asphalt Plant (AP-6)'!R47,0),IF('Asphalt Plant (AP-7)'!$C$5="batch mix plant",'Asphalt Plant (AP-7)'!R47,0),IF('Asphalt Plant (AP-8)'!$C$5="batch mix plant",'Asphalt Plant (AP-8)'!R47,0),IF('Asphalt Plant (AP-9)'!$C$5="batch mix plant",'Asphalt Plant (AP-9)'!R47,0),IF('Asphalt Plant (AP-10)'!$C$5="batch mix plant",'Asphalt Plant (AP-10)'!R47,0)))</f>
        <v/>
      </c>
      <c r="L64" s="115" t="str">
        <f ca="1">IF(B64="","",SUM(IF('Asphalt Plant (AP-1)'!$C$5="batch mix plant",'Asphalt Plant (AP-1)'!S46,0),IF('Asphalt Plant (AP-2)'!$C$5="batch mix plant",'Asphalt Plant (AP-2)'!S47,0),IF('Asphalt Plant (AP-3)'!$C$5="batch mix plant",'Asphalt Plant (AP-3)'!S47,0),IF('Asphalt Plant (AP-4)'!$C$5="batch mix plant",'Asphalt Plant (AP-4)'!S47,0),IF('Asphalt Plant (AP-5)'!$C$5="batch mix plant",'Asphalt Plant (AP-5)'!S47,0),IF('Asphalt Plant (AP-6)'!$C$5="batch mix plant",'Asphalt Plant (AP-6)'!S47,0),IF('Asphalt Plant (AP-7)'!$C$5="batch mix plant",'Asphalt Plant (AP-7)'!S47,0),IF('Asphalt Plant (AP-8)'!$C$5="batch mix plant",'Asphalt Plant (AP-8)'!S47,0),IF('Asphalt Plant (AP-9)'!$C$5="batch mix plant",'Asphalt Plant (AP-9)'!S47,0),IF('Asphalt Plant (AP-10)'!$C$5="batch mix plant",'Asphalt Plant (AP-10)'!S47,0)))</f>
        <v/>
      </c>
      <c r="M64" s="115" t="str">
        <f ca="1">IF(B64="","",SUM(IF('Asphalt Plant (AP-1)'!$C$5="batch mix plant",'Asphalt Plant (AP-1)'!T46,0),IF('Asphalt Plant (AP-2)'!$C$5="batch mix plant",'Asphalt Plant (AP-2)'!T47,0),IF('Asphalt Plant (AP-3)'!$C$5="batch mix plant",'Asphalt Plant (AP-3)'!T47,0),IF('Asphalt Plant (AP-4)'!$C$5="batch mix plant",'Asphalt Plant (AP-4)'!T47,0),IF('Asphalt Plant (AP-5)'!$C$5="batch mix plant",'Asphalt Plant (AP-5)'!T47,0),IF('Asphalt Plant (AP-6)'!$C$5="batch mix plant",'Asphalt Plant (AP-6)'!T47,0),IF('Asphalt Plant (AP-7)'!$C$5="batch mix plant",'Asphalt Plant (AP-7)'!T47,0),IF('Asphalt Plant (AP-8)'!$C$5="batch mix plant",'Asphalt Plant (AP-8)'!T47,0),IF('Asphalt Plant (AP-9)'!$C$5="batch mix plant",'Asphalt Plant (AP-9)'!T47,0),IF('Asphalt Plant (AP-10)'!$C$5="batch mix plant",'Asphalt Plant (AP-10)'!T47,0)))</f>
        <v/>
      </c>
    </row>
    <row r="65" spans="1:13" s="187" customFormat="1" ht="14.25" customHeight="1" x14ac:dyDescent="0.25">
      <c r="A65" s="30" t="str">
        <f t="shared" ca="1" si="12"/>
        <v/>
      </c>
      <c r="B65" s="135" t="str">
        <f ca="1">IF(D65="","","Batch Mix Plant - Waste Oil")</f>
        <v/>
      </c>
      <c r="C65" s="30" t="str">
        <f ca="1">IF(B65="","","30500245")</f>
        <v/>
      </c>
      <c r="D65" s="180" t="str">
        <f ca="1">IF(SUM(IF('Asphalt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(AP-10)'!N6,0))&gt;0,SUM(IF('Asphalt Plant (AP-1)'!$C$5="batch mix plant",'Asphalt Plant (AP-1)'!N6,0),IF('Asphalt Plant (AP-2)'!$C$5="batch mix plant",'Asphalt Plant (AP-2)'!N6,0),IF('Asphalt Plant (AP-3)'!$C$5="batch mix plant",'Asphalt Plant (AP-3)'!N6,0),IF('Asphalt Plant (AP-4)'!$C$5="batch mix plant",'Asphalt Plant (AP-4)'!N6,0),IF('Asphalt Plant (AP-5)'!$C$5="batch mix plant",'Asphalt Plant (AP-5)'!N6,0),IF('Asphalt Plant (AP-6)'!$C$5="batch mix plant",'Asphalt Plant (AP-6)'!N6,0),IF('Asphalt Plant (AP-7)'!$C$5="batch mix plant",'Asphalt Plant (AP-7)'!N6,0),IF('Asphalt Plant (AP-8)'!$C$5="batch mix plant",'Asphalt Plant (AP-8)'!N6,0),IF('Asphalt Plant (AP-9)'!$C$5="batch mix plant",'Asphalt Plant (AP-9)'!N6,0),IF('Asphalt Plant (AP-10)'!$C$5="batch mix plant",'Asphalt Plant (AP-10)'!N6,0)),"")</f>
        <v/>
      </c>
      <c r="E65" s="180" t="str">
        <f t="shared" ca="1" si="13"/>
        <v/>
      </c>
      <c r="F65" s="180" t="str">
        <f ca="1">IF(B65="","",MAX(IF('Asphalt Plant (AP-1)'!$C$5="batch mix plant",'Asphalt Plant (AP-1)'!O48,0),IF('Asphalt Plant (AP-2)'!$C$5="batch mix plant",'Asphalt Plant (AP-2)'!O48,0),IF('Asphalt Plant (AP-3)'!$C$5="batch mix plant",'Asphalt Plant (AP-3)'!O48,0),IF('Asphalt Plant (AP-4)'!$C$5="batch mix plant",'Asphalt Plant (AP-4)'!O48,0),IF('Asphalt Plant (AP-5)'!$C$5="batch mix plant",'Asphalt Plant (AP-5)'!O48,0),IF('Asphalt Plant (AP-6)'!$C$5="batch mix plant",'Asphalt Plant (AP-6)'!O48,0),IF('Asphalt Plant (AP-7)'!$C$5="batch mix plant",'Asphalt Plant (AP-7)'!O48,0),IF('Asphalt Plant (AP-8)'!$C$5="batch mix plant",'Asphalt Plant (AP-8)'!O48,0),IF('Asphalt Plant (AP-9)'!$C$5="batch mix plant",'Asphalt Plant (AP-9)'!O48,0),IF('Asphalt Plant (AP-10)'!$C$5="batch mix plant",'Asphalt Plant (AP-10)'!O48,0)))</f>
        <v/>
      </c>
      <c r="G65" s="100" t="str">
        <f t="shared" ca="1" si="14"/>
        <v/>
      </c>
      <c r="H65" s="138" t="str">
        <f ca="1">IF(B65="","","AP-42 Table 11.1-2,5,6,9")</f>
        <v/>
      </c>
      <c r="I65" s="115" t="str">
        <f ca="1">IF(B65="","",SUM(IF('Asphalt Plant (AP-1)'!$C$5="batch mix plant",'Asphalt Plant (AP-1)'!Q48,0),IF('Asphalt Plant (AP-2)'!$C$5="batch mix plant",'Asphalt Plant (AP-2)'!Q48,0),IF('Asphalt Plant (AP-3)'!$C$5="batch mix plant",'Asphalt Plant (AP-3)'!Q48,0),IF('Asphalt Plant (AP-4)'!$C$5="batch mix plant",'Asphalt Plant (AP-4)'!Q48,0),IF('Asphalt Plant (AP-5)'!$C$5="batch mix plant",'Asphalt Plant (AP-5)'!Q48,0),IF('Asphalt Plant (AP-6)'!$C$5="batch mix plant",'Asphalt Plant (AP-6)'!Q48,0),IF('Asphalt Plant (AP-7)'!$C$5="batch mix plant",'Asphalt Plant (AP-7)'!Q48,0),IF('Asphalt Plant (AP-8)'!$C$5="batch mix plant",'Asphalt Plant (AP-8)'!Q48,0),IF('Asphalt Plant (AP-9)'!$C$5="batch mix plant",'Asphalt Plant (AP-9)'!Q48,0),IF('Asphalt Plant (AP-10)'!$C$5="batch mix plant",'Asphalt Plant (AP-10)'!Q48,0)))</f>
        <v/>
      </c>
      <c r="J65" s="115"/>
      <c r="K65" s="115" t="str">
        <f ca="1">IF(B65="","",SUM(IF('Asphalt Plant (AP-1)'!$C$5="batch mix plant",'Asphalt Plant (AP-1)'!R48,0),IF('Asphalt Plant (AP-2)'!$C$5="batch mix plant",'Asphalt Plant (AP-2)'!R48,0),IF('Asphalt Plant (AP-3)'!$C$5="batch mix plant",'Asphalt Plant (AP-3)'!R48,0),IF('Asphalt Plant (AP-4)'!$C$5="batch mix plant",'Asphalt Plant (AP-4)'!R48,0),IF('Asphalt Plant (AP-5)'!$C$5="batch mix plant",'Asphalt Plant (AP-5)'!R48,0),IF('Asphalt Plant (AP-6)'!$C$5="batch mix plant",'Asphalt Plant (AP-6)'!R48,0),IF('Asphalt Plant (AP-7)'!$C$5="batch mix plant",'Asphalt Plant (AP-7)'!R48,0),IF('Asphalt Plant (AP-8)'!$C$5="batch mix plant",'Asphalt Plant (AP-8)'!R48,0),IF('Asphalt Plant (AP-9)'!$C$5="batch mix plant",'Asphalt Plant (AP-9)'!R48,0),IF('Asphalt Plant (AP-10)'!$C$5="batch mix plant",'Asphalt Plant (AP-10)'!R48,0)))</f>
        <v/>
      </c>
      <c r="L65" s="115" t="str">
        <f ca="1">IF(B65="","",SUM(IF('Asphalt Plant (AP-1)'!$C$5="batch mix plant",'Asphalt Plant (AP-1)'!S48,0),IF('Asphalt Plant (AP-2)'!$C$5="batch mix plant",'Asphalt Plant (AP-2)'!S48,0),IF('Asphalt Plant (AP-3)'!$C$5="batch mix plant",'Asphalt Plant (AP-3)'!S48,0),IF('Asphalt Plant (AP-4)'!$C$5="batch mix plant",'Asphalt Plant (AP-4)'!S48,0),IF('Asphalt Plant (AP-5)'!$C$5="batch mix plant",'Asphalt Plant (AP-5)'!S48,0),IF('Asphalt Plant (AP-6)'!$C$5="batch mix plant",'Asphalt Plant (AP-6)'!S48,0),IF('Asphalt Plant (AP-7)'!$C$5="batch mix plant",'Asphalt Plant (AP-7)'!S48,0),IF('Asphalt Plant (AP-8)'!$C$5="batch mix plant",'Asphalt Plant (AP-8)'!S48,0),IF('Asphalt Plant (AP-9)'!$C$5="batch mix plant",'Asphalt Plant (AP-9)'!S48,0),IF('Asphalt Plant (AP-10)'!$C$5="batch mix plant",'Asphalt Plant (AP-10)'!S48,0)))</f>
        <v/>
      </c>
      <c r="M65" s="115" t="str">
        <f ca="1">IF(B65="","",SUM(IF('Asphalt Plant (AP-1)'!$C$5="batch mix plant",'Asphalt Plant (AP-1)'!T48,0),IF('Asphalt Plant (AP-2)'!$C$5="batch mix plant",'Asphalt Plant (AP-2)'!T48,0),IF('Asphalt Plant (AP-3)'!$C$5="batch mix plant",'Asphalt Plant (AP-3)'!T48,0),IF('Asphalt Plant (AP-4)'!$C$5="batch mix plant",'Asphalt Plant (AP-4)'!T48,0),IF('Asphalt Plant (AP-5)'!$C$5="batch mix plant",'Asphalt Plant (AP-5)'!T48,0),IF('Asphalt Plant (AP-6)'!$C$5="batch mix plant",'Asphalt Plant (AP-6)'!T48,0),IF('Asphalt Plant (AP-7)'!$C$5="batch mix plant",'Asphalt Plant (AP-7)'!T48,0),IF('Asphalt Plant (AP-8)'!$C$5="batch mix plant",'Asphalt Plant (AP-8)'!T48,0),IF('Asphalt Plant (AP-9)'!$C$5="batch mix plant",'Asphalt Plant (AP-9)'!T48,0),IF('Asphalt Plant (AP-10)'!$C$5="batch mix plant",'Asphalt Plant (AP-10)'!T48,0)))</f>
        <v/>
      </c>
    </row>
    <row r="66" spans="1:13" s="187" customFormat="1" ht="14.25" customHeight="1" x14ac:dyDescent="0.25">
      <c r="A66" s="30" t="str">
        <f t="shared" ca="1" si="12"/>
        <v/>
      </c>
      <c r="B66" s="135" t="str">
        <f ca="1">IF(D66="","","Batch Mix Plant - Natural Gas")</f>
        <v/>
      </c>
      <c r="C66" s="30" t="str">
        <f ca="1">IF(B66="","","30500247")</f>
        <v/>
      </c>
      <c r="D66" s="180" t="str">
        <f ca="1">IF(SUM(IF('Asphalt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(AP-10)'!N7,0))&gt;0,SUM(IF('Asphalt Plant (AP-1)'!$C$5="batch mix plant",'Asphalt Plant (AP-1)'!N7,0),IF('Asphalt Plant (AP-2)'!$C$5="batch mix plant",'Asphalt Plant (AP-2)'!N7,0),IF('Asphalt Plant (AP-3)'!$C$5="batch mix plant",'Asphalt Plant (AP-3)'!N7,0),IF('Asphalt Plant (AP-4)'!$C$5="batch mix plant",'Asphalt Plant (AP-4)'!N7,0),IF('Asphalt Plant (AP-5)'!$C$5="batch mix plant",'Asphalt Plant (AP-5)'!N7,0),IF('Asphalt Plant (AP-6)'!$C$5="batch mix plant",'Asphalt Plant (AP-6)'!N7,0),IF('Asphalt Plant (AP-7)'!$C$5="batch mix plant",'Asphalt Plant (AP-7)'!N7,0),IF('Asphalt Plant (AP-8)'!$C$5="batch mix plant",'Asphalt Plant (AP-8)'!N7,0),IF('Asphalt Plant (AP-9)'!$C$5="batch mix plant",'Asphalt Plant (AP-9)'!N7,0),IF('Asphalt Plant (AP-10)'!$C$5="batch mix plant",'Asphalt Plant (AP-10)'!N7,0)),"")</f>
        <v/>
      </c>
      <c r="E66" s="180" t="str">
        <f t="shared" ca="1" si="13"/>
        <v/>
      </c>
      <c r="F66" s="180" t="str">
        <f ca="1">IF(B66="","",MAX(IF('Asphalt Plant (AP-1)'!$C$5="batch mix plant",'Asphalt Plant (AP-1)'!O49,0),IF('Asphalt Plant (AP-2)'!$C$5="batch mix plant",'Asphalt Plant (AP-2)'!O49,0),IF('Asphalt Plant (AP-3)'!$C$5="batch mix plant",'Asphalt Plant (AP-3)'!O49,0),IF('Asphalt Plant (AP-4)'!$C$5="batch mix plant",'Asphalt Plant (AP-4)'!O49,0),IF('Asphalt Plant (AP-5)'!$C$5="batch mix plant",'Asphalt Plant (AP-5)'!O49,0),IF('Asphalt Plant (AP-6)'!$C$5="batch mix plant",'Asphalt Plant (AP-6)'!O49,0),IF('Asphalt Plant (AP-7)'!$C$5="batch mix plant",'Asphalt Plant (AP-7)'!O49,0),IF('Asphalt Plant (AP-8)'!$C$5="batch mix plant",'Asphalt Plant (AP-8)'!O49,0),IF('Asphalt Plant (AP-9)'!$C$5="batch mix plant",'Asphalt Plant (AP-9)'!O49,0),IF('Asphalt Plant (AP-10)'!$C$5="batch mix plant",'Asphalt Plant (AP-10)'!O49,0)))</f>
        <v/>
      </c>
      <c r="G66" s="100" t="str">
        <f t="shared" ca="1" si="14"/>
        <v/>
      </c>
      <c r="H66" s="138" t="str">
        <f ca="1">IF(B66="","","AP-42 Table 11.1-2,5,6,9")</f>
        <v/>
      </c>
      <c r="I66" s="115" t="str">
        <f ca="1">IF(B66="","",SUM(IF('Asphalt Plant (AP-1)'!$C$5="batch mix plant",'Asphalt Plant (AP-1)'!Q49,0),IF('Asphalt Plant (AP-2)'!$C$5="batch mix plant",'Asphalt Plant (AP-2)'!Q49,0),IF('Asphalt Plant (AP-3)'!$C$5="batch mix plant",'Asphalt Plant (AP-3)'!Q49,0),IF('Asphalt Plant (AP-4)'!$C$5="batch mix plant",'Asphalt Plant (AP-4)'!Q49,0),IF('Asphalt Plant (AP-5)'!$C$5="batch mix plant",'Asphalt Plant (AP-5)'!Q49,0),IF('Asphalt Plant (AP-6)'!$C$5="batch mix plant",'Asphalt Plant (AP-6)'!Q49,0),IF('Asphalt Plant (AP-7)'!$C$5="batch mix plant",'Asphalt Plant (AP-7)'!Q49,0),IF('Asphalt Plant (AP-8)'!$C$5="batch mix plant",'Asphalt Plant (AP-8)'!Q49,0),IF('Asphalt Plant (AP-9)'!$C$5="batch mix plant",'Asphalt Plant (AP-9)'!Q49,0),IF('Asphalt Plant (AP-10)'!$C$5="batch mix plant",'Asphalt Plant (AP-10)'!Q49,0)))</f>
        <v/>
      </c>
      <c r="J66" s="115"/>
      <c r="K66" s="115" t="str">
        <f ca="1">IF(B66="","",SUM(IF('Asphalt Plant (AP-1)'!$C$5="batch mix plant",'Asphalt Plant (AP-1)'!R49,0),IF('Asphalt Plant (AP-2)'!$C$5="batch mix plant",'Asphalt Plant (AP-2)'!R49,0),IF('Asphalt Plant (AP-3)'!$C$5="batch mix plant",'Asphalt Plant (AP-3)'!R49,0),IF('Asphalt Plant (AP-4)'!$C$5="batch mix plant",'Asphalt Plant (AP-4)'!R49,0),IF('Asphalt Plant (AP-5)'!$C$5="batch mix plant",'Asphalt Plant (AP-5)'!R49,0),IF('Asphalt Plant (AP-6)'!$C$5="batch mix plant",'Asphalt Plant (AP-6)'!R49,0),IF('Asphalt Plant (AP-7)'!$C$5="batch mix plant",'Asphalt Plant (AP-7)'!R49,0),IF('Asphalt Plant (AP-8)'!$C$5="batch mix plant",'Asphalt Plant (AP-8)'!R49,0),IF('Asphalt Plant (AP-9)'!$C$5="batch mix plant",'Asphalt Plant (AP-9)'!R49,0),IF('Asphalt Plant (AP-10)'!$C$5="batch mix plant",'Asphalt Plant (AP-10)'!R49,0)))</f>
        <v/>
      </c>
      <c r="L66" s="115" t="str">
        <f ca="1">IF(B66="","",SUM(IF('Asphalt Plant (AP-1)'!$C$5="batch mix plant",'Asphalt Plant (AP-1)'!S49,0),IF('Asphalt Plant (AP-2)'!$C$5="batch mix plant",'Asphalt Plant (AP-2)'!S49,0),IF('Asphalt Plant (AP-3)'!$C$5="batch mix plant",'Asphalt Plant (AP-3)'!S49,0),IF('Asphalt Plant (AP-4)'!$C$5="batch mix plant",'Asphalt Plant (AP-4)'!S49,0),IF('Asphalt Plant (AP-5)'!$C$5="batch mix plant",'Asphalt Plant (AP-5)'!S49,0),IF('Asphalt Plant (AP-6)'!$C$5="batch mix plant",'Asphalt Plant (AP-6)'!S49,0),IF('Asphalt Plant (AP-7)'!$C$5="batch mix plant",'Asphalt Plant (AP-7)'!S49,0),IF('Asphalt Plant (AP-8)'!$C$5="batch mix plant",'Asphalt Plant (AP-8)'!S49,0),IF('Asphalt Plant (AP-9)'!$C$5="batch mix plant",'Asphalt Plant (AP-9)'!S49,0),IF('Asphalt Plant (AP-10)'!$C$5="batch mix plant",'Asphalt Plant (AP-10)'!S49,0)))</f>
        <v/>
      </c>
      <c r="M66" s="115" t="str">
        <f ca="1">IF(B66="","",SUM(IF('Asphalt Plant (AP-1)'!$C$5="batch mix plant",'Asphalt Plant (AP-1)'!T49,0),IF('Asphalt Plant (AP-2)'!$C$5="batch mix plant",'Asphalt Plant (AP-2)'!T49,0),IF('Asphalt Plant (AP-3)'!$C$5="batch mix plant",'Asphalt Plant (AP-3)'!T49,0),IF('Asphalt Plant (AP-4)'!$C$5="batch mix plant",'Asphalt Plant (AP-4)'!T49,0),IF('Asphalt Plant (AP-5)'!$C$5="batch mix plant",'Asphalt Plant (AP-5)'!T49,0),IF('Asphalt Plant (AP-6)'!$C$5="batch mix plant",'Asphalt Plant (AP-6)'!T49,0),IF('Asphalt Plant (AP-7)'!$C$5="batch mix plant",'Asphalt Plant (AP-7)'!T49,0),IF('Asphalt Plant (AP-8)'!$C$5="batch mix plant",'Asphalt Plant (AP-8)'!T49,0),IF('Asphalt Plant (AP-9)'!$C$5="batch mix plant",'Asphalt Plant (AP-9)'!T49,0),IF('Asphalt Plant (AP-10)'!$C$5="batch mix plant",'Asphalt Plant (AP-10)'!T49,0)))</f>
        <v/>
      </c>
    </row>
    <row r="67" spans="1:13" s="187" customFormat="1" ht="14.25" customHeight="1" x14ac:dyDescent="0.25">
      <c r="A67" s="30" t="str">
        <f t="shared" si="12"/>
        <v/>
      </c>
      <c r="B67" s="135" t="str">
        <f>IF(D67="","","Drum Mix Plant - Fuel Oil")</f>
        <v/>
      </c>
      <c r="C67" s="30" t="str">
        <f>IF(B67="","","30500258")</f>
        <v/>
      </c>
      <c r="D67" s="18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67" s="180" t="str">
        <f t="shared" si="13"/>
        <v/>
      </c>
      <c r="F67" s="180" t="str">
        <f>IF(B67="","",MAX(IF('Asphalt Plant (AP-1)'!$C$5="drum mix plant",'Asphalt Plant (AP-1)'!O46,0),IF('Asphalt Plant (AP-2)'!$C$5="drum mix plant",'Asphalt Plant (AP-2)'!O47,0),IF('Asphalt Plant (AP-3)'!$C$5="drum mix plant",'Asphalt Plant (AP-3)'!O47,0),IF('Asphalt Plant (AP-4)'!$C$5="drum mix plant",'Asphalt Plant (AP-4)'!O47,0),IF('Asphalt Plant (AP-5)'!$C$5="drum mix plant",'Asphalt Plant (AP-5)'!O47,0),IF('Asphalt Plant (AP-6)'!$C$5="drum mix plant",'Asphalt Plant (AP-6)'!O47,0),IF('Asphalt Plant (AP-7)'!$C$5="drum mix plant",'Asphalt Plant (AP-7)'!O47,0),IF('Asphalt Plant (AP-8)'!$C$5="drum mix plant",'Asphalt Plant (AP-8)'!O47,0),IF('Asphalt Plant (AP-9)'!$C$5="drum mix plant",'Asphalt Plant (AP-9)'!O47,0),IF('Asphalt Plant (AP-10)'!$C$5="drum mix plant",'Asphalt Plant (AP-10)'!O47,0)))</f>
        <v/>
      </c>
      <c r="G67" s="100" t="str">
        <f t="shared" si="14"/>
        <v/>
      </c>
      <c r="H67" s="138" t="str">
        <f>IF(B67="","","AP-42 Table 11.1-4,7,8,10")</f>
        <v/>
      </c>
      <c r="I67" s="115" t="str">
        <f>IF(B67="","",SUM(IF('Asphalt Plant (AP-1)'!$C$5="drum mix plant",'Asphalt Plant (AP-1)'!Q46,0),IF('Asphalt Plant (AP-2)'!$C$5="drum mix plant",'Asphalt Plant (AP-2)'!Q47,0),IF('Asphalt Plant (AP-3)'!$C$5="drum mix plant",'Asphalt Plant (AP-3)'!Q47,0),IF('Asphalt Plant (AP-4)'!$C$5="drum mix plant",'Asphalt Plant (AP-4)'!Q47,0),IF('Asphalt Plant (AP-5)'!$C$5="drum mix plant",'Asphalt Plant (AP-5)'!Q47,0),IF('Asphalt Plant (AP-6)'!$C$5="drum mix plant",'Asphalt Plant (AP-6)'!Q47,0),IF('Asphalt Plant (AP-7)'!$C$5="drum mix plant",'Asphalt Plant (AP-7)'!Q47,0),IF('Asphalt Plant (AP-8)'!$C$5="drum mix plant",'Asphalt Plant (AP-8)'!Q47,0),IF('Asphalt Plant (AP-9)'!$C$5="drum mix plant",'Asphalt Plant (AP-9)'!Q47,0),IF('Asphalt Plant (AP-10)'!$C$5="drum mix plant",'Asphalt Plant (AP-10)'!Q47,0)))</f>
        <v/>
      </c>
      <c r="J67" s="191"/>
      <c r="K67" s="115" t="str">
        <f>IF(B67="","",SUM(IF('Asphalt Plant (AP-1)'!$C$5="drum mix plant",'Asphalt Plant (AP-1)'!R46,0),IF('Asphalt Plant (AP-2)'!$C$5="drum mix plant",'Asphalt Plant (AP-2)'!R47,0),IF('Asphalt Plant (AP-3)'!$C$5="drum mix plant",'Asphalt Plant (AP-3)'!R47,0),IF('Asphalt Plant (AP-4)'!$C$5="drum mix plant",'Asphalt Plant (AP-4)'!R47,0),IF('Asphalt Plant (AP-5)'!$C$5="drum mix plant",'Asphalt Plant (AP-5)'!R47,0),IF('Asphalt Plant (AP-6)'!$C$5="drum mix plant",'Asphalt Plant (AP-6)'!R47,0),IF('Asphalt Plant (AP-7)'!$C$5="drum mix plant",'Asphalt Plant (AP-7)'!R47,0),IF('Asphalt Plant (AP-8)'!$C$5="drum mix plant",'Asphalt Plant (AP-8)'!R47,0),IF('Asphalt Plant (AP-9)'!$C$5="drum mix plant",'Asphalt Plant (AP-9)'!R47,0),IF('Asphalt Plant (AP-10)'!$C$5="drum mix plant",'Asphalt Plant (AP-10)'!R47,0)))</f>
        <v/>
      </c>
      <c r="L67" s="115" t="str">
        <f>IF(B67="","",SUM(IF('Asphalt Plant (AP-1)'!$C$5="drum mix plant",'Asphalt Plant (AP-1)'!S46,0),IF('Asphalt Plant (AP-2)'!$C$5="drum mix plant",'Asphalt Plant (AP-2)'!S47,0),IF('Asphalt Plant (AP-3)'!$C$5="drum mix plant",'Asphalt Plant (AP-3)'!S47,0),IF('Asphalt Plant (AP-4)'!$C$5="drum mix plant",'Asphalt Plant (AP-4)'!S47,0),IF('Asphalt Plant (AP-5)'!$C$5="drum mix plant",'Asphalt Plant (AP-5)'!S47,0),IF('Asphalt Plant (AP-6)'!$C$5="drum mix plant",'Asphalt Plant (AP-6)'!S47,0),IF('Asphalt Plant (AP-7)'!$C$5="drum mix plant",'Asphalt Plant (AP-7)'!S47,0),IF('Asphalt Plant (AP-8)'!$C$5="drum mix plant",'Asphalt Plant (AP-8)'!S47,0),IF('Asphalt Plant (AP-9)'!$C$5="drum mix plant",'Asphalt Plant (AP-9)'!S47,0),IF('Asphalt Plant (AP-10)'!$C$5="drum mix plant",'Asphalt Plant (AP-10)'!S47,0)))</f>
        <v/>
      </c>
      <c r="M67" s="115" t="str">
        <f>IF(B67="","",SUM(IF('Asphalt Plant (AP-1)'!$C$5="drum mix plant",'Asphalt Plant (AP-1)'!T46,0),IF('Asphalt Plant (AP-2)'!$C$5="drum mix plant",'Asphalt Plant (AP-2)'!T47,0),IF('Asphalt Plant (AP-3)'!$C$5="drum mix plant",'Asphalt Plant (AP-3)'!T47,0),IF('Asphalt Plant (AP-4)'!$C$5="drum mix plant",'Asphalt Plant (AP-4)'!T47,0),IF('Asphalt Plant (AP-5)'!$C$5="drum mix plant",'Asphalt Plant (AP-5)'!T47,0),IF('Asphalt Plant (AP-6)'!$C$5="drum mix plant",'Asphalt Plant (AP-6)'!T47,0),IF('Asphalt Plant (AP-7)'!$C$5="drum mix plant",'Asphalt Plant (AP-7)'!T47,0),IF('Asphalt Plant (AP-8)'!$C$5="drum mix plant",'Asphalt Plant (AP-8)'!T47,0),IF('Asphalt Plant (AP-9)'!$C$5="drum mix plant",'Asphalt Plant (AP-9)'!T47,0),IF('Asphalt Plant (AP-10)'!$C$5="drum mix plant",'Asphalt Plant (AP-10)'!T47,0)))</f>
        <v/>
      </c>
    </row>
    <row r="68" spans="1:13" s="187" customFormat="1" ht="14.25" customHeight="1" x14ac:dyDescent="0.25">
      <c r="A68" s="30" t="str">
        <f t="shared" si="12"/>
        <v/>
      </c>
      <c r="B68" s="135" t="str">
        <f>IF(D68="","","Drum Mix Plant - Waste Oil")</f>
        <v/>
      </c>
      <c r="C68" s="30" t="str">
        <f>IF(B68="","","30500255")</f>
        <v/>
      </c>
      <c r="D68" s="18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68" s="180" t="str">
        <f t="shared" si="13"/>
        <v/>
      </c>
      <c r="F68" s="180" t="str">
        <f>IF(B68="","",MAX(IF('Asphalt Plant (AP-1)'!$C$5="drum mix plant",'Asphalt Plant (AP-1)'!O48,0),IF('Asphalt Plant (AP-2)'!$C$5="drum mix plant",'Asphalt Plant (AP-2)'!O48,0),IF('Asphalt Plant (AP-3)'!$C$5="drum mix plant",'Asphalt Plant (AP-3)'!O48,0),IF('Asphalt Plant (AP-4)'!$C$5="drum mix plant",'Asphalt Plant (AP-4)'!O48,0),IF('Asphalt Plant (AP-5)'!$C$5="drum mix plant",'Asphalt Plant (AP-5)'!O48,0),IF('Asphalt Plant (AP-6)'!$C$5="drum mix plant",'Asphalt Plant (AP-6)'!O48,0),IF('Asphalt Plant (AP-7)'!$C$5="drum mix plant",'Asphalt Plant (AP-7)'!O48,0),IF('Asphalt Plant (AP-8)'!$C$5="drum mix plant",'Asphalt Plant (AP-8)'!O48,0),IF('Asphalt Plant (AP-9)'!$C$5="drum mix plant",'Asphalt Plant (AP-9)'!O48,0),IF('Asphalt Plant (AP-10)'!$C$5="drum mix plant",'Asphalt Plant (AP-10)'!O48,0)))</f>
        <v/>
      </c>
      <c r="G68" s="100" t="str">
        <f t="shared" si="14"/>
        <v/>
      </c>
      <c r="H68" s="138" t="str">
        <f>IF(B68="","","AP-42 Table 11.1-4,7,8,10")</f>
        <v/>
      </c>
      <c r="I68" s="115" t="str">
        <f>IF(B68="","",SUM(IF('Asphalt Plant (AP-1)'!$C$5="drum mix plant",'Asphalt Plant (AP-1)'!Q48,0),IF('Asphalt Plant (AP-2)'!$C$5="drum mix plant",'Asphalt Plant (AP-2)'!Q48,0),IF('Asphalt Plant (AP-3)'!$C$5="drum mix plant",'Asphalt Plant (AP-3)'!Q48,0),IF('Asphalt Plant (AP-4)'!$C$5="drum mix plant",'Asphalt Plant (AP-4)'!Q48,0),IF('Asphalt Plant (AP-5)'!$C$5="drum mix plant",'Asphalt Plant (AP-5)'!Q48,0),IF('Asphalt Plant (AP-6)'!$C$5="drum mix plant",'Asphalt Plant (AP-6)'!Q48,0),IF('Asphalt Plant (AP-7)'!$C$5="drum mix plant",'Asphalt Plant (AP-7)'!Q48,0),IF('Asphalt Plant (AP-8)'!$C$5="drum mix plant",'Asphalt Plant (AP-8)'!Q48,0),IF('Asphalt Plant (AP-9)'!$C$5="drum mix plant",'Asphalt Plant (AP-9)'!Q48,0),IF('Asphalt Plant (AP-10)'!$C$5="drum mix plant",'Asphalt Plant (AP-10)'!Q48,0)))</f>
        <v/>
      </c>
      <c r="J68" s="191"/>
      <c r="K68" s="115" t="str">
        <f>IF(B68="","",SUM(IF('Asphalt Plant (AP-1)'!$C$5="drum mix plant",'Asphalt Plant (AP-1)'!R48,0),IF('Asphalt Plant (AP-2)'!$C$5="drum mix plant",'Asphalt Plant (AP-2)'!R48,0),IF('Asphalt Plant (AP-3)'!$C$5="drum mix plant",'Asphalt Plant (AP-3)'!R48,0),IF('Asphalt Plant (AP-4)'!$C$5="drum mix plant",'Asphalt Plant (AP-4)'!R48,0),IF('Asphalt Plant (AP-5)'!$C$5="drum mix plant",'Asphalt Plant (AP-5)'!R48,0),IF('Asphalt Plant (AP-6)'!$C$5="drum mix plant",'Asphalt Plant (AP-6)'!R48,0),IF('Asphalt Plant (AP-7)'!$C$5="drum mix plant",'Asphalt Plant (AP-7)'!R48,0),IF('Asphalt Plant (AP-8)'!$C$5="drum mix plant",'Asphalt Plant (AP-8)'!R48,0),IF('Asphalt Plant (AP-9)'!$C$5="drum mix plant",'Asphalt Plant (AP-9)'!R48,0),IF('Asphalt Plant (AP-10)'!$C$5="drum mix plant",'Asphalt Plant (AP-10)'!R48,0)))</f>
        <v/>
      </c>
      <c r="L68" s="115" t="str">
        <f>IF(B68="","",SUM(IF('Asphalt Plant (AP-1)'!$C$5="drum mix plant",'Asphalt Plant (AP-1)'!S48,0),IF('Asphalt Plant (AP-2)'!$C$5="drum mix plant",'Asphalt Plant (AP-2)'!S48,0),IF('Asphalt Plant (AP-3)'!$C$5="drum mix plant",'Asphalt Plant (AP-3)'!S48,0),IF('Asphalt Plant (AP-4)'!$C$5="drum mix plant",'Asphalt Plant (AP-4)'!S48,0),IF('Asphalt Plant (AP-5)'!$C$5="drum mix plant",'Asphalt Plant (AP-5)'!S48,0),IF('Asphalt Plant (AP-6)'!$C$5="drum mix plant",'Asphalt Plant (AP-6)'!S48,0),IF('Asphalt Plant (AP-7)'!$C$5="drum mix plant",'Asphalt Plant (AP-7)'!S48,0),IF('Asphalt Plant (AP-8)'!$C$5="drum mix plant",'Asphalt Plant (AP-8)'!S48,0),IF('Asphalt Plant (AP-9)'!$C$5="drum mix plant",'Asphalt Plant (AP-9)'!S48,0),IF('Asphalt Plant (AP-10)'!$C$5="drum mix plant",'Asphalt Plant (AP-10)'!S48,0)))</f>
        <v/>
      </c>
      <c r="M68" s="115" t="str">
        <f>IF(B68="","",SUM(IF('Asphalt Plant (AP-1)'!$C$5="drum mix plant",'Asphalt Plant (AP-1)'!T48,0),IF('Asphalt Plant (AP-2)'!$C$5="drum mix plant",'Asphalt Plant (AP-2)'!T48,0),IF('Asphalt Plant (AP-3)'!$C$5="drum mix plant",'Asphalt Plant (AP-3)'!T48,0),IF('Asphalt Plant (AP-4)'!$C$5="drum mix plant",'Asphalt Plant (AP-4)'!T48,0),IF('Asphalt Plant (AP-5)'!$C$5="drum mix plant",'Asphalt Plant (AP-5)'!T48,0),IF('Asphalt Plant (AP-6)'!$C$5="drum mix plant",'Asphalt Plant (AP-6)'!T48,0),IF('Asphalt Plant (AP-7)'!$C$5="drum mix plant",'Asphalt Plant (AP-7)'!T48,0),IF('Asphalt Plant (AP-8)'!$C$5="drum mix plant",'Asphalt Plant (AP-8)'!T48,0),IF('Asphalt Plant (AP-9)'!$C$5="drum mix plant",'Asphalt Plant (AP-9)'!T48,0),IF('Asphalt Plant (AP-10)'!$C$5="drum mix plant",'Asphalt Plant (AP-10)'!T48,0)))</f>
        <v/>
      </c>
    </row>
    <row r="69" spans="1:13" s="187" customFormat="1" ht="14.25" customHeight="1" x14ac:dyDescent="0.25">
      <c r="A69" s="30" t="str">
        <f t="shared" si="12"/>
        <v/>
      </c>
      <c r="B69" s="135" t="str">
        <f>IF(D69="","","Drum Mix Plant - Natural Gas")</f>
        <v/>
      </c>
      <c r="C69" s="30" t="str">
        <f>IF(B69="","","30500261")</f>
        <v/>
      </c>
      <c r="D69" s="18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69" s="180" t="str">
        <f t="shared" si="13"/>
        <v/>
      </c>
      <c r="F69" s="180" t="str">
        <f>IF(B69="","",MAX(IF('Asphalt Plant (AP-1)'!$C$5="drum mix plant",'Asphalt Plant (AP-1)'!O49,0),IF('Asphalt Plant (AP-2)'!$C$5="drum mix plant",'Asphalt Plant (AP-2)'!O49,0),IF('Asphalt Plant (AP-3)'!$C$5="drum mix plant",'Asphalt Plant (AP-3)'!O49,0),IF('Asphalt Plant (AP-4)'!$C$5="drum mix plant",'Asphalt Plant (AP-4)'!O49,0),IF('Asphalt Plant (AP-5)'!$C$5="drum mix plant",'Asphalt Plant (AP-5)'!O49,0),IF('Asphalt Plant (AP-6)'!$C$5="drum mix plant",'Asphalt Plant (AP-6)'!O49,0),IF('Asphalt Plant (AP-7)'!$C$5="drum mix plant",'Asphalt Plant (AP-7)'!O49,0),IF('Asphalt Plant (AP-8)'!$C$5="drum mix plant",'Asphalt Plant (AP-8)'!O49,0),IF('Asphalt Plant (AP-9)'!$C$5="drum mix plant",'Asphalt Plant (AP-9)'!O49,0),IF('Asphalt Plant (AP-10)'!$C$5="drum mix plant",'Asphalt Plant (AP-10)'!O49,0)))</f>
        <v/>
      </c>
      <c r="G69" s="100" t="str">
        <f t="shared" si="14"/>
        <v/>
      </c>
      <c r="H69" s="138" t="str">
        <f>IF(B69="","","AP-42 Table 11.1-4,7,8,10,12")</f>
        <v/>
      </c>
      <c r="I69" s="115" t="str">
        <f>IF(B69="","",SUM(IF('Asphalt Plant (AP-1)'!$C$5="drum mix plant",'Asphalt Plant (AP-1)'!Q49,0),IF('Asphalt Plant (AP-2)'!$C$5="drum mix plant",'Asphalt Plant (AP-2)'!Q49,0),IF('Asphalt Plant (AP-3)'!$C$5="drum mix plant",'Asphalt Plant (AP-3)'!Q49,0),IF('Asphalt Plant (AP-4)'!$C$5="drum mix plant",'Asphalt Plant (AP-4)'!Q49,0),IF('Asphalt Plant (AP-5)'!$C$5="drum mix plant",'Asphalt Plant (AP-5)'!Q49,0),IF('Asphalt Plant (AP-6)'!$C$5="drum mix plant",'Asphalt Plant (AP-6)'!Q49,0),IF('Asphalt Plant (AP-7)'!$C$5="drum mix plant",'Asphalt Plant (AP-7)'!Q49,0),IF('Asphalt Plant (AP-8)'!$C$5="drum mix plant",'Asphalt Plant (AP-8)'!Q49,0),IF('Asphalt Plant (AP-9)'!$C$5="drum mix plant",'Asphalt Plant (AP-9)'!Q49,0),IF('Asphalt Plant (AP-10)'!$C$5="drum mix plant",'Asphalt Plant (AP-10)'!Q49,0)))</f>
        <v/>
      </c>
      <c r="J69" s="191"/>
      <c r="K69" s="115" t="str">
        <f>IF(B69="","",SUM(IF('Asphalt Plant (AP-1)'!$C$5="drum mix plant",'Asphalt Plant (AP-1)'!R49,0),IF('Asphalt Plant (AP-2)'!$C$5="drum mix plant",'Asphalt Plant (AP-2)'!R49,0),IF('Asphalt Plant (AP-3)'!$C$5="drum mix plant",'Asphalt Plant (AP-3)'!R49,0),IF('Asphalt Plant (AP-4)'!$C$5="drum mix plant",'Asphalt Plant (AP-4)'!R49,0),IF('Asphalt Plant (AP-5)'!$C$5="drum mix plant",'Asphalt Plant (AP-5)'!R49,0),IF('Asphalt Plant (AP-6)'!$C$5="drum mix plant",'Asphalt Plant (AP-6)'!R49,0),IF('Asphalt Plant (AP-7)'!$C$5="drum mix plant",'Asphalt Plant (AP-7)'!R49,0),IF('Asphalt Plant (AP-8)'!$C$5="drum mix plant",'Asphalt Plant (AP-8)'!R49,0),IF('Asphalt Plant (AP-9)'!$C$5="drum mix plant",'Asphalt Plant (AP-9)'!R49,0),IF('Asphalt Plant (AP-10)'!$C$5="drum mix plant",'Asphalt Plant (AP-10)'!R49,0)))</f>
        <v/>
      </c>
      <c r="L69" s="115" t="str">
        <f>IF(B69="","",SUM(IF('Asphalt Plant (AP-1)'!$C$5="drum mix plant",'Asphalt Plant (AP-1)'!S49,0),IF('Asphalt Plant (AP-2)'!$C$5="drum mix plant",'Asphalt Plant (AP-2)'!S49,0),IF('Asphalt Plant (AP-3)'!$C$5="drum mix plant",'Asphalt Plant (AP-3)'!S49,0),IF('Asphalt Plant (AP-4)'!$C$5="drum mix plant",'Asphalt Plant (AP-4)'!S49,0),IF('Asphalt Plant (AP-5)'!$C$5="drum mix plant",'Asphalt Plant (AP-5)'!S49,0),IF('Asphalt Plant (AP-6)'!$C$5="drum mix plant",'Asphalt Plant (AP-6)'!S49,0),IF('Asphalt Plant (AP-7)'!$C$5="drum mix plant",'Asphalt Plant (AP-7)'!S49,0),IF('Asphalt Plant (AP-8)'!$C$5="drum mix plant",'Asphalt Plant (AP-8)'!S49,0),IF('Asphalt Plant (AP-9)'!$C$5="drum mix plant",'Asphalt Plant (AP-9)'!S49,0),IF('Asphalt Plant (AP-10)'!$C$5="drum mix plant",'Asphalt Plant (AP-10)'!S49,0)))</f>
        <v/>
      </c>
      <c r="M69" s="115" t="str">
        <f>IF(B69="","",SUM(IF('Asphalt Plant (AP-1)'!$C$5="drum mix plant",'Asphalt Plant (AP-1)'!T49,0),IF('Asphalt Plant (AP-2)'!$C$5="drum mix plant",'Asphalt Plant (AP-2)'!T49,0),IF('Asphalt Plant (AP-3)'!$C$5="drum mix plant",'Asphalt Plant (AP-3)'!T49,0),IF('Asphalt Plant (AP-4)'!$C$5="drum mix plant",'Asphalt Plant (AP-4)'!T49,0),IF('Asphalt Plant (AP-5)'!$C$5="drum mix plant",'Asphalt Plant (AP-5)'!T49,0),IF('Asphalt Plant (AP-6)'!$C$5="drum mix plant",'Asphalt Plant (AP-6)'!T49,0),IF('Asphalt Plant (AP-7)'!$C$5="drum mix plant",'Asphalt Plant (AP-7)'!T49,0),IF('Asphalt Plant (AP-8)'!$C$5="drum mix plant",'Asphalt Plant (AP-8)'!T49,0),IF('Asphalt Plant (AP-9)'!$C$5="drum mix plant",'Asphalt Plant (AP-9)'!T49,0),IF('Asphalt Plant (AP-10)'!$C$5="drum mix plant",'Asphalt Plant (AP-10)'!T49,0)))</f>
        <v/>
      </c>
    </row>
    <row r="70" spans="1:13" x14ac:dyDescent="0.25">
      <c r="A70" s="114" t="str">
        <f>IF('Permitted Diesel Engines'!R50=0,"","ALL")</f>
        <v/>
      </c>
      <c r="B70" s="99" t="str">
        <f>IF('Permitted Diesel Engines'!R50=0,"","Diesel Generator ≤ 600 bhp")</f>
        <v/>
      </c>
      <c r="C70" s="30" t="str">
        <f>IF('Permitted Diesel Engines'!R50=0,"",LOOKUP(B70,'Emission Factors'!A43:A44,'Emission Factors'!B43:B44))</f>
        <v/>
      </c>
      <c r="D70" s="30" t="str">
        <f>IF('Permitted Diesel Engines'!R50=0,"",'Permitted Diesel Engines'!R50)</f>
        <v/>
      </c>
      <c r="E70" s="30" t="str">
        <f>IF(B70="","","MMBtu/hr")</f>
        <v/>
      </c>
      <c r="F70" s="30" t="str">
        <f>IF(B70="","",LOOKUP(B70,'Emission Factors'!$A$43:$A$44,'Emission Factors'!$L$43:$L$44))</f>
        <v/>
      </c>
      <c r="G70" s="30" t="str">
        <f>IF(B70="","",LOOKUP(B70,'Emission Factors'!$A$43:$A$44,'Emission Factors'!$C$43:$C$44))</f>
        <v/>
      </c>
      <c r="H70" s="101" t="str">
        <f>IF(B70="","",LOOKUP(B70,'Emission Factors'!$A$43:$A$44,'Emission Factors'!$M$43:$M$44))</f>
        <v/>
      </c>
      <c r="I70" s="31" t="str">
        <f>IF(B70="","",'Emission Calculations'!D70*'Emission Calculations'!F70)</f>
        <v/>
      </c>
      <c r="J70" s="30"/>
      <c r="K70" s="31"/>
      <c r="L70" s="31" t="str">
        <f>IF(B70="","",'Permitted Diesel Engines'!$AH$77)</f>
        <v/>
      </c>
      <c r="M70" s="31" t="str">
        <f>IF(B70="","",'Permitted Diesel Engines'!$T$50*'Emission Calculations'!F70/2000)</f>
        <v/>
      </c>
    </row>
    <row r="71" spans="1:13" x14ac:dyDescent="0.25">
      <c r="A71" s="114" t="str">
        <f>IF('Permitted Diesel Engines'!R51=0,"","ALL")</f>
        <v/>
      </c>
      <c r="B71" s="99" t="str">
        <f>IF('Permitted Diesel Engines'!R51=0,"","Diesel Generator&gt; 600 bhp")</f>
        <v/>
      </c>
      <c r="C71" s="30" t="str">
        <f>IF('Permitted Diesel Engines'!R51=0,"",LOOKUP(B71,'Emission Factors'!A44:A45,'Emission Factors'!B44:B45))</f>
        <v/>
      </c>
      <c r="D71" s="30" t="str">
        <f>IF('Permitted Diesel Engines'!R51=0,"",'Permitted Diesel Engines'!R51)</f>
        <v/>
      </c>
      <c r="E71" s="30" t="str">
        <f>IF(B71="","","MMBtu/hr")</f>
        <v/>
      </c>
      <c r="F71" s="30" t="str">
        <f>IF(B71="","",LOOKUP(B71,'Emission Factors'!$A$43:$A$44,'Emission Factors'!$L$43:$L$44))</f>
        <v/>
      </c>
      <c r="G71" s="30" t="str">
        <f>IF(B71="","",LOOKUP(B71,'Emission Factors'!$A$43:$A$44,'Emission Factors'!$C$43:$C$44))</f>
        <v/>
      </c>
      <c r="H71" s="101" t="str">
        <f>IF(B71="","",LOOKUP(B71,'Emission Factors'!$A$43:$A$44,'Emission Factors'!$M$43:$M$44))</f>
        <v/>
      </c>
      <c r="I71" s="31" t="str">
        <f>IF(B71="","",'Emission Calculations'!D71*'Emission Calculations'!F71)</f>
        <v/>
      </c>
      <c r="J71" s="30"/>
      <c r="K71" s="31"/>
      <c r="L71" s="31" t="str">
        <f>IF(B71="","",'Permitted Diesel Engines'!$AI$77)</f>
        <v/>
      </c>
      <c r="M71" s="31" t="str">
        <f>IF(B71="","",'Permitted Diesel Engines'!$T$51*'Emission Calculations'!F71/2000)</f>
        <v/>
      </c>
    </row>
    <row r="72" spans="1:13" x14ac:dyDescent="0.25">
      <c r="A72" s="185"/>
      <c r="B72" s="15"/>
      <c r="C72" s="186"/>
      <c r="D72" s="186"/>
      <c r="E72" s="186"/>
      <c r="F72" s="186"/>
      <c r="G72" s="186"/>
      <c r="H72" s="189"/>
      <c r="I72" s="183"/>
      <c r="J72" s="257" t="s">
        <v>30</v>
      </c>
      <c r="L72" s="31">
        <f ca="1">SUM(L64:L71)</f>
        <v>0</v>
      </c>
      <c r="M72" s="31">
        <f ca="1">SUM(M64:M71)</f>
        <v>0</v>
      </c>
    </row>
    <row r="73" spans="1:13" x14ac:dyDescent="0.25">
      <c r="A73" s="185"/>
      <c r="B73" s="15"/>
      <c r="C73" s="186"/>
      <c r="D73" s="186"/>
      <c r="E73" s="186"/>
      <c r="F73" s="186"/>
      <c r="G73" s="186"/>
      <c r="H73" s="189"/>
      <c r="I73" s="183"/>
      <c r="J73" s="257"/>
      <c r="L73" s="116"/>
      <c r="M73" s="116"/>
    </row>
    <row r="74" spans="1:13" x14ac:dyDescent="0.25">
      <c r="A74" s="185"/>
      <c r="B74" s="15"/>
      <c r="C74" s="186"/>
      <c r="D74" s="186"/>
      <c r="E74" s="186"/>
      <c r="F74" s="186"/>
      <c r="G74" s="186"/>
      <c r="H74" s="189"/>
      <c r="I74" s="183"/>
      <c r="J74" s="257"/>
      <c r="L74" s="116"/>
      <c r="M74" s="116"/>
    </row>
    <row r="75" spans="1:13" ht="15.75" x14ac:dyDescent="0.25">
      <c r="A75" s="302" t="s">
        <v>6</v>
      </c>
      <c r="B75" s="302"/>
      <c r="C75" s="176"/>
      <c r="D75" s="176"/>
      <c r="E75" s="176"/>
      <c r="F75" s="176"/>
      <c r="G75" s="176"/>
      <c r="H75" s="188"/>
      <c r="I75" s="179"/>
      <c r="J75" s="176"/>
      <c r="K75" s="117"/>
      <c r="L75" s="117"/>
      <c r="M75" s="117"/>
    </row>
    <row r="76" spans="1:13" s="187" customFormat="1" x14ac:dyDescent="0.25">
      <c r="A76"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76"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76" s="180" t="str">
        <f>IF(B76="","","30500245/46/47")</f>
        <v>30500245/46/47</v>
      </c>
      <c r="D76" s="180">
        <f ca="1">IF(B76="","",SUM(IF('Asphalt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76" s="180" t="str">
        <f>IF(B76="","","tons/hr")</f>
        <v>tons/hr</v>
      </c>
      <c r="F76" s="180">
        <f>IF(B76="","",0.4)</f>
        <v>0.4</v>
      </c>
      <c r="G76" s="180" t="str">
        <f>IF(B76="","","lbs/ton")</f>
        <v>lbs/ton</v>
      </c>
      <c r="H76" s="138" t="str">
        <f>IF(B76="","","AP-42 Table 11.1-2,5,6,9")</f>
        <v>AP-42 Table 11.1-2,5,6,9</v>
      </c>
      <c r="I76" s="115">
        <f ca="1">IF(B76="","",SUM(IF('Asphalt Plant (AP-1)'!$C$5="batch mix plant",'Asphalt Plant (AP-1)'!Q51,0),IF('Asphalt Plant (AP-2)'!$C$5="batch mix plant",'Asphalt Plant (AP-2)'!Q51,0),IF('Asphalt Plant (AP-3)'!$C$5="batch mix plant",'Asphalt Plant (AP-3)'!Q51,0),IF('Asphalt Plant (AP-4)'!$C$5="batch mix plant",'Asphalt Plant (AP-4)'!Q51,0),IF('Asphalt Plant (AP-5)'!$C$5="batch mix plant",'Asphalt Plant (AP-5)'!Q51,0),IF('Asphalt Plant (AP-6)'!$C$5="batch mix plant",'Asphalt Plant (AP-6)'!Q51,0),IF('Asphalt Plant (AP-7)'!$C$5="batch mix plant",'Asphalt Plant (AP-7)'!Q51,0),IF('Asphalt Plant (AP-8)'!$C$5="batch mix plant",'Asphalt Plant (AP-8)'!Q51,0),IF('Asphalt Plant (AP-9)'!$C$5="batch mix plant",'Asphalt Plant (AP-9)'!Q51,0),IF('Asphalt Plant (AP-10)'!$C$5="batch mix plant",'Asphalt Plant (AP-10)'!Q51,0)))</f>
        <v>0</v>
      </c>
      <c r="J76" s="115"/>
      <c r="K76" s="182">
        <f ca="1">IF(B76="","",SUM(IF('Asphalt Plant (AP-1)'!$C$5="batch mix plant",'Asphalt Plant (AP-1)'!R51,0),IF('Asphalt Plant (AP-2)'!$C$5="batch mix plant",'Asphalt Plant (AP-2)'!R51,0),IF('Asphalt Plant (AP-3)'!$C$5="batch mix plant",'Asphalt Plant (AP-3)'!R51,0),IF('Asphalt Plant (AP-4)'!$C$5="batch mix plant",'Asphalt Plant (AP-4)'!R51,0),IF('Asphalt Plant (AP-5)'!$C$5="batch mix plant",'Asphalt Plant (AP-5)'!R51,0),IF('Asphalt Plant (AP-6)'!$C$5="batch mix plant",'Asphalt Plant (AP-6)'!R51,0),IF('Asphalt Plant (AP-7)'!$C$5="batch mix plant",'Asphalt Plant (AP-7)'!R51,0),IF('Asphalt Plant (AP-8)'!$C$5="batch mix plant",'Asphalt Plant (AP-8)'!R51,0),IF('Asphalt Plant (AP-9)'!$C$5="batch mix plant",'Asphalt Plant (AP-9)'!R51,0),IF('Asphalt Plant (AP-10)'!$C$5="batch mix plant",'Asphalt Plant (AP-10)'!R51,0)))</f>
        <v>0</v>
      </c>
      <c r="L76" s="115">
        <f ca="1">IF(B76="","",SUM(IF('Asphalt Plant (AP-1)'!$C$5="batch mix plant",'Asphalt Plant (AP-1)'!S51,0),IF('Asphalt Plant (AP-2)'!$C$5="batch mix plant",'Asphalt Plant (AP-2)'!S51,0),IF('Asphalt Plant (AP-3)'!$C$5="batch mix plant",'Asphalt Plant (AP-3)'!S51,0),IF('Asphalt Plant (AP-4)'!$C$5="batch mix plant",'Asphalt Plant (AP-4)'!S51,0),IF('Asphalt Plant (AP-5)'!$C$5="batch mix plant",'Asphalt Plant (AP-5)'!S51,0),IF('Asphalt Plant (AP-6)'!$C$5="batch mix plant",'Asphalt Plant (AP-6)'!S51,0),IF('Asphalt Plant (AP-7)'!$C$5="batch mix plant",'Asphalt Plant (AP-7)'!S51,0),IF('Asphalt Plant (AP-8)'!$C$5="batch mix plant",'Asphalt Plant (AP-8)'!S51,0),IF('Asphalt Plant (AP-9)'!$C$5="batch mix plant",'Asphalt Plant (AP-9)'!S51,0),IF('Asphalt Plant (AP-10)'!$C$5="batch mix plant",'Asphalt Plant (AP-10)'!S51,0)))</f>
        <v>0</v>
      </c>
      <c r="M76" s="115">
        <f ca="1">IF(B76="","",SUM(IF('Asphalt Plant (AP-1)'!$C$5="batch mix plant",'Asphalt Plant (AP-1)'!T51,0),IF('Asphalt Plant (AP-2)'!$C$5="batch mix plant",'Asphalt Plant (AP-2)'!T51,0),IF('Asphalt Plant (AP-3)'!$C$5="batch mix plant",'Asphalt Plant (AP-3)'!T51,0),IF('Asphalt Plant (AP-4)'!$C$5="batch mix plant",'Asphalt Plant (AP-4)'!T51,0),IF('Asphalt Plant (AP-5)'!$C$5="batch mix plant",'Asphalt Plant (AP-5)'!T51,0),IF('Asphalt Plant (AP-6)'!$C$5="batch mix plant",'Asphalt Plant (AP-6)'!T51,0),IF('Asphalt Plant (AP-7)'!$C$5="batch mix plant",'Asphalt Plant (AP-7)'!T51,0),IF('Asphalt Plant (AP-8)'!$C$5="batch mix plant",'Asphalt Plant (AP-8)'!T51,0),IF('Asphalt Plant (AP-9)'!$C$5="batch mix plant",'Asphalt Plant (AP-9)'!T51,0),IF('Asphalt Plant (AP-10)'!$C$5="batch mix plant",'Asphalt Plant (AP-10)'!T51,0)))</f>
        <v>0</v>
      </c>
    </row>
    <row r="77" spans="1:13" s="187" customFormat="1" x14ac:dyDescent="0.25">
      <c r="A77"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77"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77" s="180" t="str">
        <f>IF(B77="","","30500255/58/61")</f>
        <v/>
      </c>
      <c r="D77" s="180">
        <f>IF(B76="","",SUM(IF('Asphalt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0</v>
      </c>
      <c r="E77" s="180" t="str">
        <f>IF(B77="","","tons/hr")</f>
        <v/>
      </c>
      <c r="F77" s="180" t="str">
        <f>IF(B77="","",0.13)</f>
        <v/>
      </c>
      <c r="G77" s="180" t="str">
        <f>IF(B77="","","lbs/ton")</f>
        <v/>
      </c>
      <c r="H77" s="138" t="str">
        <f>IF(B77="","","AP-42 Table 11.1-4,7,8,10")</f>
        <v/>
      </c>
      <c r="I77" s="115" t="str">
        <f>IF(B77="","",SUM(IF('Asphalt Plant (AP-1)'!$C$5="drum mix plant",'Asphalt Plant (AP-1)'!Q51,0),IF('Asphalt Plant (AP-2)'!$C$5="drum mix plant",'Asphalt Plant (AP-2)'!Q51,0),IF('Asphalt Plant (AP-3)'!$C$5="drum mix plant",'Asphalt Plant (AP-3)'!Q51,0),IF('Asphalt Plant (AP-4)'!$C$5="drum mix plant",'Asphalt Plant (AP-4)'!Q51,0),IF('Asphalt Plant (AP-5)'!$C$5="drum mix plant",'Asphalt Plant (AP-5)'!Q51,0),IF('Asphalt Plant (AP-6)'!$C$5="drum mix plant",'Asphalt Plant (AP-6)'!Q51,0),IF('Asphalt Plant (AP-7)'!$C$5="drum mix plant",'Asphalt Plant (AP-7)'!Q51,0),IF('Asphalt Plant (AP-8)'!$C$5="drum mix plant",'Asphalt Plant (AP-8)'!Q51,0),IF('Asphalt Plant (AP-9)'!$C$5="drum mix plant",'Asphalt Plant (AP-9)'!Q51,0),IF('Asphalt Plant (AP-10)'!$C$5="drum mix plant",'Asphalt Plant (AP-10)'!Q51,0)))</f>
        <v/>
      </c>
      <c r="J77" s="115"/>
      <c r="K77" s="182" t="str">
        <f>IF(B77="","",SUM(IF('Asphalt Plant (AP-1)'!$C$5="drum mix plant",'Asphalt Plant (AP-1)'!R51,0),IF('Asphalt Plant (AP-2)'!$C$5="drum mix plant",'Asphalt Plant (AP-2)'!R51,0),IF('Asphalt Plant (AP-3)'!$C$5="drum mix plant",'Asphalt Plant (AP-3)'!R51,0),IF('Asphalt Plant (AP-4)'!$C$5="drum mix plant",'Asphalt Plant (AP-4)'!R51,0),IF('Asphalt Plant (AP-5)'!$C$5="drum mix plant",'Asphalt Plant (AP-5)'!R51,0),IF('Asphalt Plant (AP-6)'!$C$5="drum mix plant",'Asphalt Plant (AP-6)'!R51,0),IF('Asphalt Plant (AP-7)'!$C$5="drum mix plant",'Asphalt Plant (AP-7)'!R51,0),IF('Asphalt Plant (AP-8)'!$C$5="drum mix plant",'Asphalt Plant (AP-8)'!R51,0),IF('Asphalt Plant (AP-9)'!$C$5="drum mix plant",'Asphalt Plant (AP-9)'!R51,0),IF('Asphalt Plant (AP-10)'!$C$5="drum mix plant",'Asphalt Plant (AP-10)'!R51,0)))</f>
        <v/>
      </c>
      <c r="L77" s="115" t="str">
        <f>IF(B77="","",SUM(IF('Asphalt Plant (AP-1)'!$C$5="drum mix plant",'Asphalt Plant (AP-1)'!S51,0),IF('Asphalt Plant (AP-2)'!$C$5="drum mix plant",'Asphalt Plant (AP-2)'!S51,0),IF('Asphalt Plant (AP-3)'!$C$5="drum mix plant",'Asphalt Plant (AP-3)'!S51,0),IF('Asphalt Plant (AP-4)'!$C$5="drum mix plant",'Asphalt Plant (AP-4)'!S51,0),IF('Asphalt Plant (AP-5)'!$C$5="drum mix plant",'Asphalt Plant (AP-5)'!S51,0),IF('Asphalt Plant (AP-6)'!$C$5="drum mix plant",'Asphalt Plant (AP-6)'!S51,0),IF('Asphalt Plant (AP-7)'!$C$5="drum mix plant",'Asphalt Plant (AP-7)'!S51,0),IF('Asphalt Plant (AP-8)'!$C$5="drum mix plant",'Asphalt Plant (AP-8)'!S51,0),IF('Asphalt Plant (AP-9)'!$C$5="drum mix plant",'Asphalt Plant (AP-9)'!S51,0),IF('Asphalt Plant (AP-10)'!$C$5="drum mix plant",'Asphalt Plant (AP-10)'!S51,0)))</f>
        <v/>
      </c>
      <c r="M77" s="115" t="str">
        <f>IF(B77="","",SUM(IF('Asphalt Plant (AP-1)'!$C$5="drum mix plant",'Asphalt Plant (AP-1)'!T51,0),IF('Asphalt Plant (AP-2)'!$C$5="drum mix plant",'Asphalt Plant (AP-2)'!T51,0),IF('Asphalt Plant (AP-3)'!$C$5="drum mix plant",'Asphalt Plant (AP-3)'!T51,0),IF('Asphalt Plant (AP-4)'!$C$5="drum mix plant",'Asphalt Plant (AP-4)'!T51,0),IF('Asphalt Plant (AP-5)'!$C$5="drum mix plant",'Asphalt Plant (AP-5)'!T51,0),IF('Asphalt Plant (AP-6)'!$C$5="drum mix plant",'Asphalt Plant (AP-6)'!T51,0),IF('Asphalt Plant (AP-7)'!$C$5="drum mix plant",'Asphalt Plant (AP-7)'!T51,0),IF('Asphalt Plant (AP-8)'!$C$5="drum mix plant",'Asphalt Plant (AP-8)'!T51,0),IF('Asphalt Plant (AP-9)'!$C$5="drum mix plant",'Asphalt Plant (AP-9)'!T51,0),IF('Asphalt Plant (AP-10)'!$C$5="drum mix plant",'Asphalt Plant (AP-10)'!T51,0)))</f>
        <v/>
      </c>
    </row>
    <row r="78" spans="1:13" s="187" customFormat="1" x14ac:dyDescent="0.25">
      <c r="A78" s="30" t="str">
        <f ca="1">IF(D78="","","ALL")</f>
        <v/>
      </c>
      <c r="B78" s="135" t="str">
        <f ca="1">IF(D78="","","Fuel Oil Fired Heater")</f>
        <v/>
      </c>
      <c r="C78" s="180" t="str">
        <f ca="1">IF(B78="","","30500208")</f>
        <v/>
      </c>
      <c r="D78" s="180" t="str">
        <f ca="1">IF(SUM('Asphalt Plant (AP-1)'!N8,'Asphalt Plant (AP-2)'!N8,'Asphalt Plant (AP-3)'!N8,'Asphalt Plant (AP-4)'!N8,'Asphalt Plant (AP-5)'!N8,'Asphalt Plant (AP-6)'!N8,'Asphalt Plant (AP-7)'!N8,'Asphalt Plant (AP-8)'!N8,'Asphalt Plant (AP-9)'!N8,'Asphalt Plant (AP-10)'!N8)&gt;0,SUM('Asphalt Plant (AP-1)'!N8,'Asphalt Plant (AP-2)'!N8,'Asphalt Plant (AP-3)'!N8,'Asphalt Plant (AP-4)'!N8,'Asphalt Plant (AP-5)'!N8,'Asphalt Plant (AP-6)'!N8,'Asphalt Plant (AP-7)'!N8,'Asphalt Plant (AP-8)'!N8,'Asphalt Plant (AP-9)'!N8,'Asphalt Plant (AP-10)'!N8),"")</f>
        <v/>
      </c>
      <c r="E78" s="180" t="str">
        <f ca="1">IF(B78="","","gallons/hr")</f>
        <v/>
      </c>
      <c r="F78" s="180" t="str">
        <f ca="1">IF(B78="","",0.0012)</f>
        <v/>
      </c>
      <c r="G78" s="180" t="str">
        <f ca="1">IF(B78="","","lbs/gallon")</f>
        <v/>
      </c>
      <c r="H78" s="138" t="str">
        <f ca="1">IF(B78="","","AP-42 Table 11.1-13")</f>
        <v/>
      </c>
      <c r="I78" s="115" t="str">
        <f ca="1">IF(B78="","",SUM('Asphalt Plant (AP-1)'!Q52,'Asphalt Plant (AP-2)'!Q52,'Asphalt Plant (AP-3)'!Q52,'Asphalt Plant (AP-4)'!Q52,'Asphalt Plant (AP-5)'!Q52,'Asphalt Plant (AP-6)'!Q52,'Asphalt Plant (AP-7)'!Q52,'Asphalt Plant (AP-8)'!Q52,'Asphalt Plant (AP-9)'!Q52,'Asphalt Plant (AP-10)'!Q52))</f>
        <v/>
      </c>
      <c r="J78" s="193"/>
      <c r="K78" s="115"/>
      <c r="L78" s="115" t="str">
        <f ca="1">IF(B78="","",SUM('Asphalt Plant (AP-1)'!S52,'Asphalt Plant (AP-2)'!S52,'Asphalt Plant (AP-3)'!S52,'Asphalt Plant (AP-4)'!S52,'Asphalt Plant (AP-5)'!S52,'Asphalt Plant (AP-6)'!S52,'Asphalt Plant (AP-7)'!S52,'Asphalt Plant (AP-8)'!S52,'Asphalt Plant (AP-9)'!S52,'Asphalt Plant (AP-10)'!S52))</f>
        <v/>
      </c>
      <c r="M78" s="115" t="str">
        <f ca="1">IF(B78="","",SUM('Asphalt Plant (AP-1)'!T52,'Asphalt Plant (AP-2)'!T52,'Asphalt Plant (AP-3)'!T52,'Asphalt Plant (AP-4)'!T52,'Asphalt Plant (AP-5)'!T52,'Asphalt Plant (AP-6)'!T52,'Asphalt Plant (AP-7)'!T52,'Asphalt Plant (AP-8)'!T52,'Asphalt Plant (AP-9)'!T52,'Asphalt Plant (AP-10)'!T52))</f>
        <v/>
      </c>
    </row>
    <row r="79" spans="1:13" s="187" customFormat="1" x14ac:dyDescent="0.25">
      <c r="A79" s="30" t="str">
        <f ca="1">IF(D79="","","ALL")</f>
        <v/>
      </c>
      <c r="B79" s="135" t="str">
        <f ca="1">IF(D79="","","Waste Oil Fired Heater")</f>
        <v/>
      </c>
      <c r="C79" s="180" t="str">
        <f ca="1">IF(B79="","","30500208")</f>
        <v/>
      </c>
      <c r="D79" s="180" t="str">
        <f ca="1">IF(SUM('Asphalt Plant (AP-1)'!N9,'Asphalt Plant (AP-2)'!N9,'Asphalt Plant (AP-3)'!N9,'Asphalt Plant (AP-4)'!N9,'Asphalt Plant (AP-5)'!N9,'Asphalt Plant (AP-6)'!N9,'Asphalt Plant (AP-7)'!N9,'Asphalt Plant (AP-8)'!N9,'Asphalt Plant (AP-9)'!N9,'Asphalt Plant (AP-10)'!N9)&gt;0,SUM('Asphalt Plant (AP-1)'!N9,'Asphalt Plant (AP-2)'!N9,'Asphalt Plant (AP-3)'!N9,'Asphalt Plant (AP-4)'!N9,'Asphalt Plant (AP-5)'!N9,'Asphalt Plant (AP-6)'!N9,'Asphalt Plant (AP-7)'!N9,'Asphalt Plant (AP-8)'!N9,'Asphalt Plant (AP-9)'!N9,'Asphalt Plant (AP-10)'!N9),"")</f>
        <v/>
      </c>
      <c r="E79" s="180" t="str">
        <f ca="1">IF(B79="","","gallons/hr")</f>
        <v/>
      </c>
      <c r="F79" s="180" t="str">
        <f ca="1">IF(B79="","",0.0012)</f>
        <v/>
      </c>
      <c r="G79" s="180" t="str">
        <f ca="1">IF(B79="","","lbs/gallon")</f>
        <v/>
      </c>
      <c r="H79" s="138" t="str">
        <f ca="1">IF(B79="","","AP-42 Table 11.1-13")</f>
        <v/>
      </c>
      <c r="I79" s="115" t="str">
        <f ca="1">IF(B79="","",SUM('Asphalt Plant (AP-1)'!Q53,'Asphalt Plant (AP-2)'!Q53,'Asphalt Plant (AP-3)'!Q53,'Asphalt Plant (AP-4)'!Q53,'Asphalt Plant (AP-5)'!Q53,'Asphalt Plant (AP-6)'!Q53,'Asphalt Plant (AP-7)'!Q53,'Asphalt Plant (AP-8)'!Q53,'Asphalt Plant (AP-9)'!Q53,'Asphalt Plant (AP-10)'!Q53))</f>
        <v/>
      </c>
      <c r="J79" s="193"/>
      <c r="K79" s="115" t="str">
        <f ca="1">IF(C79="","",SUM('Asphalt Plant (AP-1)'!R53,'Asphalt Plant (AP-2)'!R53,'Asphalt Plant (AP-3)'!R53,'Asphalt Plant (AP-4)'!R53,'Asphalt Plant (AP-5)'!R53,'Asphalt Plant (AP-6)'!R53,'Asphalt Plant (AP-7)'!R53,'Asphalt Plant (AP-8)'!R53,'Asphalt Plant (AP-9)'!R53,'Asphalt Plant (AP-10)'!R53))</f>
        <v/>
      </c>
      <c r="L79" s="115" t="str">
        <f ca="1">IF(B79="","",SUM('Asphalt Plant (AP-1)'!S53,'Asphalt Plant (AP-2)'!S53,'Asphalt Plant (AP-3)'!S53,'Asphalt Plant (AP-4)'!S53,'Asphalt Plant (AP-5)'!S53,'Asphalt Plant (AP-6)'!S53,'Asphalt Plant (AP-7)'!S53,'Asphalt Plant (AP-8)'!S53,'Asphalt Plant (AP-9)'!S53,'Asphalt Plant (AP-10)'!S53))</f>
        <v/>
      </c>
      <c r="M79" s="115" t="str">
        <f ca="1">IF(B79="","",SUM('Asphalt Plant (AP-1)'!T53,'Asphalt Plant (AP-2)'!T53,'Asphalt Plant (AP-3)'!T53,'Asphalt Plant (AP-4)'!T53,'Asphalt Plant (AP-5)'!T53,'Asphalt Plant (AP-6)'!T53,'Asphalt Plant (AP-7)'!T53,'Asphalt Plant (AP-8)'!T53,'Asphalt Plant (AP-9)'!T53,'Asphalt Plant (AP-10)'!T53))</f>
        <v/>
      </c>
    </row>
    <row r="80" spans="1:13" s="187" customFormat="1" x14ac:dyDescent="0.25">
      <c r="A80" s="30" t="str">
        <f ca="1">IF(D80="","","ALL")</f>
        <v/>
      </c>
      <c r="B80" s="135" t="str">
        <f ca="1">IF(D80="","","Natural Gas Fired Heater")</f>
        <v/>
      </c>
      <c r="C80" s="180" t="str">
        <f ca="1">IF(B80="","","30500206")</f>
        <v/>
      </c>
      <c r="D80" s="180" t="str">
        <f ca="1">IF(SUM('Asphalt Plant (AP-1)'!N10,'Asphalt Plant (AP-2)'!N10,'Asphalt Plant (AP-3)'!N10,'Asphalt Plant (AP-4)'!N10,'Asphalt Plant (AP-5)'!N10,'Asphalt Plant (AP-6)'!N10,'Asphalt Plant (AP-7)'!N10,'Asphalt Plant (AP-8)'!N10,'Asphalt Plant (AP-9)'!N10,'Asphalt Plant (AP-10)'!N10)&gt;0,SUM('Asphalt Plant (AP-1)'!N10,'Asphalt Plant (AP-2)'!N10,'Asphalt Plant (AP-3)'!N10,'Asphalt Plant (AP-4)'!N10,'Asphalt Plant (AP-5)'!N10,'Asphalt Plant (AP-6)'!N10,'Asphalt Plant (AP-7)'!N10,'Asphalt Plant (AP-8)'!N10,'Asphalt Plant (AP-9)'!N10,'Asphalt Plant (AP-10)'!N10),"")</f>
        <v/>
      </c>
      <c r="E80" s="180" t="str">
        <f ca="1">IF(B80="","","MMCF/hr")</f>
        <v/>
      </c>
      <c r="F80" s="180" t="str">
        <f ca="1">IF(B80="","",8.9)</f>
        <v/>
      </c>
      <c r="G80" s="180" t="str">
        <f ca="1">IF(B80="","","lbs/MMCF")</f>
        <v/>
      </c>
      <c r="H80" s="138" t="str">
        <f ca="1">IF(B80="","","AP-42 Table 11.1-13")</f>
        <v/>
      </c>
      <c r="I80" s="115" t="str">
        <f ca="1">IF(B80="","",SUM('Asphalt Plant (AP-1)'!Q54,'Asphalt Plant (AP-2)'!Q54,'Asphalt Plant (AP-3)'!Q54,'Asphalt Plant (AP-4)'!Q54,'Asphalt Plant (AP-5)'!Q54,'Asphalt Plant (AP-6)'!Q54,'Asphalt Plant (AP-7)'!Q54,'Asphalt Plant (AP-8)'!Q54,'Asphalt Plant (AP-9)'!Q54,'Asphalt Plant (AP-10)'!Q54))</f>
        <v/>
      </c>
      <c r="J80" s="193"/>
      <c r="K80" s="115" t="str">
        <f ca="1">IF(C80="","",SUM('Asphalt Plant (AP-1)'!R54,'Asphalt Plant (AP-2)'!R54,'Asphalt Plant (AP-3)'!R54,'Asphalt Plant (AP-4)'!R54,'Asphalt Plant (AP-5)'!R54,'Asphalt Plant (AP-6)'!R54,'Asphalt Plant (AP-7)'!R54,'Asphalt Plant (AP-8)'!R54,'Asphalt Plant (AP-9)'!R54,'Asphalt Plant (AP-10)'!R54))</f>
        <v/>
      </c>
      <c r="L80" s="115" t="str">
        <f ca="1">IF(B80="","",SUM('Asphalt Plant (AP-1)'!S54,'Asphalt Plant (AP-2)'!S54,'Asphalt Plant (AP-3)'!S54,'Asphalt Plant (AP-4)'!S54,'Asphalt Plant (AP-5)'!S54,'Asphalt Plant (AP-6)'!S54,'Asphalt Plant (AP-7)'!S54,'Asphalt Plant (AP-8)'!S54,'Asphalt Plant (AP-9)'!S54,'Asphalt Plant (AP-10)'!S54))</f>
        <v/>
      </c>
      <c r="M80" s="115" t="str">
        <f ca="1">IF(B80="","",SUM('Asphalt Plant (AP-1)'!T54,'Asphalt Plant (AP-2)'!T54,'Asphalt Plant (AP-3)'!T54,'Asphalt Plant (AP-4)'!T54,'Asphalt Plant (AP-5)'!T54,'Asphalt Plant (AP-6)'!T54,'Asphalt Plant (AP-7)'!T54,'Asphalt Plant (AP-8)'!T54,'Asphalt Plant (AP-9)'!T54,'Asphalt Plant (AP-10)'!T54))</f>
        <v/>
      </c>
    </row>
    <row r="81" spans="1:13" s="187" customFormat="1" x14ac:dyDescent="0.25">
      <c r="A81" s="114" t="str">
        <f>IF('Permitted Diesel Engines'!R50=0,"","ALL")</f>
        <v/>
      </c>
      <c r="B81" s="181" t="str">
        <f>IF('Permitted Diesel Engines'!R50=0,"","Diesel Generator ≤ 600 bhp")</f>
        <v/>
      </c>
      <c r="C81" s="180" t="str">
        <f>IF('Permitted Diesel Engines'!R50=0,"",LOOKUP(B81,'Emission Factors'!A43:A44,'Emission Factors'!B43:B44))</f>
        <v/>
      </c>
      <c r="D81" s="180" t="str">
        <f>IF('Permitted Diesel Engines'!R50=0,"",'Permitted Diesel Engines'!R50)</f>
        <v/>
      </c>
      <c r="E81" s="180" t="str">
        <f>IF(B81="","","MMBtu/hr")</f>
        <v/>
      </c>
      <c r="F81" s="180" t="str">
        <f>IF(B81="","",LOOKUP(B81,'Emission Factors'!$A$43:$A$44,'Emission Factors'!$N$43:$N$44))</f>
        <v/>
      </c>
      <c r="G81" s="180" t="str">
        <f>IF(B81="","",LOOKUP(B81,'Emission Factors'!$A$43:$A$44,'Emission Factors'!$C$43:$C$44))</f>
        <v/>
      </c>
      <c r="H81" s="180" t="str">
        <f>IF(B81="","",LOOKUP(B81,'Emission Factors'!$A$43:$A$44,'Emission Factors'!$O$43:$O$44))</f>
        <v/>
      </c>
      <c r="I81" s="182" t="str">
        <f>IF(B81="","",'Emission Calculations'!D81*'Emission Calculations'!F81)</f>
        <v/>
      </c>
      <c r="J81" s="180"/>
      <c r="K81" s="182"/>
      <c r="L81" s="182" t="str">
        <f>IF(B81="","",'Permitted Diesel Engines'!$AJ$77)</f>
        <v/>
      </c>
      <c r="M81" s="182" t="str">
        <f>IF(B81="","",'Permitted Diesel Engines'!$T$50*F81/2000)</f>
        <v/>
      </c>
    </row>
    <row r="82" spans="1:13" s="187" customFormat="1" x14ac:dyDescent="0.25">
      <c r="A82" s="114" t="str">
        <f>IF('Permitted Diesel Engines'!R51=0,"","ALL")</f>
        <v/>
      </c>
      <c r="B82" s="181" t="str">
        <f>IF('Permitted Diesel Engines'!R51=0,"","Diesel Generator&gt; 600 bhp")</f>
        <v/>
      </c>
      <c r="C82" s="180" t="str">
        <f>IF('Permitted Diesel Engines'!R51=0,"",LOOKUP(B82,'Emission Factors'!A44:A45,'Emission Factors'!B44:B45))</f>
        <v/>
      </c>
      <c r="D82" s="180" t="str">
        <f>IF('Permitted Diesel Engines'!R51=0,"",'Permitted Diesel Engines'!R51)</f>
        <v/>
      </c>
      <c r="E82" s="180" t="str">
        <f>IF(B82="","","MMBtu/hr")</f>
        <v/>
      </c>
      <c r="F82" s="180" t="str">
        <f>IF(B82="","",LOOKUP(B82,'Emission Factors'!$A$43:$A$44,'Emission Factors'!$N$43:$N$44))</f>
        <v/>
      </c>
      <c r="G82" s="180" t="str">
        <f>IF(B82="","",LOOKUP(B82,'Emission Factors'!$A$43:$A$44,'Emission Factors'!$C$43:$C$44))</f>
        <v/>
      </c>
      <c r="H82" s="180" t="str">
        <f>IF(B82="","",LOOKUP(B82,'Emission Factors'!$A$43:$A$44,'Emission Factors'!$O$43:$O$44))</f>
        <v/>
      </c>
      <c r="I82" s="182" t="str">
        <f>IF(B82="","",'Emission Calculations'!D82*'Emission Calculations'!F82)</f>
        <v/>
      </c>
      <c r="J82" s="180"/>
      <c r="K82" s="182"/>
      <c r="L82" s="182" t="str">
        <f>IF(B82="","",'Permitted Diesel Engines'!$AK$77)</f>
        <v/>
      </c>
      <c r="M82" s="182" t="str">
        <f>IF(B82="","",'Permitted Diesel Engines'!$T$51*F82/2000)</f>
        <v/>
      </c>
    </row>
    <row r="83" spans="1:13" x14ac:dyDescent="0.25">
      <c r="A83" s="185"/>
      <c r="B83" s="15"/>
      <c r="C83" s="186"/>
      <c r="D83" s="186"/>
      <c r="E83" s="186"/>
      <c r="F83" s="186"/>
      <c r="G83" s="186"/>
      <c r="H83" s="189"/>
      <c r="I83" s="183"/>
      <c r="J83" s="257" t="s">
        <v>30</v>
      </c>
      <c r="L83" s="31">
        <f ca="1">SUM(L76:L82)</f>
        <v>0</v>
      </c>
      <c r="M83" s="31">
        <f ca="1">SUM(M76:M82)</f>
        <v>0</v>
      </c>
    </row>
    <row r="84" spans="1:13" x14ac:dyDescent="0.25">
      <c r="A84" s="102"/>
      <c r="B84" s="102"/>
      <c r="C84" s="184"/>
      <c r="D84" s="184"/>
      <c r="E84" s="184"/>
      <c r="F84" s="184"/>
      <c r="G84" s="184"/>
      <c r="H84" s="184"/>
      <c r="I84" s="184"/>
      <c r="J84" s="184"/>
      <c r="K84" s="184"/>
      <c r="L84" s="184"/>
      <c r="M84" s="102"/>
    </row>
    <row r="85" spans="1:13" ht="15" customHeight="1" x14ac:dyDescent="0.25">
      <c r="A85" s="176"/>
      <c r="B85" s="177"/>
      <c r="C85" s="176"/>
      <c r="D85" s="176"/>
      <c r="E85" s="176"/>
      <c r="F85" s="176"/>
      <c r="G85" s="176"/>
      <c r="H85" s="176"/>
      <c r="I85" s="268" t="s">
        <v>306</v>
      </c>
      <c r="J85" s="12"/>
      <c r="K85" s="268" t="s">
        <v>308</v>
      </c>
      <c r="L85" s="268" t="s">
        <v>309</v>
      </c>
      <c r="M85" s="268" t="s">
        <v>299</v>
      </c>
    </row>
    <row r="86" spans="1:13" ht="30" customHeight="1" x14ac:dyDescent="0.25">
      <c r="A86" s="277" t="s">
        <v>10</v>
      </c>
      <c r="B86" s="270" t="s">
        <v>11</v>
      </c>
      <c r="C86" s="277" t="s">
        <v>8</v>
      </c>
      <c r="D86" s="270" t="s">
        <v>9</v>
      </c>
      <c r="E86" s="270" t="s">
        <v>31</v>
      </c>
      <c r="F86" s="270" t="s">
        <v>12</v>
      </c>
      <c r="G86" s="270" t="s">
        <v>31</v>
      </c>
      <c r="H86" s="270" t="s">
        <v>284</v>
      </c>
      <c r="I86" s="269" t="s">
        <v>305</v>
      </c>
      <c r="J86" s="270" t="s">
        <v>14</v>
      </c>
      <c r="K86" s="269" t="s">
        <v>307</v>
      </c>
      <c r="L86" s="269" t="s">
        <v>303</v>
      </c>
      <c r="M86" s="269" t="s">
        <v>303</v>
      </c>
    </row>
    <row r="87" spans="1:13" ht="15.75" x14ac:dyDescent="0.25">
      <c r="A87" s="299" t="s">
        <v>211</v>
      </c>
      <c r="B87" s="299"/>
      <c r="C87" s="176"/>
      <c r="D87" s="176"/>
      <c r="E87" s="176"/>
      <c r="F87" s="176"/>
      <c r="G87" s="176"/>
      <c r="H87" s="178"/>
      <c r="I87" s="179"/>
      <c r="J87" s="176"/>
      <c r="K87" s="117"/>
      <c r="L87" s="117"/>
      <c r="M87" s="117"/>
    </row>
    <row r="88" spans="1:13" s="187" customFormat="1" x14ac:dyDescent="0.25">
      <c r="A88"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88"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88" s="180" t="str">
        <f>IF(B88="","","30500245/46/47")</f>
        <v>30500245/46/47</v>
      </c>
      <c r="D88" s="180">
        <f ca="1">IF(B88="","",SUM(IF('Asphalt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88" s="180" t="str">
        <f>IF(B88="","","tons/hr")</f>
        <v>tons/hr</v>
      </c>
      <c r="F88" s="180">
        <f>IF(B88="","",0.00032)</f>
        <v>3.2000000000000003E-4</v>
      </c>
      <c r="G88" s="180" t="str">
        <f>IF(B88="","","lbs/ton")</f>
        <v>lbs/ton</v>
      </c>
      <c r="H88" s="138" t="str">
        <f>IF(B88="","","AP-42 Table 11.1-2,5,6,9")</f>
        <v>AP-42 Table 11.1-2,5,6,9</v>
      </c>
      <c r="I88" s="115">
        <f ca="1">IF(B88="","",SUM(IF('Asphalt Plant (AP-1)'!$C$5="batch mix plant",'Asphalt Plant (AP-1)'!Q56,0),IF('Asphalt Plant (AP-2)'!$C$5="batch mix plant",'Asphalt Plant (AP-2)'!Q56,0),IF('Asphalt Plant (AP-3)'!$C$5="batch mix plant",'Asphalt Plant (AP-3)'!Q56,0),IF('Asphalt Plant (AP-4)'!$C$5="batch mix plant",'Asphalt Plant (AP-4)'!Q56,0),IF('Asphalt Plant (AP-5)'!$C$5="batch mix plant",'Asphalt Plant (AP-5)'!Q56,0),IF('Asphalt Plant (AP-6)'!$C$5="batch mix plant",'Asphalt Plant (AP-6)'!Q56,0),IF('Asphalt Plant (AP-7)'!$C$5="batch mix plant",'Asphalt Plant (AP-7)'!Q56,0),IF('Asphalt Plant (AP-8)'!$C$5="batch mix plant",'Asphalt Plant (AP-8)'!Q56,0),IF('Asphalt Plant (AP-9)'!$C$5="batch mix plant",'Asphalt Plant (AP-9)'!Q56,0),IF('Asphalt Plant (AP-10)'!$C$5="batch mix plant",'Asphalt Plant (AP-10)'!Q56,0)))</f>
        <v>0</v>
      </c>
      <c r="J88" s="191"/>
      <c r="K88" s="115"/>
      <c r="L88" s="115">
        <f ca="1">IF(B88="","",SUM(IF('Asphalt Plant (AP-1)'!$C$5="batch mix plant",'Asphalt Plant (AP-1)'!S56,0),IF('Asphalt Plant (AP-2)'!$C$5="batch mix plant",'Asphalt Plant (AP-2)'!S56,0),IF('Asphalt Plant (AP-3)'!$C$5="batch mix plant",'Asphalt Plant (AP-3)'!S56,0),IF('Asphalt Plant (AP-4)'!$C$5="batch mix plant",'Asphalt Plant (AP-4)'!S56,0),IF('Asphalt Plant (AP-5)'!$C$5="batch mix plant",'Asphalt Plant (AP-5)'!S56,0),IF('Asphalt Plant (AP-6)'!$C$5="batch mix plant",'Asphalt Plant (AP-6)'!S56,0),IF('Asphalt Plant (AP-7)'!$C$5="batch mix plant",'Asphalt Plant (AP-7)'!S56,0),IF('Asphalt Plant (AP-8)'!$C$5="batch mix plant",'Asphalt Plant (AP-8)'!S56,0),IF('Asphalt Plant (AP-9)'!$C$5="batch mix plant",'Asphalt Plant (AP-9)'!S56,0),IF('Asphalt Plant (AP-10)'!$C$5="batch mix plant",'Asphalt Plant (AP-10)'!S56,0)))</f>
        <v>0</v>
      </c>
      <c r="M88" s="115">
        <f ca="1">IF(B88="","",SUM(IF('Asphalt Plant (AP-1)'!$C$5="batch mix plant",'Asphalt Plant (AP-1)'!T56,0),IF('Asphalt Plant (AP-2)'!$C$5="batch mix plant",'Asphalt Plant (AP-2)'!T56,0),IF('Asphalt Plant (AP-3)'!$C$5="batch mix plant",'Asphalt Plant (AP-3)'!T56,0),IF('Asphalt Plant (AP-4)'!$C$5="batch mix plant",'Asphalt Plant (AP-4)'!T56,0),IF('Asphalt Plant (AP-5)'!$C$5="batch mix plant",'Asphalt Plant (AP-5)'!T56,0),IF('Asphalt Plant (AP-6)'!$C$5="batch mix plant",'Asphalt Plant (AP-6)'!T56,0),IF('Asphalt Plant (AP-7)'!$C$5="batch mix plant",'Asphalt Plant (AP-7)'!T56,0),IF('Asphalt Plant (AP-8)'!$C$5="batch mix plant",'Asphalt Plant (AP-8)'!T56,0),IF('Asphalt Plant (AP-9)'!$C$5="batch mix plant",'Asphalt Plant (AP-9)'!T56,0),IF('Asphalt Plant (AP-10)'!$C$5="batch mix plant",'Asphalt Plant (AP-10)'!T56,0)))</f>
        <v>0</v>
      </c>
    </row>
    <row r="89" spans="1:13" s="187" customFormat="1" x14ac:dyDescent="0.25">
      <c r="A8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8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89" s="180" t="str">
        <f>IF(B89="","","30500258/61")</f>
        <v/>
      </c>
      <c r="D89" s="180" t="str">
        <f>IF(B89="","",SUM(IF('Asphalt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89" s="180" t="str">
        <f>IF(B89="","","tons/hr")</f>
        <v/>
      </c>
      <c r="F89" s="180" t="str">
        <f>IF(B89="","",0.0013)</f>
        <v/>
      </c>
      <c r="G89" s="180" t="str">
        <f>IF(B89="","","lbs/ton")</f>
        <v/>
      </c>
      <c r="H89" s="138" t="str">
        <f>IF(B89="","","AP-42 Table 11.1-4,7,8,10")</f>
        <v/>
      </c>
      <c r="I89" s="115" t="str">
        <f>IF(B89="","",SUM(IF('Asphalt Plant (AP-1)'!$C$5="drum mix plant",'Asphalt Plant (AP-1)'!Q56,0),IF('Asphalt Plant (AP-2)'!$C$5="drum mix plant",'Asphalt Plant (AP-2)'!Q56,0),IF('Asphalt Plant (AP-3)'!$C$5="drum mix plant",'Asphalt Plant (AP-3)'!Q56,0),IF('Asphalt Plant (AP-4)'!$C$5="drum mix plant",'Asphalt Plant (AP-4)'!Q56,0),IF('Asphalt Plant (AP-5)'!$C$5="drum mix plant",'Asphalt Plant (AP-5)'!Q56,0),IF('Asphalt Plant (AP-6)'!$C$5="drum mix plant",'Asphalt Plant (AP-6)'!Q56,0),IF('Asphalt Plant (AP-7)'!$C$5="drum mix plant",'Asphalt Plant (AP-7)'!Q56,0),IF('Asphalt Plant (AP-8)'!$C$5="drum mix plant",'Asphalt Plant (AP-8)'!Q56,0),IF('Asphalt Plant (AP-9)'!$C$5="drum mix plant",'Asphalt Plant (AP-9)'!Q56,0),IF('Asphalt Plant (AP-10)'!$C$5="drum mix plant",'Asphalt Plant (AP-10)'!Q56,0)))</f>
        <v/>
      </c>
      <c r="J89" s="191"/>
      <c r="K89" s="115"/>
      <c r="L89" s="115" t="str">
        <f>IF(B89="","",SUM(IF('Asphalt Plant (AP-1)'!$C$5="drum mix plant",'Asphalt Plant (AP-1)'!S56,0),IF('Asphalt Plant (AP-2)'!$C$5="drum mix plant",'Asphalt Plant (AP-2)'!S56,0),IF('Asphalt Plant (AP-3)'!$C$5="drum mix plant",'Asphalt Plant (AP-3)'!S56,0),IF('Asphalt Plant (AP-4)'!$C$5="drum mix plant",'Asphalt Plant (AP-4)'!S56,0),IF('Asphalt Plant (AP-5)'!$C$5="drum mix plant",'Asphalt Plant (AP-5)'!S56,0),IF('Asphalt Plant (AP-6)'!$C$5="drum mix plant",'Asphalt Plant (AP-6)'!S56,0),IF('Asphalt Plant (AP-7)'!$C$5="drum mix plant",'Asphalt Plant (AP-7)'!S56,0),IF('Asphalt Plant (AP-8)'!$C$5="drum mix plant",'Asphalt Plant (AP-8)'!S56,0),IF('Asphalt Plant (AP-9)'!$C$5="drum mix plant",'Asphalt Plant (AP-9)'!S56,0),IF('Asphalt Plant (AP-10)'!$C$5="drum mix plant",'Asphalt Plant (AP-10)'!S56,0)))</f>
        <v/>
      </c>
      <c r="M89" s="115" t="str">
        <f>IF(B89="","",SUM(IF('Asphalt Plant (AP-1)'!$C$5="drum mix plant",'Asphalt Plant (AP-1)'!T56,0),IF('Asphalt Plant (AP-2)'!$C$5="drum mix plant",'Asphalt Plant (AP-2)'!T56,0),IF('Asphalt Plant (AP-3)'!$C$5="drum mix plant",'Asphalt Plant (AP-3)'!T56,0),IF('Asphalt Plant (AP-4)'!$C$5="drum mix plant",'Asphalt Plant (AP-4)'!T56,0),IF('Asphalt Plant (AP-5)'!$C$5="drum mix plant",'Asphalt Plant (AP-5)'!T56,0),IF('Asphalt Plant (AP-6)'!$C$5="drum mix plant",'Asphalt Plant (AP-6)'!T56,0),IF('Asphalt Plant (AP-7)'!$C$5="drum mix plant",'Asphalt Plant (AP-7)'!T56,0),IF('Asphalt Plant (AP-8)'!$C$5="drum mix plant",'Asphalt Plant (AP-8)'!T56,0),IF('Asphalt Plant (AP-9)'!$C$5="drum mix plant",'Asphalt Plant (AP-9)'!T56,0),IF('Asphalt Plant (AP-10)'!$C$5="drum mix plant",'Asphalt Plant (AP-10)'!T56,0)))</f>
        <v/>
      </c>
    </row>
    <row r="90" spans="1:13" ht="15.75" x14ac:dyDescent="0.25">
      <c r="A90" s="299" t="s">
        <v>212</v>
      </c>
      <c r="B90" s="299"/>
      <c r="C90" s="176"/>
      <c r="D90" s="195"/>
      <c r="E90" s="176"/>
      <c r="F90" s="196"/>
      <c r="G90" s="196"/>
      <c r="H90" s="197"/>
      <c r="I90" s="198"/>
      <c r="J90" s="176"/>
      <c r="K90" s="117"/>
      <c r="L90" s="117"/>
      <c r="M90" s="117"/>
    </row>
    <row r="91" spans="1:13" s="187" customFormat="1" x14ac:dyDescent="0.25">
      <c r="A91"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91"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91" s="180" t="str">
        <f>IF(B91="","","30500258/61")</f>
        <v/>
      </c>
      <c r="D91" s="180" t="str">
        <f>IF(B91="","",SUM(IF('Asphalt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91" s="180" t="str">
        <f>IF(B91="","","tons/hr")</f>
        <v/>
      </c>
      <c r="F91" s="180" t="str">
        <f>IF(B91="","",0.000026)</f>
        <v/>
      </c>
      <c r="G91" s="180" t="str">
        <f>IF(B91="","","lbs/ton")</f>
        <v/>
      </c>
      <c r="H91" s="138" t="str">
        <f>IF(B91="","","AP-42 Table 11.1-4,7,8,10")</f>
        <v/>
      </c>
      <c r="I91" s="115" t="str">
        <f>IF(B91="","",SUM(IF('Asphalt Plant (AP-1)'!$C$5="drum mix plant",'Asphalt Plant (AP-1)'!Q58,0),IF('Asphalt Plant (AP-2)'!$C$5="drum mix plant",'Asphalt Plant (AP-2)'!Q58,0),IF('Asphalt Plant (AP-3)'!$C$5="drum mix plant",'Asphalt Plant (AP-3)'!Q58,0),IF('Asphalt Plant (AP-4)'!$C$5="drum mix plant",'Asphalt Plant (AP-4)'!Q58,0),IF('Asphalt Plant (AP-5)'!$C$5="drum mix plant",'Asphalt Plant (AP-5)'!Q58,0),IF('Asphalt Plant (AP-6)'!$C$5="drum mix plant",'Asphalt Plant (AP-6)'!Q58,0),IF('Asphalt Plant (AP-7)'!$C$5="drum mix plant",'Asphalt Plant (AP-7)'!Q58,0),IF('Asphalt Plant (AP-8)'!$C$5="drum mix plant",'Asphalt Plant (AP-8)'!Q58,0),IF('Asphalt Plant (AP-9)'!$C$5="drum mix plant",'Asphalt Plant (AP-9)'!Q58,0),IF('Asphalt Plant (AP-10)'!$C$5="drum mix plant",'Asphalt Plant (AP-10)'!Q58,0)))</f>
        <v/>
      </c>
      <c r="J91" s="191"/>
      <c r="K91" s="115"/>
      <c r="L91" s="115" t="str">
        <f>IF(B91="","",SUM(IF('Asphalt Plant (AP-1)'!$C$5="drum mix plant",'Asphalt Plant (AP-1)'!S58,0),IF('Asphalt Plant (AP-2)'!$C$5="drum mix plant",'Asphalt Plant (AP-2)'!S58,0),IF('Asphalt Plant (AP-3)'!$C$5="drum mix plant",'Asphalt Plant (AP-3)'!S58,0),IF('Asphalt Plant (AP-4)'!$C$5="drum mix plant",'Asphalt Plant (AP-4)'!S58,0),IF('Asphalt Plant (AP-5)'!$C$5="drum mix plant",'Asphalt Plant (AP-5)'!S58,0),IF('Asphalt Plant (AP-6)'!$C$5="drum mix plant",'Asphalt Plant (AP-6)'!S58,0),IF('Asphalt Plant (AP-7)'!$C$5="drum mix plant",'Asphalt Plant (AP-7)'!S58,0),IF('Asphalt Plant (AP-8)'!$C$5="drum mix plant",'Asphalt Plant (AP-8)'!S58,0),IF('Asphalt Plant (AP-9)'!$C$5="drum mix plant",'Asphalt Plant (AP-9)'!S58,0),IF('Asphalt Plant (AP-10)'!$C$5="drum mix plant",'Asphalt Plant (AP-10)'!S58,0)))</f>
        <v/>
      </c>
      <c r="M91" s="115" t="str">
        <f>IF(B91="","",SUM(IF('Asphalt Plant (AP-1)'!$C$5="drum mix plant",'Asphalt Plant (AP-1)'!T58,0),IF('Asphalt Plant (AP-2)'!$C$5="drum mix plant",'Asphalt Plant (AP-2)'!T58,0),IF('Asphalt Plant (AP-3)'!$C$5="drum mix plant",'Asphalt Plant (AP-3)'!T58,0),IF('Asphalt Plant (AP-4)'!$C$5="drum mix plant",'Asphalt Plant (AP-4)'!T58,0),IF('Asphalt Plant (AP-5)'!$C$5="drum mix plant",'Asphalt Plant (AP-5)'!T58,0),IF('Asphalt Plant (AP-6)'!$C$5="drum mix plant",'Asphalt Plant (AP-6)'!T58,0),IF('Asphalt Plant (AP-7)'!$C$5="drum mix plant",'Asphalt Plant (AP-7)'!T58,0),IF('Asphalt Plant (AP-8)'!$C$5="drum mix plant",'Asphalt Plant (AP-8)'!T58,0),IF('Asphalt Plant (AP-9)'!$C$5="drum mix plant",'Asphalt Plant (AP-9)'!T58,0),IF('Asphalt Plant (AP-10)'!$C$5="drum mix plant",'Asphalt Plant (AP-10)'!T58,0)))</f>
        <v/>
      </c>
    </row>
    <row r="92" spans="1:13" ht="15.75" x14ac:dyDescent="0.25">
      <c r="A92" s="299" t="s">
        <v>52</v>
      </c>
      <c r="B92" s="299"/>
      <c r="C92" s="38"/>
      <c r="D92" s="195" t="str">
        <f>IF(F92="","",IF('[1]Facility Processes'!$G$7="","",'[1]Facility Processes'!$G$7))</f>
        <v/>
      </c>
      <c r="E92" s="199"/>
      <c r="F92" s="196"/>
      <c r="G92" s="196"/>
      <c r="H92" s="197" t="str">
        <f>IF(F92="","",LOOKUP(B92,'[1]Emission Factors'!$A$5:$A$10,'[1]Emission Factors'!$D$5:$D$10))</f>
        <v/>
      </c>
      <c r="I92" s="198"/>
      <c r="J92" s="199"/>
      <c r="K92" s="200"/>
      <c r="L92" s="116"/>
      <c r="M92" s="116"/>
    </row>
    <row r="93" spans="1:13" s="187" customFormat="1" x14ac:dyDescent="0.25">
      <c r="A93"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93"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93" s="180" t="str">
        <f>IF(B93="","","30500245/46/47")</f>
        <v>30500245/46/47</v>
      </c>
      <c r="D93" s="180">
        <f ca="1">IF(B93="","",SUM(IF('Asphalt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93" s="180" t="str">
        <f>IF(B93="","","tons/hr")</f>
        <v>tons/hr</v>
      </c>
      <c r="F93" s="180">
        <f>IF(B93="","",0.00028)</f>
        <v>2.7999999999999998E-4</v>
      </c>
      <c r="G93" s="180" t="str">
        <f>IF(B93="","","lbs/ton")</f>
        <v>lbs/ton</v>
      </c>
      <c r="H93" s="138" t="str">
        <f>IF(B93="","","AP-42 Table 11.1-2,5,6,9")</f>
        <v>AP-42 Table 11.1-2,5,6,9</v>
      </c>
      <c r="I93" s="115">
        <f ca="1">IF(B93="","",SUM(IF('Asphalt Plant (AP-1)'!$C$5="batch mix plant",'Asphalt Plant (AP-1)'!Q60,0),IF('Asphalt Plant (AP-2)'!$C$5="batch mix plant",'Asphalt Plant (AP-2)'!Q60,0),IF('Asphalt Plant (AP-3)'!$C$5="batch mix plant",'Asphalt Plant (AP-3)'!Q60,0),IF('Asphalt Plant (AP-4)'!$C$5="batch mix plant",'Asphalt Plant (AP-4)'!Q60,0),IF('Asphalt Plant (AP-5)'!$C$5="batch mix plant",'Asphalt Plant (AP-5)'!Q60,0),IF('Asphalt Plant (AP-6)'!$C$5="batch mix plant",'Asphalt Plant (AP-6)'!Q60,0),IF('Asphalt Plant (AP-7)'!$C$5="batch mix plant",'Asphalt Plant (AP-7)'!Q60,0),IF('Asphalt Plant (AP-8)'!$C$5="batch mix plant",'Asphalt Plant (AP-8)'!Q60,0),IF('Asphalt Plant (AP-9)'!$C$5="batch mix plant",'Asphalt Plant (AP-9)'!Q60,0),IF('Asphalt Plant (AP-10)'!$C$5="batch mix plant",'Asphalt Plant (AP-10)'!Q60,0)))</f>
        <v>0</v>
      </c>
      <c r="J93" s="191"/>
      <c r="K93" s="115"/>
      <c r="L93" s="115">
        <f ca="1">IF(B93="","",SUM(IF('Asphalt Plant (AP-1)'!$C$5="batch mix plant",'Asphalt Plant (AP-1)'!S60,0),IF('Asphalt Plant (AP-2)'!$C$5="batch mix plant",'Asphalt Plant (AP-2)'!S60,0),IF('Asphalt Plant (AP-3)'!$C$5="batch mix plant",'Asphalt Plant (AP-3)'!S60,0),IF('Asphalt Plant (AP-4)'!$C$5="batch mix plant",'Asphalt Plant (AP-4)'!S60,0),IF('Asphalt Plant (AP-5)'!$C$5="batch mix plant",'Asphalt Plant (AP-5)'!S60,0),IF('Asphalt Plant (AP-6)'!$C$5="batch mix plant",'Asphalt Plant (AP-6)'!S60,0),IF('Asphalt Plant (AP-7)'!$C$5="batch mix plant",'Asphalt Plant (AP-7)'!S60,0),IF('Asphalt Plant (AP-8)'!$C$5="batch mix plant",'Asphalt Plant (AP-8)'!S60,0),IF('Asphalt Plant (AP-9)'!$C$5="batch mix plant",'Asphalt Plant (AP-9)'!S60,0),IF('Asphalt Plant (AP-10)'!$C$5="batch mix plant",'Asphalt Plant (AP-10)'!S60,0)))</f>
        <v>0</v>
      </c>
      <c r="M93" s="115">
        <f ca="1">IF(B93="","",SUM(IF('Asphalt Plant (AP-1)'!$C$5="batch mix plant",'Asphalt Plant (AP-1)'!T60,0),IF('Asphalt Plant (AP-2)'!$C$5="batch mix plant",'Asphalt Plant (AP-2)'!T60,0),IF('Asphalt Plant (AP-3)'!$C$5="batch mix plant",'Asphalt Plant (AP-3)'!T60,0),IF('Asphalt Plant (AP-4)'!$C$5="batch mix plant",'Asphalt Plant (AP-4)'!T60,0),IF('Asphalt Plant (AP-5)'!$C$5="batch mix plant",'Asphalt Plant (AP-5)'!T60,0),IF('Asphalt Plant (AP-6)'!$C$5="batch mix plant",'Asphalt Plant (AP-6)'!T60,0),IF('Asphalt Plant (AP-7)'!$C$5="batch mix plant",'Asphalt Plant (AP-7)'!T60,0),IF('Asphalt Plant (AP-8)'!$C$5="batch mix plant",'Asphalt Plant (AP-8)'!T60,0),IF('Asphalt Plant (AP-9)'!$C$5="batch mix plant",'Asphalt Plant (AP-9)'!T60,0),IF('Asphalt Plant (AP-10)'!$C$5="batch mix plant",'Asphalt Plant (AP-10)'!T60,0)))</f>
        <v>0</v>
      </c>
    </row>
    <row r="94" spans="1:13" s="187" customFormat="1" x14ac:dyDescent="0.25">
      <c r="A94"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94"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94" s="180" t="str">
        <f>IF(B94="","","30500255/58/61")</f>
        <v/>
      </c>
      <c r="D94" s="180" t="str">
        <f>IF(B94="","",SUM(IF('Asphalt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94" s="180" t="str">
        <f>IF(B94="","","tons/hr")</f>
        <v/>
      </c>
      <c r="F94" s="180" t="str">
        <f>IF(B94="","",0.00039)</f>
        <v/>
      </c>
      <c r="G94" s="180" t="str">
        <f>IF(B94="","","lbs/ton")</f>
        <v/>
      </c>
      <c r="H94" s="138" t="str">
        <f>IF(B94="","","AP-42 Table 11.1-4,7,8,10")</f>
        <v/>
      </c>
      <c r="I94" s="115" t="str">
        <f>IF(B94="","",SUM(IF('Asphalt Plant (AP-1)'!$C$5="drum mix plant",'Asphalt Plant (AP-1)'!Q60,0),IF('Asphalt Plant (AP-2)'!$C$5="drum mix plant",'Asphalt Plant (AP-2)'!Q60,0),IF('Asphalt Plant (AP-3)'!$C$5="drum mix plant",'Asphalt Plant (AP-3)'!Q60,0),IF('Asphalt Plant (AP-4)'!$C$5="drum mix plant",'Asphalt Plant (AP-4)'!Q60,0),IF('Asphalt Plant (AP-5)'!$C$5="drum mix plant",'Asphalt Plant (AP-5)'!Q60,0),IF('Asphalt Plant (AP-6)'!$C$5="drum mix plant",'Asphalt Plant (AP-6)'!Q60,0),IF('Asphalt Plant (AP-7)'!$C$5="drum mix plant",'Asphalt Plant (AP-7)'!Q60,0),IF('Asphalt Plant (AP-8)'!$C$5="drum mix plant",'Asphalt Plant (AP-8)'!Q60,0),IF('Asphalt Plant (AP-9)'!$C$5="drum mix plant",'Asphalt Plant (AP-9)'!Q60,0),IF('Asphalt Plant (AP-10)'!$C$5="drum mix plant",'Asphalt Plant (AP-10)'!Q60,0)))</f>
        <v/>
      </c>
      <c r="J94" s="191"/>
      <c r="K94" s="115"/>
      <c r="L94" s="115" t="str">
        <f>IF(B94="","",SUM(IF('Asphalt Plant (AP-1)'!$C$5="drum mix plant",'Asphalt Plant (AP-1)'!S60,0),IF('Asphalt Plant (AP-2)'!$C$5="drum mix plant",'Asphalt Plant (AP-2)'!S60,0),IF('Asphalt Plant (AP-3)'!$C$5="drum mix plant",'Asphalt Plant (AP-3)'!S60,0),IF('Asphalt Plant (AP-4)'!$C$5="drum mix plant",'Asphalt Plant (AP-4)'!S60,0),IF('Asphalt Plant (AP-5)'!$C$5="drum mix plant",'Asphalt Plant (AP-5)'!S60,0),IF('Asphalt Plant (AP-6)'!$C$5="drum mix plant",'Asphalt Plant (AP-6)'!S60,0),IF('Asphalt Plant (AP-7)'!$C$5="drum mix plant",'Asphalt Plant (AP-7)'!S60,0),IF('Asphalt Plant (AP-8)'!$C$5="drum mix plant",'Asphalt Plant (AP-8)'!S60,0),IF('Asphalt Plant (AP-9)'!$C$5="drum mix plant",'Asphalt Plant (AP-9)'!S60,0),IF('Asphalt Plant (AP-10)'!$C$5="drum mix plant",'Asphalt Plant (AP-10)'!S60,0)))</f>
        <v/>
      </c>
      <c r="M94" s="115" t="str">
        <f>IF(B94="","",SUM(IF('Asphalt Plant (AP-1)'!$C$5="drum mix plant",'Asphalt Plant (AP-1)'!T60,0),IF('Asphalt Plant (AP-2)'!$C$5="drum mix plant",'Asphalt Plant (AP-2)'!T60,0),IF('Asphalt Plant (AP-3)'!$C$5="drum mix plant",'Asphalt Plant (AP-3)'!T60,0),IF('Asphalt Plant (AP-4)'!$C$5="drum mix plant",'Asphalt Plant (AP-4)'!T60,0),IF('Asphalt Plant (AP-5)'!$C$5="drum mix plant",'Asphalt Plant (AP-5)'!T60,0),IF('Asphalt Plant (AP-6)'!$C$5="drum mix plant",'Asphalt Plant (AP-6)'!T60,0),IF('Asphalt Plant (AP-7)'!$C$5="drum mix plant",'Asphalt Plant (AP-7)'!T60,0),IF('Asphalt Plant (AP-8)'!$C$5="drum mix plant",'Asphalt Plant (AP-8)'!T60,0),IF('Asphalt Plant (AP-9)'!$C$5="drum mix plant",'Asphalt Plant (AP-9)'!T60,0),IF('Asphalt Plant (AP-10)'!$C$5="drum mix plant",'Asphalt Plant (AP-10)'!T60,0)))</f>
        <v/>
      </c>
    </row>
    <row r="95" spans="1:13" x14ac:dyDescent="0.25">
      <c r="A95" s="114" t="str">
        <f>IF('Permitted Diesel Engines'!R50=0,"","ALL")</f>
        <v/>
      </c>
      <c r="B95" s="233" t="str">
        <f>IF('Permitted Diesel Engines'!R50=0,"","Diesel Generator ≤ 600 bhp")</f>
        <v/>
      </c>
      <c r="C95" s="30" t="str">
        <f>IF('Permitted Diesel Engines'!R50=0,"",LOOKUP(B95,'Emission Factors'!$A$43:$A$44,'Emission Factors'!$B$43:$B$44))</f>
        <v/>
      </c>
      <c r="D95" s="30" t="str">
        <f>IF('Permitted Diesel Engines'!R50=0,"",'Permitted Diesel Engines'!R50)</f>
        <v/>
      </c>
      <c r="E95" s="30" t="str">
        <f>IF(B95="","","MMBtu/hr")</f>
        <v/>
      </c>
      <c r="F95" s="180" t="str">
        <f>IF('Permitted Diesel Engines'!R50=0,"",LOOKUP(B95,'Emission Factors'!$A$43:$A$44,'Emission Factors'!$R$43:$R$44))</f>
        <v/>
      </c>
      <c r="G95" s="180" t="str">
        <f>IF(B95="","","lb/MMBtu")</f>
        <v/>
      </c>
      <c r="H95" s="211" t="str">
        <f>IF('Permitted Diesel Engines'!R50=0,"",LOOKUP(B95,'Emission Factors'!$A$43:$A$44,'Emission Factors'!$S$43:$S$44))</f>
        <v/>
      </c>
      <c r="I95" s="115" t="str">
        <f>IF(B95="","",D95*F95)</f>
        <v/>
      </c>
      <c r="J95" s="30"/>
      <c r="K95" s="31"/>
      <c r="L95" s="31" t="str">
        <f>IF(B95="","",'Permitted Diesel Engines'!AN77)</f>
        <v/>
      </c>
      <c r="M95" s="31" t="str">
        <f>IF(B95="","",'Permitted Diesel Engines'!$T$50*F95/2000)</f>
        <v/>
      </c>
    </row>
    <row r="96" spans="1:13" x14ac:dyDescent="0.25">
      <c r="A96" s="114" t="str">
        <f>IF('Permitted Diesel Engines'!R51=0,"","ALL")</f>
        <v/>
      </c>
      <c r="B96" s="233" t="str">
        <f>IF('Permitted Diesel Engines'!R51=0,"","Diesel Generator&gt; 600 bhp")</f>
        <v/>
      </c>
      <c r="C96" s="30" t="str">
        <f>IF('Permitted Diesel Engines'!R51=0,"",LOOKUP(B96,'Emission Factors'!$A$43:$A$44,'Emission Factors'!$B$43:$B$44))</f>
        <v/>
      </c>
      <c r="D96" s="30" t="str">
        <f>IF('Permitted Diesel Engines'!R51=0,"",'Permitted Diesel Engines'!R51)</f>
        <v/>
      </c>
      <c r="E96" s="30" t="str">
        <f>IF(B96="","","MMBtu/hr")</f>
        <v/>
      </c>
      <c r="F96" s="180" t="str">
        <f>IF('Permitted Diesel Engines'!R51=0,"",LOOKUP(B96,'Emission Factors'!$A$43:$A$44,'Emission Factors'!$R$43:$R$44))</f>
        <v/>
      </c>
      <c r="G96" s="180" t="str">
        <f>IF(B96="","","lb/MMBtu")</f>
        <v/>
      </c>
      <c r="H96" s="211" t="str">
        <f>IF('Permitted Diesel Engines'!R51=0,"",LOOKUP(B96,'Emission Factors'!$A$43:$A$44,'Emission Factors'!$S$43:$S$44))</f>
        <v/>
      </c>
      <c r="I96" s="115" t="str">
        <f>IF(B96="","",D96*F96)</f>
        <v/>
      </c>
      <c r="J96" s="30"/>
      <c r="K96" s="31"/>
      <c r="L96" s="31" t="str">
        <f>IF(B96="","",'Permitted Diesel Engines'!AO77)</f>
        <v/>
      </c>
      <c r="M96" s="31" t="str">
        <f>IF(B96="","",'Permitted Diesel Engines'!$T$51*F96/2000)</f>
        <v/>
      </c>
    </row>
    <row r="97" spans="1:13" x14ac:dyDescent="0.25">
      <c r="A97" s="102"/>
      <c r="B97" s="102"/>
      <c r="C97" s="184"/>
      <c r="D97" s="184"/>
      <c r="E97" s="184"/>
      <c r="F97" s="196"/>
      <c r="G97" s="196" t="str">
        <f>IF(F97="","","lbs/ton")</f>
        <v/>
      </c>
      <c r="H97" s="201"/>
      <c r="I97" s="184"/>
      <c r="J97" s="257" t="s">
        <v>30</v>
      </c>
      <c r="L97" s="31">
        <f ca="1">SUM(L93:L96)</f>
        <v>0</v>
      </c>
      <c r="M97" s="31">
        <f ca="1">SUM(M93:M96)</f>
        <v>0</v>
      </c>
    </row>
    <row r="98" spans="1:13" ht="15.75" x14ac:dyDescent="0.25">
      <c r="A98" s="300" t="s">
        <v>213</v>
      </c>
      <c r="B98" s="300"/>
      <c r="C98" s="176"/>
      <c r="D98" s="176"/>
      <c r="E98" s="176"/>
      <c r="F98" s="196"/>
      <c r="G98" s="196" t="str">
        <f>IF(F98="","","lbs/ton")</f>
        <v/>
      </c>
      <c r="H98" s="178"/>
      <c r="I98" s="179"/>
      <c r="J98" s="176"/>
      <c r="K98" s="117"/>
      <c r="L98" s="117"/>
      <c r="M98" s="117"/>
    </row>
    <row r="99" spans="1:13" s="187" customFormat="1" x14ac:dyDescent="0.25">
      <c r="A99"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99"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99" s="180" t="str">
        <f>IF(B99="","","30500245/46/47")</f>
        <v>30500245/46/47</v>
      </c>
      <c r="D99" s="180">
        <f ca="1">IF(B99="","",SUM(IF('Asphalt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99" s="180" t="str">
        <f>IF(B99="","","tons/hr")</f>
        <v>tons/hr</v>
      </c>
      <c r="F99" s="180">
        <f>IF(B99="","",0.0022)</f>
        <v>2.2000000000000001E-3</v>
      </c>
      <c r="G99" s="180" t="str">
        <f>IF(B99="","","lbs/ton")</f>
        <v>lbs/ton</v>
      </c>
      <c r="H99" s="138" t="str">
        <f>IF(B99="","","AP-42 Table 11.1-2,5,6,9")</f>
        <v>AP-42 Table 11.1-2,5,6,9</v>
      </c>
      <c r="I99" s="115">
        <f ca="1">IF(B99="","",SUM(IF('Asphalt Plant (AP-1)'!$C$5="batch mix plant",'Asphalt Plant (AP-1)'!Q62,0),IF('Asphalt Plant (AP-2)'!$C$5="batch mix plant",'Asphalt Plant (AP-2)'!Q62,0),IF('Asphalt Plant (AP-3)'!$C$5="batch mix plant",'Asphalt Plant (AP-3)'!Q62,0),IF('Asphalt Plant (AP-4)'!$C$5="batch mix plant",'Asphalt Plant (AP-4)'!Q62,0),IF('Asphalt Plant (AP-5)'!$C$5="batch mix plant",'Asphalt Plant (AP-5)'!Q62,0),IF('Asphalt Plant (AP-6)'!$C$5="batch mix plant",'Asphalt Plant (AP-6)'!Q62,0),IF('Asphalt Plant (AP-7)'!$C$5="batch mix plant",'Asphalt Plant (AP-7)'!Q62,0),IF('Asphalt Plant (AP-8)'!$C$5="batch mix plant",'Asphalt Plant (AP-8)'!Q62,0),IF('Asphalt Plant (AP-9)'!$C$5="batch mix plant",'Asphalt Plant (AP-9)'!Q62,0),IF('Asphalt Plant (AP-10)'!$C$5="batch mix plant",'Asphalt Plant (AP-10)'!Q62,0)))</f>
        <v>0</v>
      </c>
      <c r="J99" s="191"/>
      <c r="K99" s="115"/>
      <c r="L99" s="115">
        <f ca="1">IF(B99="","",SUM(IF('Asphalt Plant (AP-1)'!$C$5="batch mix plant",'Asphalt Plant (AP-1)'!S62,0),IF('Asphalt Plant (AP-2)'!$C$5="batch mix plant",'Asphalt Plant (AP-2)'!S62,0),IF('Asphalt Plant (AP-3)'!$C$5="batch mix plant",'Asphalt Plant (AP-3)'!S62,0),IF('Asphalt Plant (AP-4)'!$C$5="batch mix plant",'Asphalt Plant (AP-4)'!S62,0),IF('Asphalt Plant (AP-5)'!$C$5="batch mix plant",'Asphalt Plant (AP-5)'!S62,0),IF('Asphalt Plant (AP-6)'!$C$5="batch mix plant",'Asphalt Plant (AP-6)'!S62,0),IF('Asphalt Plant (AP-7)'!$C$5="batch mix plant",'Asphalt Plant (AP-7)'!S62,0),IF('Asphalt Plant (AP-8)'!$C$5="batch mix plant",'Asphalt Plant (AP-8)'!S62,0),IF('Asphalt Plant (AP-9)'!$C$5="batch mix plant",'Asphalt Plant (AP-9)'!S62,0),IF('Asphalt Plant (AP-10)'!$C$5="batch mix plant",'Asphalt Plant (AP-10)'!S62,0)))</f>
        <v>0</v>
      </c>
      <c r="M99" s="115">
        <f ca="1">IF(B99="","",SUM(IF('Asphalt Plant (AP-1)'!$C$5="batch mix plant",'Asphalt Plant (AP-1)'!T62,0),IF('Asphalt Plant (AP-2)'!$C$5="batch mix plant",'Asphalt Plant (AP-2)'!T62,0),IF('Asphalt Plant (AP-3)'!$C$5="batch mix plant",'Asphalt Plant (AP-3)'!T62,0),IF('Asphalt Plant (AP-4)'!$C$5="batch mix plant",'Asphalt Plant (AP-4)'!T62,0),IF('Asphalt Plant (AP-5)'!$C$5="batch mix plant",'Asphalt Plant (AP-5)'!T62,0),IF('Asphalt Plant (AP-6)'!$C$5="batch mix plant",'Asphalt Plant (AP-6)'!T62,0),IF('Asphalt Plant (AP-7)'!$C$5="batch mix plant",'Asphalt Plant (AP-7)'!T62,0),IF('Asphalt Plant (AP-8)'!$C$5="batch mix plant",'Asphalt Plant (AP-8)'!T62,0),IF('Asphalt Plant (AP-9)'!$C$5="batch mix plant",'Asphalt Plant (AP-9)'!T62,0),IF('Asphalt Plant (AP-10)'!$C$5="batch mix plant",'Asphalt Plant (AP-10)'!T62,0)))</f>
        <v>0</v>
      </c>
    </row>
    <row r="100" spans="1:13" s="187" customFormat="1" x14ac:dyDescent="0.25">
      <c r="A100"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00"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00" s="180" t="str">
        <f>IF(B100="","","30500255/58/61")</f>
        <v/>
      </c>
      <c r="D100" s="180" t="str">
        <f>IF(B100="","",SUM(IF('Asphalt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00" s="180" t="str">
        <f>IF(B100="","","tons/hr")</f>
        <v/>
      </c>
      <c r="F100" s="180" t="str">
        <f>IF(B100="","",0.00024)</f>
        <v/>
      </c>
      <c r="G100" s="180" t="str">
        <f>IF(B100="","","lbs/ton")</f>
        <v/>
      </c>
      <c r="H100" s="138" t="str">
        <f>IF(B100="","","AP-42 Table 11.1-4,7,8,10")</f>
        <v/>
      </c>
      <c r="I100" s="115" t="str">
        <f>IF(B100="","",SUM(IF('Asphalt Plant (AP-1)'!$C$5="drum mix plant",'Asphalt Plant (AP-1)'!Q62,0),IF('Asphalt Plant (AP-2)'!$C$5="drum mix plant",'Asphalt Plant (AP-2)'!Q62,0),IF('Asphalt Plant (AP-3)'!$C$5="drum mix plant",'Asphalt Plant (AP-3)'!Q62,0),IF('Asphalt Plant (AP-4)'!$C$5="drum mix plant",'Asphalt Plant (AP-4)'!Q62,0),IF('Asphalt Plant (AP-5)'!$C$5="drum mix plant",'Asphalt Plant (AP-5)'!Q62,0),IF('Asphalt Plant (AP-6)'!$C$5="drum mix plant",'Asphalt Plant (AP-6)'!Q62,0),IF('Asphalt Plant (AP-7)'!$C$5="drum mix plant",'Asphalt Plant (AP-7)'!Q62,0),IF('Asphalt Plant (AP-8)'!$C$5="drum mix plant",'Asphalt Plant (AP-8)'!Q62,0),IF('Asphalt Plant (AP-9)'!$C$5="drum mix plant",'Asphalt Plant (AP-9)'!Q62,0),IF('Asphalt Plant (AP-10)'!$C$5="drum mix plant",'Asphalt Plant (AP-10)'!Q62,0)))</f>
        <v/>
      </c>
      <c r="J100" s="115"/>
      <c r="K100" s="191"/>
      <c r="L100" s="115" t="str">
        <f>IF(B100="","",SUM(IF('Asphalt Plant (AP-1)'!$C$5="drum mix plant",'Asphalt Plant (AP-1)'!S62,0),IF('Asphalt Plant (AP-2)'!$C$5="drum mix plant",'Asphalt Plant (AP-2)'!S62,0),IF('Asphalt Plant (AP-3)'!$C$5="drum mix plant",'Asphalt Plant (AP-3)'!S62,0),IF('Asphalt Plant (AP-4)'!$C$5="drum mix plant",'Asphalt Plant (AP-4)'!S62,0),IF('Asphalt Plant (AP-5)'!$C$5="drum mix plant",'Asphalt Plant (AP-5)'!S62,0),IF('Asphalt Plant (AP-6)'!$C$5="drum mix plant",'Asphalt Plant (AP-6)'!S62,0),IF('Asphalt Plant (AP-7)'!$C$5="drum mix plant",'Asphalt Plant (AP-7)'!S62,0),IF('Asphalt Plant (AP-8)'!$C$5="drum mix plant",'Asphalt Plant (AP-8)'!S62,0),IF('Asphalt Plant (AP-9)'!$C$5="drum mix plant",'Asphalt Plant (AP-9)'!S62,0),IF('Asphalt Plant (AP-10)'!$C$5="drum mix plant",'Asphalt Plant (AP-10)'!S62,0)))</f>
        <v/>
      </c>
      <c r="M100" s="115" t="str">
        <f>IF(B100="","",SUM(IF('Asphalt Plant (AP-1)'!$C$5="drum mix plant",'Asphalt Plant (AP-1)'!T62,0),IF('Asphalt Plant (AP-2)'!$C$5="drum mix plant",'Asphalt Plant (AP-2)'!T62,0),IF('Asphalt Plant (AP-3)'!$C$5="drum mix plant",'Asphalt Plant (AP-3)'!T62,0),IF('Asphalt Plant (AP-4)'!$C$5="drum mix plant",'Asphalt Plant (AP-4)'!T62,0),IF('Asphalt Plant (AP-5)'!$C$5="drum mix plant",'Asphalt Plant (AP-5)'!T62,0),IF('Asphalt Plant (AP-6)'!$C$5="drum mix plant",'Asphalt Plant (AP-6)'!T62,0),IF('Asphalt Plant (AP-7)'!$C$5="drum mix plant",'Asphalt Plant (AP-7)'!T62,0),IF('Asphalt Plant (AP-8)'!$C$5="drum mix plant",'Asphalt Plant (AP-8)'!T62,0),IF('Asphalt Plant (AP-9)'!$C$5="drum mix plant",'Asphalt Plant (AP-9)'!T62,0),IF('Asphalt Plant (AP-10)'!$C$5="drum mix plant",'Asphalt Plant (AP-10)'!T62,0)))</f>
        <v/>
      </c>
    </row>
    <row r="101" spans="1:13" ht="15.75" x14ac:dyDescent="0.25">
      <c r="A101" s="299" t="s">
        <v>7</v>
      </c>
      <c r="B101" s="299"/>
      <c r="C101" s="184"/>
      <c r="D101" s="102"/>
      <c r="E101" s="102"/>
      <c r="F101" s="195"/>
      <c r="G101" s="195"/>
      <c r="H101" s="202"/>
      <c r="I101" s="102"/>
      <c r="J101" s="102"/>
      <c r="K101" s="102"/>
      <c r="L101" s="102"/>
      <c r="M101" s="102"/>
    </row>
    <row r="102" spans="1:13" x14ac:dyDescent="0.25">
      <c r="A102"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102"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102" s="180" t="str">
        <f>IF(B102="","","30500245/46/47")</f>
        <v>30500245/46/47</v>
      </c>
      <c r="D102" s="180">
        <f ca="1">IF(B102="","",SUM(IF('Asphalt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102" s="180" t="str">
        <f>IF(B102="","","tons/hr")</f>
        <v>tons/hr</v>
      </c>
      <c r="F102" s="180">
        <f>IF(B102="","",0.00074)</f>
        <v>7.3999999999999999E-4</v>
      </c>
      <c r="G102" s="180" t="str">
        <f>IF(B102="","","lbs/ton")</f>
        <v>lbs/ton</v>
      </c>
      <c r="H102" s="138" t="str">
        <f>IF(B102="","","AP-42 Table 11.1-2,5,6,9")</f>
        <v>AP-42 Table 11.1-2,5,6,9</v>
      </c>
      <c r="I102" s="115">
        <f ca="1">IF(B102="","",SUM(IF('Asphalt Plant (AP-1)'!$C$5="batch mix plant",'Asphalt Plant (AP-1)'!Q64,0),IF('Asphalt Plant (AP-2)'!$C$5="batch mix plant",'Asphalt Plant (AP-2)'!Q64,0),IF('Asphalt Plant (AP-3)'!$C$5="batch mix plant",'Asphalt Plant (AP-3)'!Q64,0),IF('Asphalt Plant (AP-4)'!$C$5="batch mix plant",'Asphalt Plant (AP-4)'!Q64,0),IF('Asphalt Plant (AP-5)'!$C$5="batch mix plant",'Asphalt Plant (AP-5)'!Q64,0),IF('Asphalt Plant (AP-6)'!$C$5="batch mix plant",'Asphalt Plant (AP-6)'!Q64,0),IF('Asphalt Plant (AP-7)'!$C$5="batch mix plant",'Asphalt Plant (AP-7)'!Q64,0),IF('Asphalt Plant (AP-8)'!$C$5="batch mix plant",'Asphalt Plant (AP-8)'!Q64,0),IF('Asphalt Plant (AP-9)'!$C$5="batch mix plant",'Asphalt Plant (AP-9)'!Q64,0),IF('Asphalt Plant (AP-10)'!$C$5="batch mix plant",'Asphalt Plant (AP-10)'!Q64,0)))</f>
        <v>0</v>
      </c>
      <c r="J102" s="115"/>
      <c r="K102" s="136"/>
      <c r="L102" s="115">
        <f ca="1">IF(B102="","",SUM(IF('Asphalt Plant (AP-1)'!$C$5="batch mix plant",'Asphalt Plant (AP-1)'!S64,0),IF('Asphalt Plant (AP-2)'!$C$5="batch mix plant",'Asphalt Plant (AP-2)'!S64,0),IF('Asphalt Plant (AP-3)'!$C$5="batch mix plant",'Asphalt Plant (AP-3)'!S64,0),IF('Asphalt Plant (AP-4)'!$C$5="batch mix plant",'Asphalt Plant (AP-4)'!S64,0),IF('Asphalt Plant (AP-5)'!$C$5="batch mix plant",'Asphalt Plant (AP-5)'!S64,0),IF('Asphalt Plant (AP-6)'!$C$5="batch mix plant",'Asphalt Plant (AP-6)'!S64,0),IF('Asphalt Plant (AP-7)'!$C$5="batch mix plant",'Asphalt Plant (AP-7)'!S64,0),IF('Asphalt Plant (AP-8)'!$C$5="batch mix plant",'Asphalt Plant (AP-8)'!S64,0),IF('Asphalt Plant (AP-9)'!$C$5="batch mix plant",'Asphalt Plant (AP-9)'!S64,0),IF('Asphalt Plant (AP-10)'!$C$5="batch mix plant",'Asphalt Plant (AP-10)'!S64,0)))</f>
        <v>0</v>
      </c>
      <c r="M102" s="115">
        <f ca="1">IF(B102="","",SUM(IF('Asphalt Plant (AP-1)'!$C$5="batch mix plant",'Asphalt Plant (AP-1)'!T64,0),IF('Asphalt Plant (AP-2)'!$C$5="batch mix plant",'Asphalt Plant (AP-2)'!T64,0),IF('Asphalt Plant (AP-3)'!$C$5="batch mix plant",'Asphalt Plant (AP-3)'!T64,0),IF('Asphalt Plant (AP-4)'!$C$5="batch mix plant",'Asphalt Plant (AP-4)'!T64,0),IF('Asphalt Plant (AP-5)'!$C$5="batch mix plant",'Asphalt Plant (AP-5)'!T64,0),IF('Asphalt Plant (AP-6)'!$C$5="batch mix plant",'Asphalt Plant (AP-6)'!T64,0),IF('Asphalt Plant (AP-7)'!$C$5="batch mix plant",'Asphalt Plant (AP-7)'!T64,0),IF('Asphalt Plant (AP-8)'!$C$5="batch mix plant",'Asphalt Plant (AP-8)'!T64,0),IF('Asphalt Plant (AP-9)'!$C$5="batch mix plant",'Asphalt Plant (AP-9)'!T64,0),IF('Asphalt Plant (AP-10)'!$C$5="batch mix plant",'Asphalt Plant (AP-10)'!T64,0)))</f>
        <v>0</v>
      </c>
    </row>
    <row r="103" spans="1:13" x14ac:dyDescent="0.25">
      <c r="A103"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03"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03" s="180" t="str">
        <f>IF(B103="","","30500255/58/61")</f>
        <v/>
      </c>
      <c r="D103" s="180" t="str">
        <f>IF(B103="","",SUM(IF('Asphalt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103" s="180" t="str">
        <f>IF(B103="","","tons/hr")</f>
        <v/>
      </c>
      <c r="F103" s="180" t="str">
        <f>IF(B103="","",0.0031)</f>
        <v/>
      </c>
      <c r="G103" s="180" t="str">
        <f>IF(B103="","","lbs/ton")</f>
        <v/>
      </c>
      <c r="H103" s="138" t="str">
        <f>IF(B103="","","AP-42 Table 11.1-4,7,8,10")</f>
        <v/>
      </c>
      <c r="I103" s="115" t="str">
        <f>IF(B103="","",SUM(IF('Asphalt Plant (AP-1)'!$C$5="drum mix plant",'Asphalt Plant (AP-1)'!Q64,0),IF('Asphalt Plant (AP-2)'!$C$5="drum mix plant",'Asphalt Plant (AP-2)'!Q64,0),IF('Asphalt Plant (AP-3)'!$C$5="drum mix plant",'Asphalt Plant (AP-3)'!Q64,0),IF('Asphalt Plant (AP-4)'!$C$5="drum mix plant",'Asphalt Plant (AP-4)'!Q64,0),IF('Asphalt Plant (AP-5)'!$C$5="drum mix plant",'Asphalt Plant (AP-5)'!Q64,0),IF('Asphalt Plant (AP-6)'!$C$5="drum mix plant",'Asphalt Plant (AP-6)'!Q64,0),IF('Asphalt Plant (AP-7)'!$C$5="drum mix plant",'Asphalt Plant (AP-7)'!Q64,0),IF('Asphalt Plant (AP-8)'!$C$5="drum mix plant",'Asphalt Plant (AP-8)'!Q64,0),IF('Asphalt Plant (AP-9)'!$C$5="drum mix plant",'Asphalt Plant (AP-9)'!Q64,0),IF('Asphalt Plant (AP-10)'!$C$5="drum mix plant",'Asphalt Plant (AP-10)'!Q64,0)))</f>
        <v/>
      </c>
      <c r="J103" s="115"/>
      <c r="K103" s="136"/>
      <c r="L103" s="115" t="str">
        <f>IF(B103="","",SUM(IF('Asphalt Plant (AP-1)'!$C$5="drum mix plant",'Asphalt Plant (AP-1)'!S64,0),IF('Asphalt Plant (AP-2)'!$C$5="drum mix plant",'Asphalt Plant (AP-2)'!S64,0),IF('Asphalt Plant (AP-3)'!$C$5="drum mix plant",'Asphalt Plant (AP-3)'!S64,0),IF('Asphalt Plant (AP-4)'!$C$5="drum mix plant",'Asphalt Plant (AP-4)'!S64,0),IF('Asphalt Plant (AP-5)'!$C$5="drum mix plant",'Asphalt Plant (AP-5)'!S64,0),IF('Asphalt Plant (AP-6)'!$C$5="drum mix plant",'Asphalt Plant (AP-6)'!S64,0),IF('Asphalt Plant (AP-7)'!$C$5="drum mix plant",'Asphalt Plant (AP-7)'!S64,0),IF('Asphalt Plant (AP-8)'!$C$5="drum mix plant",'Asphalt Plant (AP-8)'!S64,0),IF('Asphalt Plant (AP-9)'!$C$5="drum mix plant",'Asphalt Plant (AP-9)'!S64,0),IF('Asphalt Plant (AP-10)'!$C$5="drum mix plant",'Asphalt Plant (AP-10)'!S64,0)))</f>
        <v/>
      </c>
      <c r="M103" s="115" t="str">
        <f>IF(B103="","",SUM(IF('Asphalt Plant (AP-1)'!$C$5="drum mix plant",'Asphalt Plant (AP-1)'!T64,0),IF('Asphalt Plant (AP-2)'!$C$5="drum mix plant",'Asphalt Plant (AP-2)'!T64,0),IF('Asphalt Plant (AP-3)'!$C$5="drum mix plant",'Asphalt Plant (AP-3)'!T64,0),IF('Asphalt Plant (AP-4)'!$C$5="drum mix plant",'Asphalt Plant (AP-4)'!T64,0),IF('Asphalt Plant (AP-5)'!$C$5="drum mix plant",'Asphalt Plant (AP-5)'!T64,0),IF('Asphalt Plant (AP-6)'!$C$5="drum mix plant",'Asphalt Plant (AP-6)'!T64,0),IF('Asphalt Plant (AP-7)'!$C$5="drum mix plant",'Asphalt Plant (AP-7)'!T64,0),IF('Asphalt Plant (AP-8)'!$C$5="drum mix plant",'Asphalt Plant (AP-8)'!T64,0),IF('Asphalt Plant (AP-9)'!$C$5="drum mix plant",'Asphalt Plant (AP-9)'!T64,0),IF('Asphalt Plant (AP-10)'!$C$5="drum mix plant",'Asphalt Plant (AP-10)'!T64,0)))</f>
        <v/>
      </c>
    </row>
    <row r="104" spans="1:13" s="187" customFormat="1" x14ac:dyDescent="0.25">
      <c r="A104" s="30" t="str">
        <f ca="1">IF(D104="","","ALL")</f>
        <v/>
      </c>
      <c r="B104" s="135" t="str">
        <f ca="1">IF(D104="","","Natural Gas Fired Heater")</f>
        <v/>
      </c>
      <c r="C104" s="180" t="str">
        <f ca="1">IF(B104="","","30500206")</f>
        <v/>
      </c>
      <c r="D104" s="180" t="str">
        <f ca="1">IF(SUM('Asphalt Plant (AP-1)'!N10,'Asphalt Plant (AP-2)'!N10,'Asphalt Plant (AP-3)'!N10,'Asphalt Plant (AP-4)'!N10,'Asphalt Plant (AP-5)'!N10,'Asphalt Plant (AP-6)'!N10,'Asphalt Plant (AP-7)'!N10,'Asphalt Plant (AP-8)'!N10,'Asphalt Plant (AP-9)'!N10,'Asphalt Plant (AP-10)'!N10)&gt;0,SUM('Asphalt Plant (AP-1)'!N10,'Asphalt Plant (AP-2)'!N10,'Asphalt Plant (AP-3)'!N10,'Asphalt Plant (AP-4)'!N10,'Asphalt Plant (AP-5)'!N10,'Asphalt Plant (AP-6)'!N10,'Asphalt Plant (AP-7)'!N10,'Asphalt Plant (AP-8)'!N10,'Asphalt Plant (AP-9)'!N10,'Asphalt Plant (AP-10)'!N10),"")</f>
        <v/>
      </c>
      <c r="E104" s="180" t="str">
        <f ca="1">IF(B104="","","MMCF/hr")</f>
        <v/>
      </c>
      <c r="F104" s="180" t="str">
        <f ca="1">IF(B104="","",8.9)</f>
        <v/>
      </c>
      <c r="G104" s="180" t="str">
        <f ca="1">IF(B104="","","lbs/MMCF")</f>
        <v/>
      </c>
      <c r="H104" s="138" t="str">
        <f ca="1">IF(B104="","","AP-42 Table 11.1-13")</f>
        <v/>
      </c>
      <c r="I104" s="115" t="str">
        <f ca="1">IF(B104="","",SUM('Asphalt Plant (AP-1)'!Q65,'Asphalt Plant (AP-2)'!Q65,'Asphalt Plant (AP-3)'!Q65,'Asphalt Plant (AP-4)'!Q65,'Asphalt Plant (AP-5)'!Q65,'Asphalt Plant (AP-6)'!Q65,'Asphalt Plant (AP-7)'!Q65,'Asphalt Plant (AP-8)'!Q65,'Asphalt Plant (AP-9)'!Q65,'Asphalt Plant (AP-10)'!Q65))</f>
        <v/>
      </c>
      <c r="J104" s="193"/>
      <c r="K104" s="115"/>
      <c r="L104" s="115" t="str">
        <f ca="1">IF(B104="","",SUM('Asphalt Plant (AP-1)'!S65,'Asphalt Plant (AP-2)'!S65,'Asphalt Plant (AP-3)'!S65,'Asphalt Plant (AP-4)'!S65,'Asphalt Plant (AP-5)'!S65,'Asphalt Plant (AP-6)'!S65,'Asphalt Plant (AP-7)'!S65,'Asphalt Plant (AP-8)'!S65,'Asphalt Plant (AP-9)'!S65,'Asphalt Plant (AP-10)'!S65))</f>
        <v/>
      </c>
      <c r="M104" s="115" t="str">
        <f ca="1">IF(B104="","",SUM('Asphalt Plant (AP-1)'!T65,'Asphalt Plant (AP-2)'!T65,'Asphalt Plant (AP-3)'!T65,'Asphalt Plant (AP-4)'!T65,'Asphalt Plant (AP-5)'!T65,'Asphalt Plant (AP-6)'!T65,'Asphalt Plant (AP-7)'!T65,'Asphalt Plant (AP-8)'!T65,'Asphalt Plant (AP-9)'!T65,'Asphalt Plant (AP-10)'!T65))</f>
        <v/>
      </c>
    </row>
    <row r="105" spans="1:13" x14ac:dyDescent="0.25">
      <c r="A105" s="114" t="str">
        <f>IF('Permitted Diesel Engines'!R50=0,"","ALL")</f>
        <v/>
      </c>
      <c r="B105" s="99" t="str">
        <f>IF('Permitted Diesel Engines'!R50=0,"","Diesel Generator ≤ 600 bhp")</f>
        <v/>
      </c>
      <c r="C105" s="30" t="str">
        <f>IF('Permitted Diesel Engines'!R50=0,"",LOOKUP(B105,'Emission Factors'!$A$43:$A$44,'Emission Factors'!$B$43:$B$44))</f>
        <v/>
      </c>
      <c r="D105" s="30" t="str">
        <f>IF('Permitted Diesel Engines'!R50=0,"",'Permitted Diesel Engines'!R50)</f>
        <v/>
      </c>
      <c r="E105" s="30" t="str">
        <f>IF(B105="","","MMBtu/hr")</f>
        <v/>
      </c>
      <c r="F105" s="180" t="str">
        <f>IF('Permitted Diesel Engines'!R50=0,"",LOOKUP(B105,'Emission Factors'!$A$43:$A$44,'Emission Factors'!$P$43:$P$44))</f>
        <v/>
      </c>
      <c r="G105" s="180" t="str">
        <f>IF(B105="","","lb/MMBtu")</f>
        <v/>
      </c>
      <c r="H105" s="211" t="str">
        <f>IF('Permitted Diesel Engines'!R50=0,"",LOOKUP(B105,'Emission Factors'!$A$43:$A$44,'Emission Factors'!$Q$43:$Q$44))</f>
        <v/>
      </c>
      <c r="I105" s="115" t="str">
        <f>IF(B105="","",D105*F105)</f>
        <v/>
      </c>
      <c r="J105" s="30"/>
      <c r="K105" s="31"/>
      <c r="L105" s="31" t="str">
        <f>IF(B105="","",'Permitted Diesel Engines'!AL77)</f>
        <v/>
      </c>
      <c r="M105" s="31" t="str">
        <f>IF(B105="","",'Permitted Diesel Engines'!$T$50*F105/2000)</f>
        <v/>
      </c>
    </row>
    <row r="106" spans="1:13" x14ac:dyDescent="0.25">
      <c r="A106" s="114" t="str">
        <f>IF('Permitted Diesel Engines'!R51=0,"","ALL")</f>
        <v/>
      </c>
      <c r="B106" s="99" t="str">
        <f>IF('Permitted Diesel Engines'!R51=0,"","Diesel Generator&gt; 600 bhp")</f>
        <v/>
      </c>
      <c r="C106" s="30" t="str">
        <f>IF('Permitted Diesel Engines'!R51=0,"",LOOKUP(B106,'Emission Factors'!$A$43:$A$44,'Emission Factors'!$B$43:$B$44))</f>
        <v/>
      </c>
      <c r="D106" s="30" t="str">
        <f>IF('Permitted Diesel Engines'!R51=0,"",'Permitted Diesel Engines'!R51)</f>
        <v/>
      </c>
      <c r="E106" s="30" t="str">
        <f>IF(B106="","","MMBtu/hr")</f>
        <v/>
      </c>
      <c r="F106" s="180" t="str">
        <f>IF('Permitted Diesel Engines'!R51=0,"",LOOKUP(B106,'Emission Factors'!$A$43:$A$44,'Emission Factors'!$P$43:$P$44))</f>
        <v/>
      </c>
      <c r="G106" s="180" t="str">
        <f>IF(B106="","","lb/MMBtu")</f>
        <v/>
      </c>
      <c r="H106" s="211" t="str">
        <f>IF('Permitted Diesel Engines'!R51=0,"",LOOKUP(B106,'Emission Factors'!$A$43:$A$44,'Emission Factors'!$Q$43:$Q$44))</f>
        <v/>
      </c>
      <c r="I106" s="115" t="str">
        <f>IF(B106="","",D106*F106)</f>
        <v/>
      </c>
      <c r="J106" s="30"/>
      <c r="K106" s="31"/>
      <c r="L106" s="31" t="str">
        <f>IF(B106="","",'Permitted Diesel Engines'!AM77)</f>
        <v/>
      </c>
      <c r="M106" s="31" t="str">
        <f>IF(B106="","",'Permitted Diesel Engines'!$T$51*F106/2000)</f>
        <v/>
      </c>
    </row>
    <row r="107" spans="1:13" x14ac:dyDescent="0.25">
      <c r="A107" s="185"/>
      <c r="B107" s="15"/>
      <c r="C107" s="186"/>
      <c r="D107" s="186"/>
      <c r="E107" s="186"/>
      <c r="F107" s="196"/>
      <c r="G107" s="196" t="str">
        <f>IF(F107="","","lbs/ton")</f>
        <v/>
      </c>
      <c r="H107" s="203"/>
      <c r="I107" s="183"/>
      <c r="J107" s="257" t="s">
        <v>30</v>
      </c>
      <c r="L107" s="31">
        <f ca="1">SUM(L102:L106)</f>
        <v>0</v>
      </c>
      <c r="M107" s="31">
        <f ca="1">SUM(M102:M106)</f>
        <v>0</v>
      </c>
    </row>
    <row r="108" spans="1:13" x14ac:dyDescent="0.25">
      <c r="A108" s="185"/>
      <c r="B108" s="15"/>
      <c r="C108" s="186"/>
      <c r="D108" s="186"/>
      <c r="E108" s="186"/>
      <c r="F108" s="196"/>
      <c r="G108" s="196"/>
      <c r="H108" s="197"/>
      <c r="I108" s="183"/>
      <c r="J108" s="257"/>
      <c r="L108" s="116"/>
      <c r="M108" s="116"/>
    </row>
    <row r="109" spans="1:13" ht="15.75" x14ac:dyDescent="0.25">
      <c r="A109" s="300" t="s">
        <v>214</v>
      </c>
      <c r="B109" s="300"/>
      <c r="C109" s="176"/>
      <c r="D109" s="176"/>
      <c r="E109" s="176"/>
      <c r="F109" s="196"/>
      <c r="G109" s="196" t="str">
        <f>IF(F109="","","lbs/ton")</f>
        <v/>
      </c>
      <c r="H109" s="178"/>
      <c r="I109" s="179"/>
      <c r="J109" s="176"/>
      <c r="K109" s="117"/>
      <c r="L109" s="117"/>
      <c r="M109" s="117"/>
    </row>
    <row r="110" spans="1:13" x14ac:dyDescent="0.25">
      <c r="A110"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10"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10" s="180" t="str">
        <f>IF(B110="","","30500255/58/61")</f>
        <v/>
      </c>
      <c r="D110" s="180" t="str">
        <f>IF(B110="","",SUM(IF('Asphalt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110" s="180" t="str">
        <f>IF(B110="","","tons/hr")</f>
        <v/>
      </c>
      <c r="F110" s="180" t="str">
        <f>IF(B110="","",0.00092)</f>
        <v/>
      </c>
      <c r="G110" s="180" t="str">
        <f>IF(B110="","","lbs/ton")</f>
        <v/>
      </c>
      <c r="H110" s="138" t="str">
        <f>IF(B110="","","AP-42 Table 11.1-4,7,8,10")</f>
        <v/>
      </c>
      <c r="I110" s="115" t="str">
        <f>IF(B110="","",SUM(IF('Asphalt Plant (AP-1)'!$C$5="drum mix plant",'Asphalt Plant (AP-1)'!Q67,0),IF('Asphalt Plant (AP-2)'!$C$5="drum mix plant",'Asphalt Plant (AP-2)'!Q67,0),IF('Asphalt Plant (AP-3)'!$C$5="drum mix plant",'Asphalt Plant (AP-3)'!Q67,0),IF('Asphalt Plant (AP-4)'!$C$5="drum mix plant",'Asphalt Plant (AP-4)'!Q67,0),IF('Asphalt Plant (AP-5)'!$C$5="drum mix plant",'Asphalt Plant (AP-5)'!Q67,0),IF('Asphalt Plant (AP-6)'!$C$5="drum mix plant",'Asphalt Plant (AP-6)'!Q67,0),IF('Asphalt Plant (AP-7)'!$C$5="drum mix plant",'Asphalt Plant (AP-7)'!Q67,0),IF('Asphalt Plant (AP-8)'!$C$5="drum mix plant",'Asphalt Plant (AP-8)'!Q67,0),IF('Asphalt Plant (AP-9)'!$C$5="drum mix plant",'Asphalt Plant (AP-9)'!Q67,0),IF('Asphalt Plant (AP-10)'!$C$5="drum mix plant",'Asphalt Plant (AP-10)'!Q67,0)))</f>
        <v/>
      </c>
      <c r="J110" s="115"/>
      <c r="K110" s="192"/>
      <c r="L110" s="115" t="str">
        <f>IF(B110="","",SUM(IF('Asphalt Plant (AP-1)'!$C$5="drum mix plant",'Asphalt Plant (AP-1)'!S67,0),IF('Asphalt Plant (AP-2)'!$C$5="drum mix plant",'Asphalt Plant (AP-2)'!S67,0),IF('Asphalt Plant (AP-3)'!$C$5="drum mix plant",'Asphalt Plant (AP-3)'!S67,0),IF('Asphalt Plant (AP-4)'!$C$5="drum mix plant",'Asphalt Plant (AP-4)'!S67,0),IF('Asphalt Plant (AP-5)'!$C$5="drum mix plant",'Asphalt Plant (AP-5)'!S67,0),IF('Asphalt Plant (AP-6)'!$C$5="drum mix plant",'Asphalt Plant (AP-6)'!S67,0),IF('Asphalt Plant (AP-7)'!$C$5="drum mix plant",'Asphalt Plant (AP-7)'!S67,0),IF('Asphalt Plant (AP-8)'!$C$5="drum mix plant",'Asphalt Plant (AP-8)'!S67,0),IF('Asphalt Plant (AP-9)'!$C$5="drum mix plant",'Asphalt Plant (AP-9)'!S67,0),IF('Asphalt Plant (AP-10)'!$C$5="drum mix plant",'Asphalt Plant (AP-10)'!S67,0)))</f>
        <v/>
      </c>
      <c r="M110" s="115" t="str">
        <f>IF(B110="","",SUM(IF('Asphalt Plant (AP-1)'!$C$5="drum mix plant",'Asphalt Plant (AP-1)'!T67,0),IF('Asphalt Plant (AP-2)'!$C$5="drum mix plant",'Asphalt Plant (AP-2)'!T67,0),IF('Asphalt Plant (AP-3)'!$C$5="drum mix plant",'Asphalt Plant (AP-3)'!T67,0),IF('Asphalt Plant (AP-4)'!$C$5="drum mix plant",'Asphalt Plant (AP-4)'!T67,0),IF('Asphalt Plant (AP-5)'!$C$5="drum mix plant",'Asphalt Plant (AP-5)'!T67,0),IF('Asphalt Plant (AP-6)'!$C$5="drum mix plant",'Asphalt Plant (AP-6)'!T67,0),IF('Asphalt Plant (AP-7)'!$C$5="drum mix plant",'Asphalt Plant (AP-7)'!T67,0),IF('Asphalt Plant (AP-8)'!$C$5="drum mix plant",'Asphalt Plant (AP-8)'!T67,0),IF('Asphalt Plant (AP-9)'!$C$5="drum mix plant",'Asphalt Plant (AP-9)'!T67,0),IF('Asphalt Plant (AP-10)'!$C$5="drum mix plant",'Asphalt Plant (AP-10)'!T67,0)))</f>
        <v/>
      </c>
    </row>
    <row r="111" spans="1:13" ht="15.75" x14ac:dyDescent="0.25">
      <c r="A111" s="299" t="s">
        <v>258</v>
      </c>
      <c r="B111" s="299"/>
      <c r="C111" s="176"/>
      <c r="D111" s="195"/>
      <c r="E111" s="176"/>
      <c r="F111" s="195"/>
      <c r="G111" s="195"/>
      <c r="H111" s="204"/>
      <c r="I111" s="198"/>
      <c r="J111" s="176"/>
      <c r="K111" s="117"/>
      <c r="L111" s="117"/>
      <c r="M111" s="117"/>
    </row>
    <row r="112" spans="1:13" x14ac:dyDescent="0.25">
      <c r="A112"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12"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12" s="180" t="str">
        <f>IF(B112="","","30500258/61")</f>
        <v/>
      </c>
      <c r="D112" s="208" t="str">
        <f>IF(B112="","",SUM(IF('Asphalt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12" s="180" t="str">
        <f>IF(B112="","","tons/hr")</f>
        <v/>
      </c>
      <c r="F112" s="180" t="str">
        <f>IF(B112="","",0.00021)</f>
        <v/>
      </c>
      <c r="G112" s="180" t="str">
        <f>IF(B112="","","lbs/ton")</f>
        <v/>
      </c>
      <c r="H112" s="138" t="str">
        <f>IF(B112="","","AP-42 Table 11.1-4,7,8,10")</f>
        <v/>
      </c>
      <c r="I112" s="115" t="str">
        <f>IF(B112="","",SUM(IF('Asphalt Plant (AP-1)'!$C$5="drum mix plant",'Asphalt Plant (AP-1)'!Q69,0),IF('Asphalt Plant (AP-2)'!$C$5="drum mix plant",'Asphalt Plant (AP-2)'!Q69,0),IF('Asphalt Plant (AP-3)'!$C$5="drum mix plant",'Asphalt Plant (AP-3)'!Q69,0),IF('Asphalt Plant (AP-4)'!$C$5="drum mix plant",'Asphalt Plant (AP-4)'!Q69,0),IF('Asphalt Plant (AP-5)'!$C$5="drum mix plant",'Asphalt Plant (AP-5)'!Q69,0),IF('Asphalt Plant (AP-6)'!$C$5="drum mix plant",'Asphalt Plant (AP-6)'!Q69,0),IF('Asphalt Plant (AP-7)'!$C$5="drum mix plant",'Asphalt Plant (AP-7)'!Q69,0),IF('Asphalt Plant (AP-8)'!$C$5="drum mix plant",'Asphalt Plant (AP-8)'!Q69,0),IF('Asphalt Plant (AP-9)'!$C$5="drum mix plant",'Asphalt Plant (AP-9)'!Q69,0),IF('Asphalt Plant (AP-10)'!$C$5="drum mix plant",'Asphalt Plant (AP-10)'!Q69,0)))</f>
        <v/>
      </c>
      <c r="J112" s="180"/>
      <c r="K112" s="182"/>
      <c r="L112" s="115" t="str">
        <f>IF(B112="","",SUM(IF('Asphalt Plant (AP-1)'!$C$5="drum mix plant",'Asphalt Plant (AP-1)'!S69,0),IF('Asphalt Plant (AP-2)'!$C$5="drum mix plant",'Asphalt Plant (AP-2)'!S69,0),IF('Asphalt Plant (AP-3)'!$C$5="drum mix plant",'Asphalt Plant (AP-3)'!S69,0),IF('Asphalt Plant (AP-4)'!$C$5="drum mix plant",'Asphalt Plant (AP-4)'!S69,0),IF('Asphalt Plant (AP-5)'!$C$5="drum mix plant",'Asphalt Plant (AP-5)'!S69,0),IF('Asphalt Plant (AP-6)'!$C$5="drum mix plant",'Asphalt Plant (AP-6)'!S69,0),IF('Asphalt Plant (AP-7)'!$C$5="drum mix plant",'Asphalt Plant (AP-7)'!S69,0),IF('Asphalt Plant (AP-8)'!$C$5="drum mix plant",'Asphalt Plant (AP-8)'!S69,0),IF('Asphalt Plant (AP-9)'!$C$5="drum mix plant",'Asphalt Plant (AP-9)'!S69,0),IF('Asphalt Plant (AP-10)'!$C$5="drum mix plant",'Asphalt Plant (AP-10)'!S69,0)))</f>
        <v/>
      </c>
      <c r="M112" s="115" t="str">
        <f>IF(B112="","",SUM(IF('Asphalt Plant (AP-1)'!$C$5="drum mix plant",'Asphalt Plant (AP-1)'!T69,0),IF('Asphalt Plant (AP-2)'!$C$5="drum mix plant",'Asphalt Plant (AP-2)'!T69,0),IF('Asphalt Plant (AP-3)'!$C$5="drum mix plant",'Asphalt Plant (AP-3)'!T69,0),IF('Asphalt Plant (AP-4)'!$C$5="drum mix plant",'Asphalt Plant (AP-4)'!T69,0),IF('Asphalt Plant (AP-5)'!$C$5="drum mix plant",'Asphalt Plant (AP-5)'!T69,0),IF('Asphalt Plant (AP-6)'!$C$5="drum mix plant",'Asphalt Plant (AP-6)'!T69,0),IF('Asphalt Plant (AP-7)'!$C$5="drum mix plant",'Asphalt Plant (AP-7)'!T69,0),IF('Asphalt Plant (AP-8)'!$C$5="drum mix plant",'Asphalt Plant (AP-8)'!T69,0),IF('Asphalt Plant (AP-9)'!$C$5="drum mix plant",'Asphalt Plant (AP-9)'!T69,0),IF('Asphalt Plant (AP-10)'!$C$5="drum mix plant",'Asphalt Plant (AP-10)'!T69,0)))</f>
        <v/>
      </c>
    </row>
    <row r="113" spans="1:13" ht="15.75" x14ac:dyDescent="0.25">
      <c r="A113" s="299" t="s">
        <v>216</v>
      </c>
      <c r="B113" s="299"/>
      <c r="C113" s="176"/>
      <c r="D113" s="195"/>
      <c r="E113" s="176"/>
      <c r="F113" s="195"/>
      <c r="G113" s="195"/>
      <c r="H113" s="204"/>
      <c r="I113" s="198"/>
      <c r="J113" s="176"/>
      <c r="K113" s="117"/>
      <c r="L113" s="117"/>
      <c r="M113" s="117"/>
    </row>
    <row r="114" spans="1:13" x14ac:dyDescent="0.25">
      <c r="A114"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14"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14" s="180" t="str">
        <f>IF(B114="","","30500255/58/61")</f>
        <v/>
      </c>
      <c r="D114" s="180" t="str">
        <f>IF(B114="","",SUM(IF('Asphalt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114" s="180" t="str">
        <f>IF(B114="","","tons/hr")</f>
        <v/>
      </c>
      <c r="F114" s="180" t="str">
        <f>IF(B114="","",0.000048)</f>
        <v/>
      </c>
      <c r="G114" s="180" t="str">
        <f>IF(B114="","","lbs/ton")</f>
        <v/>
      </c>
      <c r="H114" s="138" t="str">
        <f>IF(B114="","","AP-42 Table 11.1-4,7,8,10")</f>
        <v/>
      </c>
      <c r="I114" s="115" t="str">
        <f>IF(B114="","",SUM(IF('Asphalt Plant (AP-1)'!$C$5="drum mix plant",'Asphalt Plant (AP-1)'!Q71,0),IF('Asphalt Plant (AP-2)'!$C$5="drum mix plant",'Asphalt Plant (AP-2)'!Q71,0),IF('Asphalt Plant (AP-3)'!$C$5="drum mix plant",'Asphalt Plant (AP-3)'!Q71,0),IF('Asphalt Plant (AP-4)'!$C$5="drum mix plant",'Asphalt Plant (AP-4)'!Q71,0),IF('Asphalt Plant (AP-5)'!$C$5="drum mix plant",'Asphalt Plant (AP-5)'!Q71,0),IF('Asphalt Plant (AP-6)'!$C$5="drum mix plant",'Asphalt Plant (AP-6)'!Q71,0),IF('Asphalt Plant (AP-7)'!$C$5="drum mix plant",'Asphalt Plant (AP-7)'!Q71,0),IF('Asphalt Plant (AP-8)'!$C$5="drum mix plant",'Asphalt Plant (AP-8)'!Q71,0),IF('Asphalt Plant (AP-9)'!$C$5="drum mix plant",'Asphalt Plant (AP-9)'!Q71,0),IF('Asphalt Plant (AP-10)'!$C$5="drum mix plant",'Asphalt Plant (AP-10)'!Q71,0)))</f>
        <v/>
      </c>
      <c r="J114" s="180"/>
      <c r="K114" s="182"/>
      <c r="L114" s="115" t="str">
        <f>IF(B114="","",SUM(IF('Asphalt Plant (AP-1)'!$C$5="drum mix plant",'Asphalt Plant (AP-1)'!S71,0),IF('Asphalt Plant (AP-2)'!$C$5="drum mix plant",'Asphalt Plant (AP-2)'!S71,0),IF('Asphalt Plant (AP-3)'!$C$5="drum mix plant",'Asphalt Plant (AP-3)'!S71,0),IF('Asphalt Plant (AP-4)'!$C$5="drum mix plant",'Asphalt Plant (AP-4)'!S71,0),IF('Asphalt Plant (AP-5)'!$C$5="drum mix plant",'Asphalt Plant (AP-5)'!S71,0),IF('Asphalt Plant (AP-6)'!$C$5="drum mix plant",'Asphalt Plant (AP-6)'!S71,0),IF('Asphalt Plant (AP-7)'!$C$5="drum mix plant",'Asphalt Plant (AP-7)'!S71,0),IF('Asphalt Plant (AP-8)'!$C$5="drum mix plant",'Asphalt Plant (AP-8)'!S71,0),IF('Asphalt Plant (AP-9)'!$C$5="drum mix plant",'Asphalt Plant (AP-9)'!S71,0),IF('Asphalt Plant (AP-10)'!$C$5="drum mix plant",'Asphalt Plant (AP-10)'!S71,0)))</f>
        <v/>
      </c>
      <c r="M114" s="115" t="str">
        <f>IF(B114="","",SUM(IF('Asphalt Plant (AP-1)'!$C$5="drum mix plant",'Asphalt Plant (AP-1)'!T71,0),IF('Asphalt Plant (AP-2)'!$C$5="drum mix plant",'Asphalt Plant (AP-2)'!T71,0),IF('Asphalt Plant (AP-3)'!$C$5="drum mix plant",'Asphalt Plant (AP-3)'!T71,0),IF('Asphalt Plant (AP-4)'!$C$5="drum mix plant",'Asphalt Plant (AP-4)'!T71,0),IF('Asphalt Plant (AP-5)'!$C$5="drum mix plant",'Asphalt Plant (AP-5)'!T71,0),IF('Asphalt Plant (AP-6)'!$C$5="drum mix plant",'Asphalt Plant (AP-6)'!T71,0),IF('Asphalt Plant (AP-7)'!$C$5="drum mix plant",'Asphalt Plant (AP-7)'!T71,0),IF('Asphalt Plant (AP-8)'!$C$5="drum mix plant",'Asphalt Plant (AP-8)'!T71,0),IF('Asphalt Plant (AP-9)'!$C$5="drum mix plant",'Asphalt Plant (AP-9)'!T71,0),IF('Asphalt Plant (AP-10)'!$C$5="drum mix plant",'Asphalt Plant (AP-10)'!T71,0)))</f>
        <v/>
      </c>
    </row>
    <row r="115" spans="1:13" ht="15.75" x14ac:dyDescent="0.25">
      <c r="A115" s="299" t="s">
        <v>217</v>
      </c>
      <c r="B115" s="299"/>
      <c r="C115" s="176"/>
      <c r="D115" s="205"/>
      <c r="E115" s="176"/>
      <c r="F115" s="205"/>
      <c r="G115" s="205"/>
      <c r="H115" s="206"/>
      <c r="I115" s="207"/>
      <c r="J115" s="176"/>
      <c r="K115" s="117"/>
      <c r="L115" s="117"/>
      <c r="M115" s="117"/>
    </row>
    <row r="116" spans="1:13" s="102" customFormat="1" x14ac:dyDescent="0.25">
      <c r="A116"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16"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16" s="180" t="str">
        <f>IF(B116="","","30500258/61")</f>
        <v/>
      </c>
      <c r="D116" s="208" t="str">
        <f>IF(B116="","",SUM(IF('Asphalt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16" s="180" t="str">
        <f>IF(B116="","","tons/hr")</f>
        <v/>
      </c>
      <c r="F116" s="180" t="str">
        <f>IF(B116="","",0.00013)</f>
        <v/>
      </c>
      <c r="G116" s="180" t="str">
        <f>IF(B116="","","lbs/ton")</f>
        <v/>
      </c>
      <c r="H116" s="138" t="str">
        <f>IF(B116="","","AP-42 Table 11.1-4,7,8,10")</f>
        <v/>
      </c>
      <c r="I116" s="115" t="str">
        <f>IF(B116="","",SUM(IF('Asphalt Plant (AP-1)'!$C$5="drum mix plant",'Asphalt Plant (AP-1)'!Q73,0),IF('Asphalt Plant (AP-2)'!$C$5="drum mix plant",'Asphalt Plant (AP-2)'!Q73,0),IF('Asphalt Plant (AP-3)'!$C$5="drum mix plant",'Asphalt Plant (AP-3)'!Q73,0),IF('Asphalt Plant (AP-4)'!$C$5="drum mix plant",'Asphalt Plant (AP-4)'!Q73,0),IF('Asphalt Plant (AP-5)'!$C$5="drum mix plant",'Asphalt Plant (AP-5)'!Q73,0),IF('Asphalt Plant (AP-6)'!$C$5="drum mix plant",'Asphalt Plant (AP-6)'!Q73,0),IF('Asphalt Plant (AP-7)'!$C$5="drum mix plant",'Asphalt Plant (AP-7)'!Q73,0),IF('Asphalt Plant (AP-8)'!$C$5="drum mix plant",'Asphalt Plant (AP-8)'!Q73,0),IF('Asphalt Plant (AP-9)'!$C$5="drum mix plant",'Asphalt Plant (AP-9)'!Q73,0),IF('Asphalt Plant (AP-10)'!$C$5="drum mix plant",'Asphalt Plant (AP-10)'!Q73,0)))</f>
        <v/>
      </c>
      <c r="J116" s="180"/>
      <c r="K116" s="182"/>
      <c r="L116" s="115" t="str">
        <f>IF(B116="","",SUM(IF('Asphalt Plant (AP-1)'!$C$5="drum mix plant",'Asphalt Plant (AP-1)'!S73,0),IF('Asphalt Plant (AP-2)'!$C$5="drum mix plant",'Asphalt Plant (AP-2)'!S73,0),IF('Asphalt Plant (AP-3)'!$C$5="drum mix plant",'Asphalt Plant (AP-3)'!S73,0),IF('Asphalt Plant (AP-4)'!$C$5="drum mix plant",'Asphalt Plant (AP-4)'!S73,0),IF('Asphalt Plant (AP-5)'!$C$5="drum mix plant",'Asphalt Plant (AP-5)'!S73,0),IF('Asphalt Plant (AP-6)'!$C$5="drum mix plant",'Asphalt Plant (AP-6)'!S73,0),IF('Asphalt Plant (AP-7)'!$C$5="drum mix plant",'Asphalt Plant (AP-7)'!S73,0),IF('Asphalt Plant (AP-8)'!$C$5="drum mix plant",'Asphalt Plant (AP-8)'!S73,0),IF('Asphalt Plant (AP-9)'!$C$5="drum mix plant",'Asphalt Plant (AP-9)'!S73,0),IF('Asphalt Plant (AP-10)'!$C$5="drum mix plant",'Asphalt Plant (AP-10)'!S73,0)))</f>
        <v/>
      </c>
      <c r="M116" s="115" t="str">
        <f>IF(B116="","",SUM(IF('Asphalt Plant (AP-1)'!$C$5="drum mix plant",'Asphalt Plant (AP-1)'!T73,0),IF('Asphalt Plant (AP-2)'!$C$5="drum mix plant",'Asphalt Plant (AP-2)'!T73,0),IF('Asphalt Plant (AP-3)'!$C$5="drum mix plant",'Asphalt Plant (AP-3)'!T73,0),IF('Asphalt Plant (AP-4)'!$C$5="drum mix plant",'Asphalt Plant (AP-4)'!T73,0),IF('Asphalt Plant (AP-5)'!$C$5="drum mix plant",'Asphalt Plant (AP-5)'!T73,0),IF('Asphalt Plant (AP-6)'!$C$5="drum mix plant",'Asphalt Plant (AP-6)'!T73,0),IF('Asphalt Plant (AP-7)'!$C$5="drum mix plant",'Asphalt Plant (AP-7)'!T73,0),IF('Asphalt Plant (AP-8)'!$C$5="drum mix plant",'Asphalt Plant (AP-8)'!T73,0),IF('Asphalt Plant (AP-9)'!$C$5="drum mix plant",'Asphalt Plant (AP-9)'!T73,0),IF('Asphalt Plant (AP-10)'!$C$5="drum mix plant",'Asphalt Plant (AP-10)'!T73,0)))</f>
        <v/>
      </c>
    </row>
    <row r="117" spans="1:13" ht="15.75" x14ac:dyDescent="0.25">
      <c r="A117" s="299" t="s">
        <v>218</v>
      </c>
      <c r="B117" s="299"/>
      <c r="C117" s="176"/>
      <c r="D117" s="195"/>
      <c r="E117" s="176"/>
      <c r="F117" s="195"/>
      <c r="G117" s="195"/>
      <c r="H117" s="204" t="str">
        <f>IF(F117="","",LOOKUP(B117,'[1]Emission Factors'!$A$5:$A$10,'[1]Emission Factors'!$D$5:$D$10))</f>
        <v/>
      </c>
      <c r="I117" s="198"/>
      <c r="J117" s="176"/>
      <c r="K117" s="117"/>
      <c r="L117" s="117"/>
      <c r="M117" s="117"/>
    </row>
    <row r="118" spans="1:13" s="187" customFormat="1" x14ac:dyDescent="0.25">
      <c r="A118"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118"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118" s="180" t="str">
        <f>IF(B118="","","30500245/46/47")</f>
        <v>30500245/46/47</v>
      </c>
      <c r="D118" s="180">
        <f ca="1">IF(B118="","",SUM(IF('Asphalt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118" s="180" t="str">
        <f>IF(B118="","","tons/hr")</f>
        <v>tons/hr</v>
      </c>
      <c r="F118" s="180">
        <f>IF(B118="","",0.00027)</f>
        <v>2.7E-4</v>
      </c>
      <c r="G118" s="180" t="str">
        <f>IF(B118="","","lbs/ton")</f>
        <v>lbs/ton</v>
      </c>
      <c r="H118" s="138" t="str">
        <f>IF(B118="","","AP-42 Table 11.1-2,5,6,9")</f>
        <v>AP-42 Table 11.1-2,5,6,9</v>
      </c>
      <c r="I118" s="115">
        <f ca="1">IF(B118="","",SUM(IF('Asphalt Plant (AP-1)'!$C$5="batch mix plant",'Asphalt Plant (AP-1)'!Q75,0),IF('Asphalt Plant (AP-2)'!$C$5="batch mix plant",'Asphalt Plant (AP-2)'!Q75,0),IF('Asphalt Plant (AP-3)'!$C$5="batch mix plant",'Asphalt Plant (AP-3)'!Q75,0),IF('Asphalt Plant (AP-4)'!$C$5="batch mix plant",'Asphalt Plant (AP-4)'!Q75,0),IF('Asphalt Plant (AP-5)'!$C$5="batch mix plant",'Asphalt Plant (AP-5)'!Q75,0),IF('Asphalt Plant (AP-6)'!$C$5="batch mix plant",'Asphalt Plant (AP-6)'!Q75,0),IF('Asphalt Plant (AP-7)'!$C$5="batch mix plant",'Asphalt Plant (AP-7)'!Q75,0),IF('Asphalt Plant (AP-8)'!$C$5="batch mix plant",'Asphalt Plant (AP-8)'!Q75,0),IF('Asphalt Plant (AP-9)'!$C$5="batch mix plant",'Asphalt Plant (AP-9)'!Q75,0),IF('Asphalt Plant (AP-10)'!$C$5="batch mix plant",'Asphalt Plant (AP-10)'!Q75,0)))</f>
        <v>0</v>
      </c>
      <c r="J118" s="191"/>
      <c r="K118" s="115"/>
      <c r="L118" s="115">
        <f ca="1">IF(B118="","",SUM(IF('Asphalt Plant (AP-1)'!$C$5="batch mix plant",'Asphalt Plant (AP-1)'!S75,0),IF('Asphalt Plant (AP-2)'!$C$5="batch mix plant",'Asphalt Plant (AP-2)'!S75,0),IF('Asphalt Plant (AP-3)'!$C$5="batch mix plant",'Asphalt Plant (AP-3)'!S75,0),IF('Asphalt Plant (AP-4)'!$C$5="batch mix plant",'Asphalt Plant (AP-4)'!S75,0),IF('Asphalt Plant (AP-5)'!$C$5="batch mix plant",'Asphalt Plant (AP-5)'!S75,0),IF('Asphalt Plant (AP-6)'!$C$5="batch mix plant",'Asphalt Plant (AP-6)'!S75,0),IF('Asphalt Plant (AP-7)'!$C$5="batch mix plant",'Asphalt Plant (AP-7)'!S75,0),IF('Asphalt Plant (AP-8)'!$C$5="batch mix plant",'Asphalt Plant (AP-8)'!S75,0),IF('Asphalt Plant (AP-9)'!$C$5="batch mix plant",'Asphalt Plant (AP-9)'!S75,0),IF('Asphalt Plant (AP-10)'!$C$5="batch mix plant",'Asphalt Plant (AP-10)'!S75,0)))</f>
        <v>0</v>
      </c>
      <c r="M118" s="115">
        <f ca="1">IF(B118="","",SUM(IF('Asphalt Plant (AP-1)'!$C$5="batch mix plant",'Asphalt Plant (AP-1)'!T75,0),IF('Asphalt Plant (AP-2)'!$C$5="batch mix plant",'Asphalt Plant (AP-2)'!T75,0),IF('Asphalt Plant (AP-3)'!$C$5="batch mix plant",'Asphalt Plant (AP-3)'!T75,0),IF('Asphalt Plant (AP-4)'!$C$5="batch mix plant",'Asphalt Plant (AP-4)'!T75,0),IF('Asphalt Plant (AP-5)'!$C$5="batch mix plant",'Asphalt Plant (AP-5)'!T75,0),IF('Asphalt Plant (AP-6)'!$C$5="batch mix plant",'Asphalt Plant (AP-6)'!T75,0),IF('Asphalt Plant (AP-7)'!$C$5="batch mix plant",'Asphalt Plant (AP-7)'!T75,0),IF('Asphalt Plant (AP-8)'!$C$5="batch mix plant",'Asphalt Plant (AP-8)'!T75,0),IF('Asphalt Plant (AP-9)'!$C$5="batch mix plant",'Asphalt Plant (AP-9)'!T75,0),IF('Asphalt Plant (AP-10)'!$C$5="batch mix plant",'Asphalt Plant (AP-10)'!T75,0)))</f>
        <v>0</v>
      </c>
    </row>
    <row r="119" spans="1:13" s="187" customFormat="1" x14ac:dyDescent="0.25">
      <c r="A11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1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19" s="180" t="str">
        <f>IF(B119="","","30500258/61")</f>
        <v/>
      </c>
      <c r="D119" s="180" t="str">
        <f>IF(B119="","",SUM(IF('Asphalt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19" s="180" t="str">
        <f>IF(B119="","","tons/hr")</f>
        <v/>
      </c>
      <c r="F119" s="180" t="str">
        <f>IF(B119="","",0.00016)</f>
        <v/>
      </c>
      <c r="G119" s="180" t="str">
        <f>IF(B119="","","lbs/ton")</f>
        <v/>
      </c>
      <c r="H119" s="138" t="str">
        <f>IF(B119="","","AP-42 Table 11.1-4,7,8,10")</f>
        <v/>
      </c>
      <c r="I119" s="115" t="str">
        <f>IF(B119="","",SUM(IF('Asphalt Plant (AP-1)'!$C$5="drum mix plant",'Asphalt Plant (AP-1)'!Q75,0),IF('Asphalt Plant (AP-2)'!$C$5="drum mix plant",'Asphalt Plant (AP-2)'!Q75,0),IF('Asphalt Plant (AP-3)'!$C$5="drum mix plant",'Asphalt Plant (AP-3)'!Q75,0),IF('Asphalt Plant (AP-4)'!$C$5="drum mix plant",'Asphalt Plant (AP-4)'!Q75,0),IF('Asphalt Plant (AP-5)'!$C$5="drum mix plant",'Asphalt Plant (AP-5)'!Q75,0),IF('Asphalt Plant (AP-6)'!$C$5="drum mix plant",'Asphalt Plant (AP-6)'!Q75,0),IF('Asphalt Plant (AP-7)'!$C$5="drum mix plant",'Asphalt Plant (AP-7)'!Q75,0),IF('Asphalt Plant (AP-8)'!$C$5="drum mix plant",'Asphalt Plant (AP-8)'!Q75,0),IF('Asphalt Plant (AP-9)'!$C$5="drum mix plant",'Asphalt Plant (AP-9)'!Q75,0),IF('Asphalt Plant (AP-10)'!$C$5="drum mix plant",'Asphalt Plant (AP-10)'!Q75,0)))</f>
        <v/>
      </c>
      <c r="J119" s="191"/>
      <c r="K119" s="115"/>
      <c r="L119" s="115" t="str">
        <f>IF(B119="","",SUM(IF('Asphalt Plant (AP-1)'!$C$5="drum mix plant",'Asphalt Plant (AP-1)'!S75,0),IF('Asphalt Plant (AP-2)'!$C$5="drum mix plant",'Asphalt Plant (AP-2)'!S75,0),IF('Asphalt Plant (AP-3)'!$C$5="drum mix plant",'Asphalt Plant (AP-3)'!S75,0),IF('Asphalt Plant (AP-4)'!$C$5="drum mix plant",'Asphalt Plant (AP-4)'!S75,0),IF('Asphalt Plant (AP-5)'!$C$5="drum mix plant",'Asphalt Plant (AP-5)'!S75,0),IF('Asphalt Plant (AP-6)'!$C$5="drum mix plant",'Asphalt Plant (AP-6)'!S75,0),IF('Asphalt Plant (AP-7)'!$C$5="drum mix plant",'Asphalt Plant (AP-7)'!S75,0),IF('Asphalt Plant (AP-8)'!$C$5="drum mix plant",'Asphalt Plant (AP-8)'!S75,0),IF('Asphalt Plant (AP-9)'!$C$5="drum mix plant",'Asphalt Plant (AP-9)'!S75,0),IF('Asphalt Plant (AP-10)'!$C$5="drum mix plant",'Asphalt Plant (AP-10)'!S75,0)))</f>
        <v/>
      </c>
      <c r="M119" s="115" t="str">
        <f>IF(B119="","",SUM(IF('Asphalt Plant (AP-1)'!$C$5="drum mix plant",'Asphalt Plant (AP-1)'!T75,0),IF('Asphalt Plant (AP-2)'!$C$5="drum mix plant",'Asphalt Plant (AP-2)'!T75,0),IF('Asphalt Plant (AP-3)'!$C$5="drum mix plant",'Asphalt Plant (AP-3)'!T75,0),IF('Asphalt Plant (AP-4)'!$C$5="drum mix plant",'Asphalt Plant (AP-4)'!T75,0),IF('Asphalt Plant (AP-5)'!$C$5="drum mix plant",'Asphalt Plant (AP-5)'!T75,0),IF('Asphalt Plant (AP-6)'!$C$5="drum mix plant",'Asphalt Plant (AP-6)'!T75,0),IF('Asphalt Plant (AP-7)'!$C$5="drum mix plant",'Asphalt Plant (AP-7)'!T75,0),IF('Asphalt Plant (AP-8)'!$C$5="drum mix plant",'Asphalt Plant (AP-8)'!T75,0),IF('Asphalt Plant (AP-9)'!$C$5="drum mix plant",'Asphalt Plant (AP-9)'!T75,0),IF('Asphalt Plant (AP-10)'!$C$5="drum mix plant",'Asphalt Plant (AP-10)'!T75,0)))</f>
        <v/>
      </c>
    </row>
    <row r="120" spans="1:13" ht="15.75" x14ac:dyDescent="0.25">
      <c r="A120" s="299" t="s">
        <v>219</v>
      </c>
      <c r="B120" s="299"/>
      <c r="C120" s="176"/>
      <c r="D120" s="195"/>
      <c r="E120" s="176"/>
      <c r="F120" s="195"/>
      <c r="G120" s="195"/>
      <c r="H120" s="204" t="str">
        <f>IF(F120="","",LOOKUP(B120,'[1]Emission Factors'!$A$5:$A$10,'[1]Emission Factors'!$D$5:$D$10))</f>
        <v/>
      </c>
      <c r="I120" s="198"/>
      <c r="J120" s="176"/>
      <c r="K120" s="117"/>
      <c r="L120" s="117"/>
      <c r="M120" s="117"/>
    </row>
    <row r="121" spans="1:13" x14ac:dyDescent="0.25">
      <c r="A121"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121"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121" s="180" t="str">
        <f>IF(B121="","","30500245/46/47")</f>
        <v>30500245/46/47</v>
      </c>
      <c r="D121" s="180">
        <f ca="1">IF(B121="","",SUM(IF('Asphalt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121" s="180" t="str">
        <f>IF(B121="","","tons/hr")</f>
        <v>tons/hr</v>
      </c>
      <c r="F121" s="180">
        <f>IF(B121="","",0.001)</f>
        <v>1E-3</v>
      </c>
      <c r="G121" s="180" t="str">
        <f>IF(B121="","","lbs/ton")</f>
        <v>lbs/ton</v>
      </c>
      <c r="H121" s="138" t="str">
        <f>IF(B121="","","AP-42 Table 11.1-2,5,6,9")</f>
        <v>AP-42 Table 11.1-2,5,6,9</v>
      </c>
      <c r="I121" s="115">
        <f ca="1">IF(B121="","",SUM(IF('Asphalt Plant (AP-1)'!$C$5="batch mix plant",SUM('Asphalt Plant (AP-1)'!Q77:Q79,0),IF('Asphalt Plant (AP-2)'!$C$5="batch mix plant",SUM('Asphalt Plant (AP-1)'!Q77:Q79,0),IF('Asphalt Plant (AP-3)'!$C$5="batch mix plant",SUM('Asphalt Plant (AP-1)'!Q77:Q79,0),IF('Asphalt Plant (AP-4)'!$C$5="batch mix plant",SUM('Asphalt Plant (AP-1)'!Q77:Q79,0),IF('Asphalt Plant (AP-5)'!$C$5="batch mix plant",SUM('Asphalt Plant (AP-1)'!Q77:Q79,0),IF('Asphalt Plant (AP-6)'!$C$5="batch mix plant",SUM('Asphalt Plant (AP-1)'!Q77:Q79,0),IF('Asphalt Plant (AP-7)'!$C$5="batch mix plant",SUM('Asphalt Plant (AP-1)'!Q77:Q79,0),IF('Asphalt Plant (AP-8)'!$C$5="batch mix plant",SUM('Asphalt Plant (AP-1)'!Q77:Q79,0),IF('Asphalt Plant (AP-9)'!$C$5="batch mix plant",SUM('Asphalt Plant (AP-1)'!Q77:Q79,0),IF('Asphalt Plant (AP-10)'!$C$5="batch mix plant",SUM('Asphalt Plant (AP-1)'!Q77:Q79,0)))))))))))))</f>
        <v>0</v>
      </c>
      <c r="J121" s="115"/>
      <c r="K121" s="192"/>
      <c r="L121" s="115">
        <f ca="1">IF(B121="","",SUM(IF('Asphalt Plant (AP-1)'!$C$5="batch mix plant",SUM('Asphalt Plant (AP-1)'!S77:S79,0),IF('Asphalt Plant (AP-2)'!$C$5="batch mix plant",SUM('Asphalt Plant (AP-1)'!S77:S79,0),IF('Asphalt Plant (AP-3)'!$C$5="batch mix plant",SUM('Asphalt Plant (AP-1)'!S77:S79,0),IF('Asphalt Plant (AP-4)'!$C$5="batch mix plant",SUM('Asphalt Plant (AP-1)'!S77:S79,0),IF('Asphalt Plant (AP-5)'!$C$5="batch mix plant",SUM('Asphalt Plant (AP-1)'!S77:S79,0),IF('Asphalt Plant (AP-6)'!$C$5="batch mix plant",SUM('Asphalt Plant (AP-1)'!S77:S79,0),IF('Asphalt Plant (AP-7)'!$C$5="batch mix plant",SUM('Asphalt Plant (AP-1)'!S77:S79,0),IF('Asphalt Plant (AP-8)'!$C$5="batch mix plant",SUM('Asphalt Plant (AP-1)'!S77:S79,0),IF('Asphalt Plant (AP-9)'!$C$5="batch mix plant",SUM('Asphalt Plant (AP-1)'!S77:S79,0),IF('Asphalt Plant (AP-10)'!$C$5="batch mix plant",SUM('Asphalt Plant (AP-1)'!S77:S79,0)))))))))))))</f>
        <v>0</v>
      </c>
      <c r="M121" s="115">
        <f ca="1">IF(B121="","",SUM(IF('Asphalt Plant (AP-1)'!$C$5="batch mix plant",SUM('Asphalt Plant (AP-1)'!T77:T79,0),IF('Asphalt Plant (AP-2)'!$C$5="batch mix plant",SUM('Asphalt Plant (AP-1)'!T77:T79,0),IF('Asphalt Plant (AP-3)'!$C$5="batch mix plant",SUM('Asphalt Plant (AP-1)'!T77:T79,0),IF('Asphalt Plant (AP-4)'!$C$5="batch mix plant",SUM('Asphalt Plant (AP-1)'!T77:T79,0),IF('Asphalt Plant (AP-5)'!$C$5="batch mix plant",SUM('Asphalt Plant (AP-1)'!T77:T79,0),IF('Asphalt Plant (AP-6)'!$C$5="batch mix plant",SUM('Asphalt Plant (AP-1)'!T77:T79,0),IF('Asphalt Plant (AP-7)'!$C$5="batch mix plant",SUM('Asphalt Plant (AP-1)'!T77:T79,0),IF('Asphalt Plant (AP-8)'!$C$5="batch mix plant",SUM('Asphalt Plant (AP-1)'!T77:T79,0),IF('Asphalt Plant (AP-9)'!$C$5="batch mix plant",SUM('Asphalt Plant (AP-1)'!T77:T79,0),IF('Asphalt Plant (AP-10)'!$C$5="batch mix plant",SUM('Asphalt Plant (AP-1)'!T77:T79,0)))))))))))))</f>
        <v>0</v>
      </c>
    </row>
    <row r="122" spans="1:13" s="194" customFormat="1" ht="14.25" customHeight="1" x14ac:dyDescent="0.25">
      <c r="A122" s="30" t="str">
        <f>IF(D122="","","ALL")</f>
        <v/>
      </c>
      <c r="B122" s="135" t="str">
        <f>IF(D122="","","Drum Mix Plant - Fuel Oil")</f>
        <v/>
      </c>
      <c r="C122" s="30" t="str">
        <f>IF(B122="","","30500258")</f>
        <v/>
      </c>
      <c r="D122" s="18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122" s="180" t="str">
        <f>IF(B122="","","tons/hr")</f>
        <v/>
      </c>
      <c r="F122" s="180" t="str">
        <f>IF(B122="","",0.0029)</f>
        <v/>
      </c>
      <c r="G122" s="100" t="str">
        <f>IF(B122="","","lb/ton")</f>
        <v/>
      </c>
      <c r="H122" s="138" t="str">
        <f>IF(B122="","","AP-42 Table 11.1-4,7,8,10")</f>
        <v/>
      </c>
      <c r="I122" s="115" t="str">
        <f>IF(B122="","",SUM(IF('Asphalt Plant (AP-1)'!$C$5="drum mix plant",'Asphalt Plant (AP-1)'!Q77,0),IF('Asphalt Plant (AP-2)'!$C$5="drum mix plant",'Asphalt Plant (AP-2)'!Q77,0),IF('Asphalt Plant (AP-3)'!$C$5="drum mix plant",'Asphalt Plant (AP-3)'!Q77,0),IF('Asphalt Plant (AP-4)'!$C$5="drum mix plant",'Asphalt Plant (AP-4)'!Q77,0),IF('Asphalt Plant (AP-5)'!$C$5="drum mix plant",'Asphalt Plant (AP-5)'!Q77,0),IF('Asphalt Plant (AP-6)'!$C$5="drum mix plant",'Asphalt Plant (AP-6)'!Q77,0),IF('Asphalt Plant (AP-7)'!$C$5="drum mix plant",'Asphalt Plant (AP-7)'!Q77,0),IF('Asphalt Plant (AP-8)'!$C$5="drum mix plant",'Asphalt Plant (AP-8)'!Q77,0),IF('Asphalt Plant (AP-9)'!$C$5="drum mix plant",'Asphalt Plant (AP-9)'!Q77,0),IF('Asphalt Plant (AP-10)'!$C$5="drum mix plant",'Asphalt Plant (AP-10)'!Q77,0)))</f>
        <v/>
      </c>
      <c r="J122" s="115"/>
      <c r="K122" s="193"/>
      <c r="L122" s="115" t="str">
        <f>IF(B122="","",SUM(IF('Asphalt Plant (AP-1)'!$C$5="drum mix plant",'Asphalt Plant (AP-1)'!S77,0),IF('Asphalt Plant (AP-2)'!$C$5="drum mix plant",'Asphalt Plant (AP-2)'!S77,0),IF('Asphalt Plant (AP-3)'!$C$5="drum mix plant",'Asphalt Plant (AP-3)'!S77,0),IF('Asphalt Plant (AP-4)'!$C$5="drum mix plant",'Asphalt Plant (AP-4)'!S77,0),IF('Asphalt Plant (AP-5)'!$C$5="drum mix plant",'Asphalt Plant (AP-5)'!S77,0),IF('Asphalt Plant (AP-6)'!$C$5="drum mix plant",'Asphalt Plant (AP-6)'!S77,0),IF('Asphalt Plant (AP-7)'!$C$5="drum mix plant",'Asphalt Plant (AP-7)'!S77,0),IF('Asphalt Plant (AP-8)'!$C$5="drum mix plant",'Asphalt Plant (AP-8)'!S77,0),IF('Asphalt Plant (AP-9)'!$C$5="drum mix plant",'Asphalt Plant (AP-9)'!S77,0),IF('Asphalt Plant (AP-10)'!$C$5="drum mix plant",'Asphalt Plant (AP-10)'!S77,0)))</f>
        <v/>
      </c>
      <c r="M122" s="115" t="str">
        <f>IF(B122="","",SUM(IF('Asphalt Plant (AP-1)'!$C$5="drum mix plant",'Asphalt Plant (AP-1)'!T77,0),IF('Asphalt Plant (AP-2)'!$C$5="drum mix plant",'Asphalt Plant (AP-2)'!T77,0),IF('Asphalt Plant (AP-3)'!$C$5="drum mix plant",'Asphalt Plant (AP-3)'!T77,0),IF('Asphalt Plant (AP-4)'!$C$5="drum mix plant",'Asphalt Plant (AP-4)'!T77,0),IF('Asphalt Plant (AP-5)'!$C$5="drum mix plant",'Asphalt Plant (AP-5)'!T77,0),IF('Asphalt Plant (AP-6)'!$C$5="drum mix plant",'Asphalt Plant (AP-6)'!T77,0),IF('Asphalt Plant (AP-7)'!$C$5="drum mix plant",'Asphalt Plant (AP-7)'!T77,0),IF('Asphalt Plant (AP-8)'!$C$5="drum mix plant",'Asphalt Plant (AP-8)'!T77,0),IF('Asphalt Plant (AP-9)'!$C$5="drum mix plant",'Asphalt Plant (AP-9)'!T77,0),IF('Asphalt Plant (AP-10)'!$C$5="drum mix plant",'Asphalt Plant (AP-10)'!T77,0)))</f>
        <v/>
      </c>
    </row>
    <row r="123" spans="1:13" s="194" customFormat="1" ht="14.25" customHeight="1" x14ac:dyDescent="0.25">
      <c r="A123" s="30" t="str">
        <f>IF(D123="","","ALL")</f>
        <v/>
      </c>
      <c r="B123" s="135" t="str">
        <f>IF(D123="","","Drum Mix Plant - Waste Oil")</f>
        <v/>
      </c>
      <c r="C123" s="30" t="str">
        <f>IF(B123="","","30500255")</f>
        <v/>
      </c>
      <c r="D123" s="18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123" s="180" t="str">
        <f>IF(B123="","","tons/hr")</f>
        <v/>
      </c>
      <c r="F123" s="180" t="str">
        <f>IF(B123="","",0.0029)</f>
        <v/>
      </c>
      <c r="G123" s="100" t="str">
        <f>IF(B123="","","lb/ton")</f>
        <v/>
      </c>
      <c r="H123" s="138" t="str">
        <f>IF(B123="","","AP-42 Table 11.1-4,7,8,10")</f>
        <v/>
      </c>
      <c r="I123" s="115" t="str">
        <f>IF(B123="","",SUM(IF('Asphalt Plant (AP-1)'!$C$5="drum mix plant",'Asphalt Plant (AP-1)'!Q78,0),IF('Asphalt Plant (AP-2)'!$C$5="drum mix plant",'Asphalt Plant (AP-2)'!Q78,0),IF('Asphalt Plant (AP-3)'!$C$5="drum mix plant",'Asphalt Plant (AP-3)'!Q78,0),IF('Asphalt Plant (AP-4)'!$C$5="drum mix plant",'Asphalt Plant (AP-4)'!Q78,0),IF('Asphalt Plant (AP-5)'!$C$5="drum mix plant",'Asphalt Plant (AP-5)'!Q78,0),IF('Asphalt Plant (AP-6)'!$C$5="drum mix plant",'Asphalt Plant (AP-6)'!Q78,0),IF('Asphalt Plant (AP-7)'!$C$5="drum mix plant",'Asphalt Plant (AP-7)'!Q78,0),IF('Asphalt Plant (AP-8)'!$C$5="drum mix plant",'Asphalt Plant (AP-8)'!Q78,0),IF('Asphalt Plant (AP-9)'!$C$5="drum mix plant",'Asphalt Plant (AP-9)'!Q78,0),IF('Asphalt Plant (AP-10)'!$C$5="drum mix plant",'Asphalt Plant (AP-10)'!Q78,0)))</f>
        <v/>
      </c>
      <c r="J123" s="115"/>
      <c r="K123" s="193"/>
      <c r="L123" s="115" t="str">
        <f>IF(B123="","",SUM(IF('Asphalt Plant (AP-1)'!$C$5="drum mix plant",'Asphalt Plant (AP-1)'!S78,0),IF('Asphalt Plant (AP-2)'!$C$5="drum mix plant",'Asphalt Plant (AP-2)'!S78,0),IF('Asphalt Plant (AP-3)'!$C$5="drum mix plant",'Asphalt Plant (AP-3)'!S78,0),IF('Asphalt Plant (AP-4)'!$C$5="drum mix plant",'Asphalt Plant (AP-4)'!S78,0),IF('Asphalt Plant (AP-5)'!$C$5="drum mix plant",'Asphalt Plant (AP-5)'!S78,0),IF('Asphalt Plant (AP-6)'!$C$5="drum mix plant",'Asphalt Plant (AP-6)'!S78,0),IF('Asphalt Plant (AP-7)'!$C$5="drum mix plant",'Asphalt Plant (AP-7)'!S78,0),IF('Asphalt Plant (AP-8)'!$C$5="drum mix plant",'Asphalt Plant (AP-8)'!S78,0),IF('Asphalt Plant (AP-9)'!$C$5="drum mix plant",'Asphalt Plant (AP-9)'!S78,0),IF('Asphalt Plant (AP-10)'!$C$5="drum mix plant",'Asphalt Plant (AP-10)'!S78,0)))</f>
        <v/>
      </c>
      <c r="M123" s="115" t="str">
        <f>IF(B123="","",SUM(IF('Asphalt Plant (AP-1)'!$C$5="drum mix plant",'Asphalt Plant (AP-1)'!T78,0),IF('Asphalt Plant (AP-2)'!$C$5="drum mix plant",'Asphalt Plant (AP-2)'!T78,0),IF('Asphalt Plant (AP-3)'!$C$5="drum mix plant",'Asphalt Plant (AP-3)'!T78,0),IF('Asphalt Plant (AP-4)'!$C$5="drum mix plant",'Asphalt Plant (AP-4)'!T78,0),IF('Asphalt Plant (AP-5)'!$C$5="drum mix plant",'Asphalt Plant (AP-5)'!T78,0),IF('Asphalt Plant (AP-6)'!$C$5="drum mix plant",'Asphalt Plant (AP-6)'!T78,0),IF('Asphalt Plant (AP-7)'!$C$5="drum mix plant",'Asphalt Plant (AP-7)'!T78,0),IF('Asphalt Plant (AP-8)'!$C$5="drum mix plant",'Asphalt Plant (AP-8)'!T78,0),IF('Asphalt Plant (AP-9)'!$C$5="drum mix plant",'Asphalt Plant (AP-9)'!T78,0),IF('Asphalt Plant (AP-10)'!$C$5="drum mix plant",'Asphalt Plant (AP-10)'!T78,0)))</f>
        <v/>
      </c>
    </row>
    <row r="124" spans="1:13" s="194" customFormat="1" ht="14.25" customHeight="1" x14ac:dyDescent="0.25">
      <c r="A124" s="30" t="str">
        <f>IF(D124="","","ALL")</f>
        <v/>
      </c>
      <c r="B124" s="135" t="str">
        <f>IF(D124="","","Drum Mix Plant - Natural Gas")</f>
        <v/>
      </c>
      <c r="C124" s="30" t="str">
        <f>IF(B124="","","30500261")</f>
        <v/>
      </c>
      <c r="D124" s="18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124" s="180" t="str">
        <f>IF(B124="","","tons/hr")</f>
        <v/>
      </c>
      <c r="F124" s="180" t="str">
        <f>IF(B124="","",0.00015)</f>
        <v/>
      </c>
      <c r="G124" s="100" t="str">
        <f>IF(B124="","","lb/ton")</f>
        <v/>
      </c>
      <c r="H124" s="138" t="str">
        <f>IF(B124="","","AP-42 Table 11.1-4,7,8,10,12")</f>
        <v/>
      </c>
      <c r="I124" s="115" t="str">
        <f>IF(B124="","",SUM(IF('Asphalt Plant (AP-1)'!$C$5="drum mix plant",'Asphalt Plant (AP-1)'!Q79,0),IF('Asphalt Plant (AP-2)'!$C$5="drum mix plant",'Asphalt Plant (AP-2)'!Q79,0),IF('Asphalt Plant (AP-3)'!$C$5="drum mix plant",'Asphalt Plant (AP-3)'!Q79,0),IF('Asphalt Plant (AP-4)'!$C$5="drum mix plant",'Asphalt Plant (AP-4)'!Q79,0),IF('Asphalt Plant (AP-5)'!$C$5="drum mix plant",'Asphalt Plant (AP-5)'!Q79,0),IF('Asphalt Plant (AP-6)'!$C$5="drum mix plant",'Asphalt Plant (AP-6)'!Q79,0),IF('Asphalt Plant (AP-7)'!$C$5="drum mix plant",'Asphalt Plant (AP-7)'!Q79,0),IF('Asphalt Plant (AP-8)'!$C$5="drum mix plant",'Asphalt Plant (AP-8)'!Q79,0),IF('Asphalt Plant (AP-9)'!$C$5="drum mix plant",'Asphalt Plant (AP-9)'!Q79,0),IF('Asphalt Plant (AP-10)'!$C$5="drum mix plant",'Asphalt Plant (AP-10)'!Q79,0)))</f>
        <v/>
      </c>
      <c r="J124" s="115"/>
      <c r="K124" s="193"/>
      <c r="L124" s="115" t="str">
        <f>IF(B124="","",SUM(IF('Asphalt Plant (AP-1)'!$C$5="drum mix plant",'Asphalt Plant (AP-1)'!S79,0),IF('Asphalt Plant (AP-2)'!$C$5="drum mix plant",'Asphalt Plant (AP-2)'!S79,0),IF('Asphalt Plant (AP-3)'!$C$5="drum mix plant",'Asphalt Plant (AP-3)'!S79,0),IF('Asphalt Plant (AP-4)'!$C$5="drum mix plant",'Asphalt Plant (AP-4)'!S79,0),IF('Asphalt Plant (AP-5)'!$C$5="drum mix plant",'Asphalt Plant (AP-5)'!S79,0),IF('Asphalt Plant (AP-6)'!$C$5="drum mix plant",'Asphalt Plant (AP-6)'!S79,0),IF('Asphalt Plant (AP-7)'!$C$5="drum mix plant",'Asphalt Plant (AP-7)'!S79,0),IF('Asphalt Plant (AP-8)'!$C$5="drum mix plant",'Asphalt Plant (AP-8)'!S79,0),IF('Asphalt Plant (AP-9)'!$C$5="drum mix plant",'Asphalt Plant (AP-9)'!S79,0),IF('Asphalt Plant (AP-10)'!$C$5="drum mix plant",'Asphalt Plant (AP-10)'!S79,0)))</f>
        <v/>
      </c>
      <c r="M124" s="115" t="str">
        <f>IF(B124="","",SUM(IF('Asphalt Plant (AP-1)'!$C$5="drum mix plant",'Asphalt Plant (AP-1)'!T79,0),IF('Asphalt Plant (AP-2)'!$C$5="drum mix plant",'Asphalt Plant (AP-2)'!T79,0),IF('Asphalt Plant (AP-3)'!$C$5="drum mix plant",'Asphalt Plant (AP-3)'!T79,0),IF('Asphalt Plant (AP-4)'!$C$5="drum mix plant",'Asphalt Plant (AP-4)'!T79,0),IF('Asphalt Plant (AP-5)'!$C$5="drum mix plant",'Asphalt Plant (AP-5)'!T79,0),IF('Asphalt Plant (AP-6)'!$C$5="drum mix plant",'Asphalt Plant (AP-6)'!T79,0),IF('Asphalt Plant (AP-7)'!$C$5="drum mix plant",'Asphalt Plant (AP-7)'!T79,0),IF('Asphalt Plant (AP-8)'!$C$5="drum mix plant",'Asphalt Plant (AP-8)'!T79,0),IF('Asphalt Plant (AP-9)'!$C$5="drum mix plant",'Asphalt Plant (AP-9)'!T79,0),IF('Asphalt Plant (AP-10)'!$C$5="drum mix plant",'Asphalt Plant (AP-10)'!T79,0)))</f>
        <v/>
      </c>
    </row>
    <row r="125" spans="1:13" ht="15.75" x14ac:dyDescent="0.25">
      <c r="A125" s="299" t="s">
        <v>220</v>
      </c>
      <c r="B125" s="299"/>
      <c r="C125" s="176"/>
      <c r="D125" s="195"/>
      <c r="E125" s="176"/>
      <c r="F125" s="195"/>
      <c r="G125" s="195"/>
      <c r="H125" s="204" t="str">
        <f>IF(F125="","",LOOKUP(B125,'[1]Emission Factors'!$A$5:$A$10,'[1]Emission Factors'!$D$5:$D$10))</f>
        <v/>
      </c>
      <c r="I125" s="198"/>
      <c r="J125" s="176"/>
      <c r="K125" s="117"/>
      <c r="L125" s="117"/>
      <c r="M125" s="117"/>
    </row>
    <row r="126" spans="1:13" x14ac:dyDescent="0.25">
      <c r="A126"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plant"),"ALL","")</f>
        <v>ALL</v>
      </c>
      <c r="B126" s="135" t="str">
        <f>IF(OR('Asphalt Plant (AP-1)'!$C$5="batch mix plant",'Asphalt Plant (AP-2)'!$C$5="batch mix plant",'Asphalt Plant (AP-3)'!$C$5="batch mix plant",'Asphalt Plant (AP-4)'!$C$5="batch mix plant",'Asphalt Plant (AP-5)'!$C$5="batch mix plant",'Asphalt Plant (AP-6)'!$C$5="batch mix plant",'Asphalt Plant (AP-7)'!$C$5="batch mix plant",'Asphalt Plant (AP-8)'!$C$5="batch mix plant",'Asphalt Plant (AP-9)'!$C$5="batch mix plant",'Asphalt Plant (AP-10)'!$C$5="batch mix plant"),"Batch Mix Plant","")</f>
        <v>Batch Mix Plant</v>
      </c>
      <c r="C126" s="180" t="str">
        <f>IF(B126="","","30500245/46/47")</f>
        <v>30500245/46/47</v>
      </c>
      <c r="D126" s="180">
        <f ca="1">IF(B126="","",SUM(IF('Asphalt Plant (AP-1)'!C5="batch mix plant",SUM('Asphalt Plant (AP-1)'!N5:N7),0),IF('Asphalt Plant (AP-2)'!C5="batch mix plant",SUM('Asphalt Plant (AP-2)'!N5:N7),0),IF('Asphalt Plant (AP-3)'!C5="batch mix plant",SUM('Asphalt Plant (AP-3)'!N5:N7),0),IF('Asphalt Plant (AP-4)'!C5="batch mix plant",SUM('Asphalt Plant (AP-4)'!N5:N7),0),IF('Asphalt Plant (AP-5)'!C5="batch mix plant",SUM('Asphalt Plant (AP-5)'!N5:N7),0),IF('Asphalt Plant (AP-6)'!C5="batch mix plant",SUM('Asphalt Plant (AP-6)'!N5:N7),0),IF('Asphalt Plant (AP-7)'!C5="batch mix plant",SUM('Asphalt Plant (AP-7)'!N5:N7),0),IF('Asphalt Plant (AP-8)'!C5="batch mix plant",SUM('Asphalt Plant (AP-8)'!N5:N7),0),IF('Asphalt Plant (AP-9)'!C5="batch mix plant",SUM('Asphalt Plant (AP-9)'!N5:N7),0),IF('Asphalt Plant (AP-10)'!C5="batch mix plant",SUM('Asphalt Plant (AP-10)'!N5:N7),0)))</f>
        <v>0</v>
      </c>
      <c r="E126" s="180" t="str">
        <f>IF(B126="","","tons/hr")</f>
        <v>tons/hr</v>
      </c>
      <c r="F126" s="180">
        <f>IF(B126="","",0.0027)</f>
        <v>2.7000000000000001E-3</v>
      </c>
      <c r="G126" s="180" t="str">
        <f>IF(B126="","","lbs/ton")</f>
        <v>lbs/ton</v>
      </c>
      <c r="H126" s="138" t="str">
        <f>IF(B126="","","AP-42 Table 11.1-2,5,6,9")</f>
        <v>AP-42 Table 11.1-2,5,6,9</v>
      </c>
      <c r="I126" s="115">
        <f ca="1">IF(B126="","",SUM(IF('Asphalt Plant (AP-1)'!$C$5="batch mix plant",'Asphalt Plant (AP-1)'!Q81,0),IF('Asphalt Plant (AP-2)'!$C$5="batch mix plant",'Asphalt Plant (AP-2)'!Q81,0),IF('Asphalt Plant (AP-3)'!$C$5="batch mix plant",'Asphalt Plant (AP-3)'!Q81,0),IF('Asphalt Plant (AP-4)'!$C$5="batch mix plant",'Asphalt Plant (AP-4)'!Q81,0),IF('Asphalt Plant (AP-5)'!$C$5="batch mix plant",'Asphalt Plant (AP-5)'!Q81,0),IF('Asphalt Plant (AP-6)'!$C$5="batch mix plant",'Asphalt Plant (AP-6)'!Q81,0),IF('Asphalt Plant (AP-7)'!$C$5="batch mix plant",'Asphalt Plant (AP-7)'!Q81,0),IF('Asphalt Plant (AP-8)'!$C$5="batch mix plant",'Asphalt Plant (AP-8)'!Q81,0),IF('Asphalt Plant (AP-9)'!$C$5="batch mix plant",'Asphalt Plant (AP-9)'!Q81,0),IF('Asphalt Plant (AP-10)'!$C$5="batch mix plant",'Asphalt Plant (AP-10)'!Q81,0)))</f>
        <v>0</v>
      </c>
      <c r="J126" s="115"/>
      <c r="K126" s="136"/>
      <c r="L126" s="115">
        <f ca="1">IF(B126="","",SUM(IF('Asphalt Plant (AP-1)'!$C$5="batch mix plant",'Asphalt Plant (AP-1)'!S81,0),IF('Asphalt Plant (AP-2)'!$C$5="batch mix plant",'Asphalt Plant (AP-2)'!S81,0),IF('Asphalt Plant (AP-3)'!$C$5="batch mix plant",'Asphalt Plant (AP-3)'!S81,0),IF('Asphalt Plant (AP-4)'!$C$5="batch mix plant",'Asphalt Plant (AP-4)'!S81,0),IF('Asphalt Plant (AP-5)'!$C$5="batch mix plant",'Asphalt Plant (AP-5)'!S81,0),IF('Asphalt Plant (AP-6)'!$C$5="batch mix plant",'Asphalt Plant (AP-6)'!S81,0),IF('Asphalt Plant (AP-7)'!$C$5="batch mix plant",'Asphalt Plant (AP-7)'!S81,0),IF('Asphalt Plant (AP-8)'!$C$5="batch mix plant",'Asphalt Plant (AP-8)'!S81,0),IF('Asphalt Plant (AP-9)'!$C$5="batch mix plant",'Asphalt Plant (AP-9)'!S81,0),IF('Asphalt Plant (AP-10)'!$C$5="batch mix plant",'Asphalt Plant (AP-10)'!S81,0)))</f>
        <v>0</v>
      </c>
      <c r="M126" s="115">
        <f ca="1">IF(B126="","",SUM(IF('Asphalt Plant (AP-1)'!$C$5="batch mix plant",'Asphalt Plant (AP-1)'!T81,0),IF('Asphalt Plant (AP-2)'!$C$5="batch mix plant",'Asphalt Plant (AP-2)'!T81,0),IF('Asphalt Plant (AP-3)'!$C$5="batch mix plant",'Asphalt Plant (AP-3)'!T81,0),IF('Asphalt Plant (AP-4)'!$C$5="batch mix plant",'Asphalt Plant (AP-4)'!T81,0),IF('Asphalt Plant (AP-5)'!$C$5="batch mix plant",'Asphalt Plant (AP-5)'!T81,0),IF('Asphalt Plant (AP-6)'!$C$5="batch mix plant",'Asphalt Plant (AP-6)'!T81,0),IF('Asphalt Plant (AP-7)'!$C$5="batch mix plant",'Asphalt Plant (AP-7)'!T81,0),IF('Asphalt Plant (AP-8)'!$C$5="batch mix plant",'Asphalt Plant (AP-8)'!T81,0),IF('Asphalt Plant (AP-9)'!$C$5="batch mix plant",'Asphalt Plant (AP-9)'!T81,0),IF('Asphalt Plant (AP-10)'!$C$5="batch mix plant",'Asphalt Plant (AP-10)'!T81,0)))</f>
        <v>0</v>
      </c>
    </row>
    <row r="127" spans="1:13" x14ac:dyDescent="0.25">
      <c r="A127"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27"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27" s="180" t="str">
        <f>IF(B127="","","30500255/58/61")</f>
        <v/>
      </c>
      <c r="D127" s="180" t="str">
        <f>IF(B127="","",SUM(IF('Asphalt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127" s="180" t="str">
        <f>IF(B127="","","tons/hr")</f>
        <v/>
      </c>
      <c r="F127" s="180" t="str">
        <f>IF(B127="","",0.0002)</f>
        <v/>
      </c>
      <c r="G127" s="180" t="str">
        <f>IF(B127="","","lbs/ton")</f>
        <v/>
      </c>
      <c r="H127" s="138" t="str">
        <f>IF(B127="","","AP-42 Table 11.1-4,7,8,10")</f>
        <v/>
      </c>
      <c r="I127" s="115" t="str">
        <f>IF(B127="","",SUM(IF('Asphalt Plant (AP-1)'!$C$5="drum mix plant",'Asphalt Plant (AP-1)'!Q81,0),IF('Asphalt Plant (AP-2)'!$C$5="drum mix plant",'Asphalt Plant (AP-2)'!Q81,0),IF('Asphalt Plant (AP-3)'!$C$5="drum mix plant",'Asphalt Plant (AP-3)'!Q81,0),IF('Asphalt Plant (AP-4)'!$C$5="drum mix plant",'Asphalt Plant (AP-4)'!Q81,0),IF('Asphalt Plant (AP-5)'!$C$5="drum mix plant",'Asphalt Plant (AP-5)'!Q81,0),IF('Asphalt Plant (AP-6)'!$C$5="drum mix plant",'Asphalt Plant (AP-6)'!Q81,0),IF('Asphalt Plant (AP-7)'!$C$5="drum mix plant",'Asphalt Plant (AP-7)'!Q81,0),IF('Asphalt Plant (AP-8)'!$C$5="drum mix plant",'Asphalt Plant (AP-8)'!Q81,0),IF('Asphalt Plant (AP-9)'!$C$5="drum mix plant",'Asphalt Plant (AP-9)'!Q81,0),IF('Asphalt Plant (AP-10)'!$C$5="drum mix plant",'Asphalt Plant (AP-10)'!Q81,0)))</f>
        <v/>
      </c>
      <c r="J127" s="115"/>
      <c r="K127" s="136"/>
      <c r="L127" s="115" t="str">
        <f>IF(B127="","",SUM(IF('Asphalt Plant (AP-1)'!$C$5="drum mix plant",'Asphalt Plant (AP-1)'!S81,0),IF('Asphalt Plant (AP-2)'!$C$5="drum mix plant",'Asphalt Plant (AP-2)'!S81,0),IF('Asphalt Plant (AP-3)'!$C$5="drum mix plant",'Asphalt Plant (AP-3)'!S81,0),IF('Asphalt Plant (AP-4)'!$C$5="drum mix plant",'Asphalt Plant (AP-4)'!S81,0),IF('Asphalt Plant (AP-5)'!$C$5="drum mix plant",'Asphalt Plant (AP-5)'!S81,0),IF('Asphalt Plant (AP-6)'!$C$5="drum mix plant",'Asphalt Plant (AP-6)'!S81,0),IF('Asphalt Plant (AP-7)'!$C$5="drum mix plant",'Asphalt Plant (AP-7)'!S81,0),IF('Asphalt Plant (AP-8)'!$C$5="drum mix plant",'Asphalt Plant (AP-8)'!S81,0),IF('Asphalt Plant (AP-9)'!$C$5="drum mix plant",'Asphalt Plant (AP-9)'!S81,0),IF('Asphalt Plant (AP-10)'!$C$5="drum mix plant",'Asphalt Plant (AP-10)'!S81,0)))</f>
        <v/>
      </c>
      <c r="M127" s="115" t="str">
        <f>IF(B127="","",SUM(IF('Asphalt Plant (AP-1)'!$C$5="drum mix plant",'Asphalt Plant (AP-1)'!T81,0),IF('Asphalt Plant (AP-2)'!$C$5="drum mix plant",'Asphalt Plant (AP-2)'!T81,0),IF('Asphalt Plant (AP-3)'!$C$5="drum mix plant",'Asphalt Plant (AP-3)'!T81,0),IF('Asphalt Plant (AP-4)'!$C$5="drum mix plant",'Asphalt Plant (AP-4)'!T81,0),IF('Asphalt Plant (AP-5)'!$C$5="drum mix plant",'Asphalt Plant (AP-5)'!T81,0),IF('Asphalt Plant (AP-6)'!$C$5="drum mix plant",'Asphalt Plant (AP-6)'!T81,0),IF('Asphalt Plant (AP-7)'!$C$5="drum mix plant",'Asphalt Plant (AP-7)'!T81,0),IF('Asphalt Plant (AP-8)'!$C$5="drum mix plant",'Asphalt Plant (AP-8)'!T81,0),IF('Asphalt Plant (AP-9)'!$C$5="drum mix plant",'Asphalt Plant (AP-9)'!T81,0),IF('Asphalt Plant (AP-10)'!$C$5="drum mix plant",'Asphalt Plant (AP-10)'!T81,0)))</f>
        <v/>
      </c>
    </row>
    <row r="128" spans="1:13" ht="15.75" x14ac:dyDescent="0.25">
      <c r="A128" s="299" t="s">
        <v>221</v>
      </c>
      <c r="B128" s="299"/>
      <c r="C128" s="176"/>
      <c r="D128" s="195"/>
      <c r="E128" s="176"/>
      <c r="F128" s="195"/>
      <c r="G128" s="195"/>
      <c r="H128" s="204"/>
      <c r="I128" s="198"/>
      <c r="J128" s="176"/>
      <c r="K128" s="117"/>
      <c r="L128" s="117"/>
      <c r="M128" s="117"/>
    </row>
    <row r="129" spans="1:13" x14ac:dyDescent="0.25">
      <c r="A12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29"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29" s="180" t="str">
        <f>IF(B129="","","30500255/58/61")</f>
        <v/>
      </c>
      <c r="D129" s="180" t="str">
        <f>IF(B129="","",SUM(IF('Asphalt Plant (AP-1)'!C5="drum mix plant",SUM('Asphalt Plant (AP-1)'!N5:N7),0),IF('Asphalt Plant (AP-2)'!C5="drum mix plant",SUM('Asphalt Plant (AP-2)'!N5:N7),0),IF('Asphalt Plant (AP-3)'!C5="drum mix plant",SUM('Asphalt Plant (AP-3)'!N5:N7),0),IF('Asphalt Plant (AP-4)'!C5="drum mix plant",SUM('Asphalt Plant (AP-4)'!N5:N7),0),IF('Asphalt Plant (AP-5)'!C5="drum mix plant",SUM('Asphalt Plant (AP-5)'!N5:N7),0),IF('Asphalt Plant (AP-6)'!C5="drum mix plant",SUM('Asphalt Plant (AP-6)'!N5:N7),0),IF('Asphalt Plant (AP-7)'!C5="drum mix plant",SUM('Asphalt Plant (AP-7)'!N5:N7),0),IF('Asphalt Plant (AP-8)'!C5="drum mix plant",SUM('Asphalt Plant (AP-8)'!N5:N7),0),IF('Asphalt Plant (AP-9)'!C5="drum mix plant",SUM('Asphalt Plant (AP-9)'!N5:N7),0),IF('Asphalt Plant (AP-10)'!C5="drum mix plant",SUM('Asphalt Plant (AP-10)'!N5:N7),0)))</f>
        <v/>
      </c>
      <c r="E129" s="180" t="str">
        <f>IF(B129="","","tons/hr")</f>
        <v/>
      </c>
      <c r="F129" s="180" t="str">
        <f>IF(B129="","",0.00004)</f>
        <v/>
      </c>
      <c r="G129" s="180" t="str">
        <f>IF(B129="","","lbs/ton")</f>
        <v/>
      </c>
      <c r="H129" s="138" t="str">
        <f>IF(B129="","","AP-42 Table 11.1-4,7,8,10")</f>
        <v/>
      </c>
      <c r="I129" s="115" t="str">
        <f>IF(B129="","",SUM(IF('Asphalt Plant (AP-1)'!$C$5="drum mix plant",'Asphalt Plant (AP-1)'!Q83,0),IF('Asphalt Plant (AP-2)'!$C$5="drum mix plant",'Asphalt Plant (AP-2)'!Q83,0),IF('Asphalt Plant (AP-3)'!$C$5="drum mix plant",'Asphalt Plant (AP-3)'!Q83,0),IF('Asphalt Plant (AP-4)'!$C$5="drum mix plant",'Asphalt Plant (AP-4)'!Q83,0),IF('Asphalt Plant (AP-5)'!$C$5="drum mix plant",'Asphalt Plant (AP-5)'!Q83,0),IF('Asphalt Plant (AP-6)'!$C$5="drum mix plant",'Asphalt Plant (AP-6)'!Q83,0),IF('Asphalt Plant (AP-7)'!$C$5="drum mix plant",'Asphalt Plant (AP-7)'!Q83,0),IF('Asphalt Plant (AP-8)'!$C$5="drum mix plant",'Asphalt Plant (AP-8)'!Q83,0),IF('Asphalt Plant (AP-9)'!$C$5="drum mix plant",'Asphalt Plant (AP-9)'!Q83,0),IF('Asphalt Plant (AP-10)'!$C$5="drum mix plant",'Asphalt Plant (AP-10)'!Q83,0)))</f>
        <v/>
      </c>
      <c r="J129" s="180"/>
      <c r="K129" s="182"/>
      <c r="L129" s="115" t="str">
        <f>IF(B129="","",SUM(IF('Asphalt Plant (AP-1)'!$C$5="drum mix plant",'Asphalt Plant (AP-1)'!S83,0),IF('Asphalt Plant (AP-2)'!$C$5="drum mix plant",'Asphalt Plant (AP-2)'!S83,0),IF('Asphalt Plant (AP-3)'!$C$5="drum mix plant",'Asphalt Plant (AP-3)'!S83,0),IF('Asphalt Plant (AP-4)'!$C$5="drum mix plant",'Asphalt Plant (AP-4)'!S83,0),IF('Asphalt Plant (AP-5)'!$C$5="drum mix plant",'Asphalt Plant (AP-5)'!S83,0),IF('Asphalt Plant (AP-6)'!$C$5="drum mix plant",'Asphalt Plant (AP-6)'!S83,0),IF('Asphalt Plant (AP-7)'!$C$5="drum mix plant",'Asphalt Plant (AP-7)'!S83,0),IF('Asphalt Plant (AP-8)'!$C$5="drum mix plant",'Asphalt Plant (AP-8)'!S83,0),IF('Asphalt Plant (AP-9)'!$C$5="drum mix plant",'Asphalt Plant (AP-9)'!S83,0),IF('Asphalt Plant (AP-10)'!$C$5="drum mix plant",'Asphalt Plant (AP-10)'!S83,0)))</f>
        <v/>
      </c>
      <c r="M129" s="115" t="str">
        <f>IF(B129="","",SUM(IF('Asphalt Plant (AP-1)'!$C$5="drum mix plant",'Asphalt Plant (AP-1)'!T83,0),IF('Asphalt Plant (AP-2)'!$C$5="drum mix plant",'Asphalt Plant (AP-2)'!T83,0),IF('Asphalt Plant (AP-3)'!$C$5="drum mix plant",'Asphalt Plant (AP-3)'!T83,0),IF('Asphalt Plant (AP-4)'!$C$5="drum mix plant",'Asphalt Plant (AP-4)'!T83,0),IF('Asphalt Plant (AP-5)'!$C$5="drum mix plant",'Asphalt Plant (AP-5)'!T83,0),IF('Asphalt Plant (AP-6)'!$C$5="drum mix plant",'Asphalt Plant (AP-6)'!T83,0),IF('Asphalt Plant (AP-7)'!$C$5="drum mix plant",'Asphalt Plant (AP-7)'!T83,0),IF('Asphalt Plant (AP-8)'!$C$5="drum mix plant",'Asphalt Plant (AP-8)'!T83,0),IF('Asphalt Plant (AP-9)'!$C$5="drum mix plant",'Asphalt Plant (AP-9)'!T83,0),IF('Asphalt Plant (AP-10)'!$C$5="drum mix plant",'Asphalt Plant (AP-10)'!T83,0)))</f>
        <v/>
      </c>
    </row>
    <row r="130" spans="1:13" ht="15.75" x14ac:dyDescent="0.25">
      <c r="A130" s="299" t="s">
        <v>223</v>
      </c>
      <c r="B130" s="299"/>
      <c r="C130" s="176"/>
      <c r="D130" s="195"/>
      <c r="E130" s="176"/>
      <c r="F130" s="195"/>
      <c r="G130" s="195"/>
      <c r="H130" s="204"/>
      <c r="I130" s="198"/>
      <c r="J130" s="176"/>
      <c r="K130" s="117"/>
      <c r="L130" s="117"/>
      <c r="M130" s="117"/>
    </row>
    <row r="131" spans="1:13" s="102" customFormat="1" x14ac:dyDescent="0.25">
      <c r="A131"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31"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31" s="180" t="str">
        <f>IF(B131="","","30500258/61")</f>
        <v/>
      </c>
      <c r="D131" s="208" t="str">
        <f>IF(B131="","",SUM(IF('Asphalt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31" s="180" t="str">
        <f>IF(B131="","","tons/hr")</f>
        <v/>
      </c>
      <c r="F131" s="180" t="str">
        <f>IF(B131="","",MAX(IF('Asphalt Plant (AP-1)'!$C$5="drum mix plant",'Asphalt Plant (AP-1)'!O85,0),IF('Asphalt Plant (AP-2)'!$C$5="drum mix plant",'Asphalt Plant (AP-2)'!O85,0),IF('Asphalt Plant (AP-3)'!$C$5="drum mix plant",'Asphalt Plant (AP-3)'!O85,0),IF('Asphalt Plant (AP-4)'!$C$5="drum mix plant",'Asphalt Plant (AP-4)'!O85,0),IF('Asphalt Plant (AP-5)'!$C$5="drum mix plant",'Asphalt Plant (AP-5)'!O85,0),IF('Asphalt Plant (AP-6)'!$C$5="drum mix plant",'Asphalt Plant (AP-6)'!O85,0),IF('Asphalt Plant (AP-7)'!$C$5="drum mix plant",'Asphalt Plant (AP-7)'!O85,0),IF('Asphalt Plant (AP-8)'!$C$5="drum mix plant",'Asphalt Plant (AP-8)'!O85,0),IF('Asphalt Plant (AP-9)'!$C$5="drum mix plant",'Asphalt Plant (AP-9)'!O85,0),IF('Asphalt Plant (AP-10)'!$C$5="drum mix plant",'Asphalt Plant (AP-10)'!O85,0)))</f>
        <v/>
      </c>
      <c r="G131" s="180" t="str">
        <f>IF(B131="","","lbs/ton")</f>
        <v/>
      </c>
      <c r="H131" s="138" t="str">
        <f>IF(B131="","","AP-42 Table 11.1-4,7,8,10")</f>
        <v/>
      </c>
      <c r="I131" s="115" t="str">
        <f>IF(B131="","",SUM(IF('Asphalt Plant (AP-1)'!$C$5="drum mix plant",'Asphalt Plant (AP-1)'!Q85,0),IF('Asphalt Plant (AP-2)'!$C$5="drum mix plant",'Asphalt Plant (AP-2)'!Q85,0),IF('Asphalt Plant (AP-3)'!$C$5="drum mix plant",'Asphalt Plant (AP-3)'!Q85,0),IF('Asphalt Plant (AP-4)'!$C$5="drum mix plant",'Asphalt Plant (AP-4)'!Q85,0),IF('Asphalt Plant (AP-5)'!$C$5="drum mix plant",'Asphalt Plant (AP-5)'!Q85,0),IF('Asphalt Plant (AP-6)'!$C$5="drum mix plant",'Asphalt Plant (AP-6)'!Q85,0),IF('Asphalt Plant (AP-7)'!$C$5="drum mix plant",'Asphalt Plant (AP-7)'!Q85,0),IF('Asphalt Plant (AP-8)'!$C$5="drum mix plant",'Asphalt Plant (AP-8)'!Q85,0),IF('Asphalt Plant (AP-9)'!$C$5="drum mix plant",'Asphalt Plant (AP-9)'!Q85,0),IF('Asphalt Plant (AP-10)'!$C$5="drum mix plant",'Asphalt Plant (AP-10)'!Q85,0)))</f>
        <v/>
      </c>
      <c r="J131" s="136"/>
      <c r="K131" s="115" t="str">
        <f>IF(B131="","",SUM(IF('Asphalt Plant (AP-1)'!$C$5="drum mix plant",'Asphalt Plant (AP-1)'!R85,0),IF('Asphalt Plant (AP-2)'!$C$5="drum mix plant",'Asphalt Plant (AP-2)'!R85,0),IF('Asphalt Plant (AP-3)'!$C$5="drum mix plant",'Asphalt Plant (AP-3)'!R85,0),IF('Asphalt Plant (AP-4)'!$C$5="drum mix plant",'Asphalt Plant (AP-4)'!R85,0),IF('Asphalt Plant (AP-5)'!$C$5="drum mix plant",'Asphalt Plant (AP-5)'!R85,0),IF('Asphalt Plant (AP-6)'!$C$5="drum mix plant",'Asphalt Plant (AP-6)'!R85,0),IF('Asphalt Plant (AP-7)'!$C$5="drum mix plant",'Asphalt Plant (AP-7)'!R85,0),IF('Asphalt Plant (AP-8)'!$C$5="drum mix plant",'Asphalt Plant (AP-8)'!R85,0),IF('Asphalt Plant (AP-9)'!$C$5="drum mix plant",'Asphalt Plant (AP-9)'!R85,0),IF('Asphalt Plant (AP-10)'!$C$5="drum mix plant",'Asphalt Plant (AP-10)'!R85,0)))</f>
        <v/>
      </c>
      <c r="L131" s="115" t="str">
        <f>IF(B131="","",SUM(IF('Asphalt Plant (AP-1)'!$C$5="drum mix plant",'Asphalt Plant (AP-1)'!S85,0),IF('Asphalt Plant (AP-2)'!$C$5="drum mix plant",'Asphalt Plant (AP-2)'!S85,0),IF('Asphalt Plant (AP-3)'!$C$5="drum mix plant",'Asphalt Plant (AP-3)'!S85,0),IF('Asphalt Plant (AP-4)'!$C$5="drum mix plant",'Asphalt Plant (AP-4)'!S85,0),IF('Asphalt Plant (AP-5)'!$C$5="drum mix plant",'Asphalt Plant (AP-5)'!S85,0),IF('Asphalt Plant (AP-6)'!$C$5="drum mix plant",'Asphalt Plant (AP-6)'!S85,0),IF('Asphalt Plant (AP-7)'!$C$5="drum mix plant",'Asphalt Plant (AP-7)'!S85,0),IF('Asphalt Plant (AP-8)'!$C$5="drum mix plant",'Asphalt Plant (AP-8)'!S85,0),IF('Asphalt Plant (AP-9)'!$C$5="drum mix plant",'Asphalt Plant (AP-9)'!S85,0),IF('Asphalt Plant (AP-10)'!$C$5="drum mix plant",'Asphalt Plant (AP-10)'!S85,0)))</f>
        <v/>
      </c>
      <c r="M131" s="115" t="str">
        <f>IF(B131="","",SUM(IF('Asphalt Plant (AP-1)'!$C$5="drum mix plant",'Asphalt Plant (AP-1)'!T85,0),IF('Asphalt Plant (AP-2)'!$C$5="drum mix plant",'Asphalt Plant (AP-2)'!T85,0),IF('Asphalt Plant (AP-3)'!$C$5="drum mix plant",'Asphalt Plant (AP-3)'!T85,0),IF('Asphalt Plant (AP-4)'!$C$5="drum mix plant",'Asphalt Plant (AP-4)'!T85,0),IF('Asphalt Plant (AP-5)'!$C$5="drum mix plant",'Asphalt Plant (AP-5)'!T85,0),IF('Asphalt Plant (AP-6)'!$C$5="drum mix plant",'Asphalt Plant (AP-6)'!T85,0),IF('Asphalt Plant (AP-7)'!$C$5="drum mix plant",'Asphalt Plant (AP-7)'!T85,0),IF('Asphalt Plant (AP-8)'!$C$5="drum mix plant",'Asphalt Plant (AP-8)'!T85,0),IF('Asphalt Plant (AP-9)'!$C$5="drum mix plant",'Asphalt Plant (AP-9)'!T85,0),IF('Asphalt Plant (AP-10)'!$C$5="drum mix plant",'Asphalt Plant (AP-10)'!T85,0)))</f>
        <v/>
      </c>
    </row>
    <row r="132" spans="1:13" ht="15.75" x14ac:dyDescent="0.25">
      <c r="A132" s="299" t="s">
        <v>224</v>
      </c>
      <c r="B132" s="299"/>
      <c r="C132" s="176"/>
      <c r="D132" s="195"/>
      <c r="E132" s="176"/>
      <c r="F132" s="195"/>
      <c r="G132" s="195"/>
      <c r="H132" s="204"/>
      <c r="I132" s="198"/>
      <c r="J132" s="176"/>
      <c r="K132" s="117"/>
      <c r="L132" s="117"/>
      <c r="M132" s="117"/>
    </row>
    <row r="133" spans="1:13" s="102" customFormat="1" x14ac:dyDescent="0.25">
      <c r="A133"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33"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33" s="180" t="str">
        <f>IF(B133="","","30500258/61")</f>
        <v/>
      </c>
      <c r="D133" s="208" t="str">
        <f>IF(B131="","",SUM(IF('Asphalt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33" s="180" t="str">
        <f>IF(B133="","","tons/hr")</f>
        <v/>
      </c>
      <c r="F133" s="180" t="str">
        <f>IF(B133="","",MAX(IF('Asphalt Plant (AP-1)'!$C$5="drum mix plant",'Asphalt Plant (AP-1)'!O87,0),IF('Asphalt Plant (AP-2)'!$C$5="drum mix plant",'Asphalt Plant (AP-2)'!O87,0),IF('Asphalt Plant (AP-3)'!$C$5="drum mix plant",'Asphalt Plant (AP-3)'!O87,0),IF('Asphalt Plant (AP-4)'!$C$5="drum mix plant",'Asphalt Plant (AP-4)'!O87,0),IF('Asphalt Plant (AP-5)'!$C$5="drum mix plant",'Asphalt Plant (AP-5)'!O87,0),IF('Asphalt Plant (AP-6)'!$C$5="drum mix plant",'Asphalt Plant (AP-6)'!O87,0),IF('Asphalt Plant (AP-7)'!$C$5="drum mix plant",'Asphalt Plant (AP-7)'!O87,0),IF('Asphalt Plant (AP-8)'!$C$5="drum mix plant",'Asphalt Plant (AP-8)'!O87,0),IF('Asphalt Plant (AP-9)'!$C$5="drum mix plant",'Asphalt Plant (AP-9)'!O87,0),IF('Asphalt Plant (AP-10)'!$C$5="drum mix plant",'Asphalt Plant (AP-10)'!O87,0)))</f>
        <v/>
      </c>
      <c r="G133" s="180" t="str">
        <f>IF(B133="","","lbs/ton")</f>
        <v/>
      </c>
      <c r="H133" s="138" t="str">
        <f>IF(B133="","","AP-42 Table 11.1-4,7,8,10")</f>
        <v/>
      </c>
      <c r="I133" s="115" t="str">
        <f>IF(B133="","",SUM(IF('Asphalt Plant (AP-1)'!$C$5="drum mix plant",'Asphalt Plant (AP-1)'!Q87,0),IF('Asphalt Plant (AP-2)'!$C$5="drum mix plant",'Asphalt Plant (AP-2)'!Q87,0),IF('Asphalt Plant (AP-3)'!$C$5="drum mix plant",'Asphalt Plant (AP-3)'!Q87,0),IF('Asphalt Plant (AP-4)'!$C$5="drum mix plant",'Asphalt Plant (AP-4)'!Q87,0),IF('Asphalt Plant (AP-5)'!$C$5="drum mix plant",'Asphalt Plant (AP-5)'!Q87,0),IF('Asphalt Plant (AP-6)'!$C$5="drum mix plant",'Asphalt Plant (AP-6)'!Q87,0),IF('Asphalt Plant (AP-7)'!$C$5="drum mix plant",'Asphalt Plant (AP-7)'!Q87,0),IF('Asphalt Plant (AP-8)'!$C$5="drum mix plant",'Asphalt Plant (AP-8)'!Q87,0),IF('Asphalt Plant (AP-9)'!$C$5="drum mix plant",'Asphalt Plant (AP-9)'!Q87,0),IF('Asphalt Plant (AP-10)'!$C$5="drum mix plant",'Asphalt Plant (AP-10)'!Q87,0)))</f>
        <v/>
      </c>
      <c r="J133" s="136"/>
      <c r="K133" s="115" t="str">
        <f>IF(B133="","",SUM(IF('Asphalt Plant (AP-1)'!$C$5="drum mix plant",'Asphalt Plant (AP-1)'!R87,0),IF('Asphalt Plant (AP-2)'!$C$5="drum mix plant",'Asphalt Plant (AP-2)'!R87,0),IF('Asphalt Plant (AP-3)'!$C$5="drum mix plant",'Asphalt Plant (AP-3)'!R87,0),IF('Asphalt Plant (AP-4)'!$C$5="drum mix plant",'Asphalt Plant (AP-4)'!R87,0),IF('Asphalt Plant (AP-5)'!$C$5="drum mix plant",'Asphalt Plant (AP-5)'!R87,0),IF('Asphalt Plant (AP-6)'!$C$5="drum mix plant",'Asphalt Plant (AP-6)'!R87,0),IF('Asphalt Plant (AP-7)'!$C$5="drum mix plant",'Asphalt Plant (AP-7)'!R87,0),IF('Asphalt Plant (AP-8)'!$C$5="drum mix plant",'Asphalt Plant (AP-8)'!R87,0),IF('Asphalt Plant (AP-9)'!$C$5="drum mix plant",'Asphalt Plant (AP-9)'!R87,0),IF('Asphalt Plant (AP-10)'!$C$5="drum mix plant",'Asphalt Plant (AP-10)'!R87,0)))</f>
        <v/>
      </c>
      <c r="L133" s="115" t="str">
        <f>IF(B133="","",SUM(IF('Asphalt Plant (AP-1)'!$C$5="drum mix plant",'Asphalt Plant (AP-1)'!S87,0),IF('Asphalt Plant (AP-2)'!$C$5="drum mix plant",'Asphalt Plant (AP-2)'!S87,0),IF('Asphalt Plant (AP-3)'!$C$5="drum mix plant",'Asphalt Plant (AP-3)'!S87,0),IF('Asphalt Plant (AP-4)'!$C$5="drum mix plant",'Asphalt Plant (AP-4)'!S87,0),IF('Asphalt Plant (AP-5)'!$C$5="drum mix plant",'Asphalt Plant (AP-5)'!S87,0),IF('Asphalt Plant (AP-6)'!$C$5="drum mix plant",'Asphalt Plant (AP-6)'!S87,0),IF('Asphalt Plant (AP-7)'!$C$5="drum mix plant",'Asphalt Plant (AP-7)'!S87,0),IF('Asphalt Plant (AP-8)'!$C$5="drum mix plant",'Asphalt Plant (AP-8)'!S87,0),IF('Asphalt Plant (AP-9)'!$C$5="drum mix plant",'Asphalt Plant (AP-9)'!S87,0),IF('Asphalt Plant (AP-10)'!$C$5="drum mix plant",'Asphalt Plant (AP-10)'!S87,0)))</f>
        <v/>
      </c>
      <c r="M133" s="115" t="str">
        <f>IF(B133="","",SUM(IF('Asphalt Plant (AP-1)'!$C$5="drum mix plant",'Asphalt Plant (AP-1)'!T87,0),IF('Asphalt Plant (AP-2)'!$C$5="drum mix plant",'Asphalt Plant (AP-2)'!T87,0),IF('Asphalt Plant (AP-3)'!$C$5="drum mix plant",'Asphalt Plant (AP-3)'!T87,0),IF('Asphalt Plant (AP-4)'!$C$5="drum mix plant",'Asphalt Plant (AP-4)'!T87,0),IF('Asphalt Plant (AP-5)'!$C$5="drum mix plant",'Asphalt Plant (AP-5)'!T87,0),IF('Asphalt Plant (AP-6)'!$C$5="drum mix plant",'Asphalt Plant (AP-6)'!T87,0),IF('Asphalt Plant (AP-7)'!$C$5="drum mix plant",'Asphalt Plant (AP-7)'!T87,0),IF('Asphalt Plant (AP-8)'!$C$5="drum mix plant",'Asphalt Plant (AP-8)'!T87,0),IF('Asphalt Plant (AP-9)'!$C$5="drum mix plant",'Asphalt Plant (AP-9)'!T87,0),IF('Asphalt Plant (AP-10)'!$C$5="drum mix plant",'Asphalt Plant (AP-10)'!T87,0)))</f>
        <v/>
      </c>
    </row>
    <row r="134" spans="1:13" ht="15.75" x14ac:dyDescent="0.25">
      <c r="A134" s="299" t="s">
        <v>225</v>
      </c>
      <c r="B134" s="299"/>
      <c r="C134" s="176"/>
      <c r="D134" s="195"/>
      <c r="E134" s="176"/>
      <c r="F134" s="195"/>
      <c r="G134" s="195"/>
      <c r="H134" s="204"/>
      <c r="I134" s="198"/>
      <c r="J134" s="176"/>
      <c r="K134" s="117"/>
      <c r="L134" s="117"/>
      <c r="M134" s="117"/>
    </row>
    <row r="135" spans="1:13" s="102" customFormat="1" x14ac:dyDescent="0.25">
      <c r="A135"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plant"),"ALL","")</f>
        <v/>
      </c>
      <c r="B135" s="135" t="str">
        <f>IF(OR('Asphalt Plant (AP-1)'!$C$5="drum mix plant",'Asphalt Plant (AP-2)'!$C$5="drum mix plant",'Asphalt Plant (AP-3)'!$C$5="drum mix plant",'Asphalt Plant (AP-4)'!$C$5="drum mix plant",'Asphalt Plant (AP-5)'!$C$5="drum mix plant",'Asphalt Plant (AP-6)'!$C$5="drum mix plant",'Asphalt Plant (AP-7)'!$C$5="drum mix plant",'Asphalt Plant (AP-8)'!$C$5="drum mix plant",'Asphalt Plant (AP-9)'!$C$5="drum mix plant",'Asphalt Plant (AP-10)'!$C$5="drum mix plant"),"Drum Mix Plant","")</f>
        <v/>
      </c>
      <c r="C135" s="180" t="str">
        <f>IF(B135="","","30500258/61")</f>
        <v/>
      </c>
      <c r="D135" s="208" t="str">
        <f>IF(B131="","",SUM(IF('Asphalt Plant (AP-1)'!C5="drum mix plant",SUM('Asphalt Plant (AP-1)'!N5:N6),0),IF('Asphalt Plant (AP-2)'!C5="drum mix plant",SUM('Asphalt Plant (AP-2)'!N5:N6),0),IF('Asphalt Plant (AP-3)'!C5="drum mix plant",SUM('Asphalt Plant (AP-3)'!N5:N6),0),IF('Asphalt Plant (AP-4)'!C5="drum mix plant",SUM('Asphalt Plant (AP-4)'!N5:N6),0),IF('Asphalt Plant (AP-5)'!C5="drum mix plant",SUM('Asphalt Plant (AP-5)'!N5:N6),0),IF('Asphalt Plant (AP-6)'!C5="drum mix plant",SUM('Asphalt Plant (AP-6)'!N5:N6),0),IF('Asphalt Plant (AP-7)'!C5="drum mix plant",SUM('Asphalt Plant (AP-7)'!N5:N6),0),IF('Asphalt Plant (AP-8)'!C5="drum mix plant",SUM('Asphalt Plant (AP-8)'!N5:N6),0),IF('Asphalt Plant (AP-9)'!C5="drum mix plant",SUM('Asphalt Plant (AP-9)'!N5:N6),0),IF('Asphalt Plant (AP-10)'!C5="drum mix plant",SUM('Asphalt Plant (AP-10)'!N5:N6),0)))</f>
        <v/>
      </c>
      <c r="E135" s="180" t="str">
        <f>IF(B135="","","tons/hr")</f>
        <v/>
      </c>
      <c r="F135" s="180" t="str">
        <f>IF(B135="","",MAX(IF('Asphalt Plant (AP-1)'!$C$5="drum mix plant",'Asphalt Plant (AP-1)'!O89,0),IF('Asphalt Plant (AP-2)'!$C$5="drum mix plant",'Asphalt Plant (AP-2)'!O89,0),IF('Asphalt Plant (AP-3)'!$C$5="drum mix plant",'Asphalt Plant (AP-3)'!O89,0),IF('Asphalt Plant (AP-4)'!$C$5="drum mix plant",'Asphalt Plant (AP-4)'!O89,0),IF('Asphalt Plant (AP-5)'!$C$5="drum mix plant",'Asphalt Plant (AP-5)'!O89,0),IF('Asphalt Plant (AP-6)'!$C$5="drum mix plant",'Asphalt Plant (AP-6)'!O89,0),IF('Asphalt Plant (AP-7)'!$C$5="drum mix plant",'Asphalt Plant (AP-7)'!O89,0),IF('Asphalt Plant (AP-8)'!$C$5="drum mix plant",'Asphalt Plant (AP-8)'!O89,0),IF('Asphalt Plant (AP-9)'!$C$5="drum mix plant",'Asphalt Plant (AP-9)'!O89,0),IF('Asphalt Plant (AP-10)'!$C$5="drum mix plant",'Asphalt Plant (AP-10)'!O89,0)))</f>
        <v/>
      </c>
      <c r="G135" s="180" t="str">
        <f>IF(B135="","","lbs/ton")</f>
        <v/>
      </c>
      <c r="H135" s="138" t="str">
        <f>IF(B135="","","AP-42 Table 11.1-4,7,8,10")</f>
        <v/>
      </c>
      <c r="I135" s="115" t="str">
        <f>IF(B135="","",SUM(IF('Asphalt Plant (AP-1)'!$C$5="drum mix plant",'Asphalt Plant (AP-1)'!Q89,0),IF('Asphalt Plant (AP-2)'!$C$5="drum mix plant",'Asphalt Plant (AP-2)'!Q89,0),IF('Asphalt Plant (AP-3)'!$C$5="drum mix plant",'Asphalt Plant (AP-3)'!Q89,0),IF('Asphalt Plant (AP-4)'!$C$5="drum mix plant",'Asphalt Plant (AP-4)'!Q89,0),IF('Asphalt Plant (AP-5)'!$C$5="drum mix plant",'Asphalt Plant (AP-5)'!Q89,0),IF('Asphalt Plant (AP-6)'!$C$5="drum mix plant",'Asphalt Plant (AP-6)'!Q89,0),IF('Asphalt Plant (AP-7)'!$C$5="drum mix plant",'Asphalt Plant (AP-7)'!Q89,0),IF('Asphalt Plant (AP-8)'!$C$5="drum mix plant",'Asphalt Plant (AP-8)'!Q89,0),IF('Asphalt Plant (AP-9)'!$C$5="drum mix plant",'Asphalt Plant (AP-9)'!Q89,0),IF('Asphalt Plant (AP-10)'!$C$5="drum mix plant",'Asphalt Plant (AP-10)'!Q89,0)))</f>
        <v/>
      </c>
      <c r="J135" s="136"/>
      <c r="K135" s="115" t="str">
        <f>IF(B135="","",SUM(IF('Asphalt Plant (AP-1)'!$C$5="drum mix plant",'Asphalt Plant (AP-1)'!R89,0),IF('Asphalt Plant (AP-2)'!$C$5="drum mix plant",'Asphalt Plant (AP-2)'!R89,0),IF('Asphalt Plant (AP-3)'!$C$5="drum mix plant",'Asphalt Plant (AP-3)'!R89,0),IF('Asphalt Plant (AP-4)'!$C$5="drum mix plant",'Asphalt Plant (AP-4)'!R89,0),IF('Asphalt Plant (AP-5)'!$C$5="drum mix plant",'Asphalt Plant (AP-5)'!R89,0),IF('Asphalt Plant (AP-6)'!$C$5="drum mix plant",'Asphalt Plant (AP-6)'!R89,0),IF('Asphalt Plant (AP-7)'!$C$5="drum mix plant",'Asphalt Plant (AP-7)'!R89,0),IF('Asphalt Plant (AP-8)'!$C$5="drum mix plant",'Asphalt Plant (AP-8)'!R89,0),IF('Asphalt Plant (AP-9)'!$C$5="drum mix plant",'Asphalt Plant (AP-9)'!R89,0),IF('Asphalt Plant (AP-10)'!$C$5="drum mix plant",'Asphalt Plant (AP-10)'!R89,0)))</f>
        <v/>
      </c>
      <c r="L135" s="115" t="str">
        <f>IF(B135="","",SUM(IF('Asphalt Plant (AP-1)'!$C$5="drum mix plant",'Asphalt Plant (AP-1)'!S89,0),IF('Asphalt Plant (AP-2)'!$C$5="drum mix plant",'Asphalt Plant (AP-2)'!S89,0),IF('Asphalt Plant (AP-3)'!$C$5="drum mix plant",'Asphalt Plant (AP-3)'!S89,0),IF('Asphalt Plant (AP-4)'!$C$5="drum mix plant",'Asphalt Plant (AP-4)'!S89,0),IF('Asphalt Plant (AP-5)'!$C$5="drum mix plant",'Asphalt Plant (AP-5)'!S89,0),IF('Asphalt Plant (AP-6)'!$C$5="drum mix plant",'Asphalt Plant (AP-6)'!S89,0),IF('Asphalt Plant (AP-7)'!$C$5="drum mix plant",'Asphalt Plant (AP-7)'!S89,0),IF('Asphalt Plant (AP-8)'!$C$5="drum mix plant",'Asphalt Plant (AP-8)'!S89,0),IF('Asphalt Plant (AP-9)'!$C$5="drum mix plant",'Asphalt Plant (AP-9)'!S89,0),IF('Asphalt Plant (AP-10)'!$C$5="drum mix plant",'Asphalt Plant (AP-10)'!S89,0)))</f>
        <v/>
      </c>
      <c r="M135" s="115" t="str">
        <f>IF(B135="","",SUM(IF('Asphalt Plant (AP-1)'!$C$5="drum mix plant",'Asphalt Plant (AP-1)'!T89,0),IF('Asphalt Plant (AP-2)'!$C$5="drum mix plant",'Asphalt Plant (AP-2)'!T89,0),IF('Asphalt Plant (AP-3)'!$C$5="drum mix plant",'Asphalt Plant (AP-3)'!T89,0),IF('Asphalt Plant (AP-4)'!$C$5="drum mix plant",'Asphalt Plant (AP-4)'!T89,0),IF('Asphalt Plant (AP-5)'!$C$5="drum mix plant",'Asphalt Plant (AP-5)'!T89,0),IF('Asphalt Plant (AP-6)'!$C$5="drum mix plant",'Asphalt Plant (AP-6)'!T89,0),IF('Asphalt Plant (AP-7)'!$C$5="drum mix plant",'Asphalt Plant (AP-7)'!T89,0),IF('Asphalt Plant (AP-8)'!$C$5="drum mix plant",'Asphalt Plant (AP-8)'!T89,0),IF('Asphalt Plant (AP-9)'!$C$5="drum mix plant",'Asphalt Plant (AP-9)'!T89,0),IF('Asphalt Plant (AP-10)'!$C$5="drum mix plant",'Asphalt Plant (AP-10)'!T89,0)))</f>
        <v/>
      </c>
    </row>
    <row r="136" spans="1:13" ht="15.75" x14ac:dyDescent="0.25">
      <c r="A136" s="299" t="s">
        <v>222</v>
      </c>
      <c r="B136" s="299"/>
      <c r="C136" s="176"/>
      <c r="D136" s="195"/>
      <c r="E136" s="176"/>
      <c r="F136" s="195"/>
      <c r="G136" s="195" t="str">
        <f>IF(F136="","","lbs/ton")</f>
        <v/>
      </c>
      <c r="H136" s="204" t="str">
        <f>IF(F136="","",LOOKUP(B134,'[1]Emission Factors'!$A$5:$A$10,'[1]Emission Factors'!$D$5:$D$10))</f>
        <v/>
      </c>
      <c r="I136" s="198"/>
      <c r="J136" s="176"/>
      <c r="K136" s="117"/>
      <c r="L136" s="117"/>
      <c r="M136" s="117"/>
    </row>
    <row r="137" spans="1:13" s="194" customFormat="1" ht="14.25" customHeight="1" x14ac:dyDescent="0.25">
      <c r="A137" s="30" t="str">
        <f>IF(D137="","","ALL")</f>
        <v/>
      </c>
      <c r="B137" s="135" t="str">
        <f>IF(D137="","","Drum Mix Plant - Fuel Oil")</f>
        <v/>
      </c>
      <c r="C137" s="30" t="str">
        <f>IF(B137="","","30500258")</f>
        <v/>
      </c>
      <c r="D137" s="180" t="str">
        <f>IF(SUM(IF('Asphalt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(AP-10)'!N5,0))&gt;0,SUM(IF('Asphalt Plant (AP-1)'!$C$5="drum mix plant",'Asphalt Plant (AP-1)'!N5,0),IF('Asphalt Plant (AP-2)'!$C$5="drum mix plant",'Asphalt Plant (AP-2)'!N5,0),IF('Asphalt Plant (AP-3)'!$C$5="drum mix plant",'Asphalt Plant (AP-3)'!N5,0),IF('Asphalt Plant (AP-4)'!$C$5="drum mix plant",'Asphalt Plant (AP-4)'!N5,0),IF('Asphalt Plant (AP-5)'!$C$5="drum mix plant",'Asphalt Plant (AP-5)'!N5,0),IF('Asphalt Plant (AP-6)'!$C$5="drum mix plant",'Asphalt Plant (AP-6)'!N5,0),IF('Asphalt Plant (AP-7)'!$C$5="drum mix plant",'Asphalt Plant (AP-7)'!N5,0),IF('Asphalt Plant (AP-8)'!$C$5="drum mix plant",'Asphalt Plant (AP-8)'!N5,0),IF('Asphalt Plant (AP-9)'!$C$5="drum mix plant",'Asphalt Plant (AP-9)'!N5,0),IF('Asphalt Plant (AP-10)'!$C$5="drum mix plant",'Asphalt Plant (AP-10)'!N5,0)),"")</f>
        <v/>
      </c>
      <c r="E137" s="180" t="str">
        <f>IF(B137="","","tons/hr")</f>
        <v/>
      </c>
      <c r="F137" s="180" t="str">
        <f>IF(B137="","",MAX(IF('Asphalt Plant (AP-1)'!$C$5="drum mix plant",'Asphalt Plant (AP-1)'!O91,0),IF('Asphalt Plant (AP-2)'!$C$5="drum mix plant",'Asphalt Plant (AP-2)'!O91,0),IF('Asphalt Plant (AP-3)'!$C$5="drum mix plant",'Asphalt Plant (AP-3)'!O91,0),IF('Asphalt Plant (AP-4)'!$C$5="drum mix plant",'Asphalt Plant (AP-4)'!O91,0),IF('Asphalt Plant (AP-5)'!$C$5="drum mix plant",'Asphalt Plant (AP-5)'!O91,0),IF('Asphalt Plant (AP-6)'!$C$5="drum mix plant",'Asphalt Plant (AP-6)'!O91,0),IF('Asphalt Plant (AP-7)'!$C$5="drum mix plant",'Asphalt Plant (AP-7)'!O91,0),IF('Asphalt Plant (AP-8)'!$C$5="drum mix plant",'Asphalt Plant (AP-8)'!O91,0),IF('Asphalt Plant (AP-9)'!$C$5="drum mix plant",'Asphalt Plant (AP-9)'!O91,0),IF('Asphalt Plant (AP-10)'!$C$5="drum mix plant",'Asphalt Plant (AP-10)'!O91,0)))</f>
        <v/>
      </c>
      <c r="G137" s="100" t="str">
        <f>IF(B137="","","lb/ton")</f>
        <v/>
      </c>
      <c r="H137" s="138" t="str">
        <f>IF(B137="","","AP-42 Table 11.1-4,7,8,10")</f>
        <v/>
      </c>
      <c r="I137" s="115" t="str">
        <f>IF(B137="","",SUM(IF('Asphalt Plant (AP-1)'!$C$5="drum mix plant",'Asphalt Plant (AP-1)'!Q91,0),IF('Asphalt Plant (AP-2)'!$C$5="drum mix plant",'Asphalt Plant (AP-2)'!Q91,0),IF('Asphalt Plant (AP-3)'!$C$5="drum mix plant",'Asphalt Plant (AP-3)'!Q91,0),IF('Asphalt Plant (AP-4)'!$C$5="drum mix plant",'Asphalt Plant (AP-4)'!Q91,0),IF('Asphalt Plant (AP-5)'!$C$5="drum mix plant",'Asphalt Plant (AP-5)'!Q91,0),IF('Asphalt Plant (AP-6)'!$C$5="drum mix plant",'Asphalt Plant (AP-6)'!Q91,0),IF('Asphalt Plant (AP-7)'!$C$5="drum mix plant",'Asphalt Plant (AP-7)'!Q91,0),IF('Asphalt Plant (AP-8)'!$C$5="drum mix plant",'Asphalt Plant (AP-8)'!Q91,0),IF('Asphalt Plant (AP-9)'!$C$5="drum mix plant",'Asphalt Plant (AP-9)'!Q91,0),IF('Asphalt Plant (AP-10)'!$C$5="drum mix plant",'Asphalt Plant (AP-10)'!Q91,0)))</f>
        <v/>
      </c>
      <c r="J137" s="115"/>
      <c r="K137" s="115" t="str">
        <f>IF(B137="","",SUM(IF('Asphalt Plant (AP-1)'!$C$5="drum mix plant",'Asphalt Plant (AP-1)'!R91,0),IF('Asphalt Plant (AP-2)'!$C$5="drum mix plant",'Asphalt Plant (AP-2)'!R91,0),IF('Asphalt Plant (AP-3)'!$C$5="drum mix plant",'Asphalt Plant (AP-3)'!R91,0),IF('Asphalt Plant (AP-4)'!$C$5="drum mix plant",'Asphalt Plant (AP-4)'!R91,0),IF('Asphalt Plant (AP-5)'!$C$5="drum mix plant",'Asphalt Plant (AP-5)'!R91,0),IF('Asphalt Plant (AP-6)'!$C$5="drum mix plant",'Asphalt Plant (AP-6)'!R91,0),IF('Asphalt Plant (AP-7)'!$C$5="drum mix plant",'Asphalt Plant (AP-7)'!R91,0),IF('Asphalt Plant (AP-8)'!$C$5="drum mix plant",'Asphalt Plant (AP-8)'!R91,0),IF('Asphalt Plant (AP-9)'!$C$5="drum mix plant",'Asphalt Plant (AP-9)'!R91,0),IF('Asphalt Plant (AP-10)'!$C$5="drum mix plant",'Asphalt Plant (AP-10)'!R91,0)))</f>
        <v/>
      </c>
      <c r="L137" s="115" t="str">
        <f>IF(B137="","",SUM(IF('Asphalt Plant (AP-1)'!$C$5="drum mix plant",'Asphalt Plant (AP-1)'!S91,0),IF('Asphalt Plant (AP-2)'!$C$5="drum mix plant",'Asphalt Plant (AP-2)'!S91,0),IF('Asphalt Plant (AP-3)'!$C$5="drum mix plant",'Asphalt Plant (AP-3)'!S91,0),IF('Asphalt Plant (AP-4)'!$C$5="drum mix plant",'Asphalt Plant (AP-4)'!S91,0),IF('Asphalt Plant (AP-5)'!$C$5="drum mix plant",'Asphalt Plant (AP-5)'!S91,0),IF('Asphalt Plant (AP-6)'!$C$5="drum mix plant",'Asphalt Plant (AP-6)'!S91,0),IF('Asphalt Plant (AP-7)'!$C$5="drum mix plant",'Asphalt Plant (AP-7)'!S91,0),IF('Asphalt Plant (AP-8)'!$C$5="drum mix plant",'Asphalt Plant (AP-8)'!S91,0),IF('Asphalt Plant (AP-9)'!$C$5="drum mix plant",'Asphalt Plant (AP-9)'!S91,0),IF('Asphalt Plant (AP-10)'!$C$5="drum mix plant",'Asphalt Plant (AP-10)'!S91,0)))</f>
        <v/>
      </c>
      <c r="M137" s="115" t="str">
        <f>IF(B137="","",SUM(IF('Asphalt Plant (AP-1)'!$C$5="drum mix plant",'Asphalt Plant (AP-1)'!T91,0),IF('Asphalt Plant (AP-2)'!$C$5="drum mix plant",'Asphalt Plant (AP-2)'!T91,0),IF('Asphalt Plant (AP-3)'!$C$5="drum mix plant",'Asphalt Plant (AP-3)'!T91,0),IF('Asphalt Plant (AP-4)'!$C$5="drum mix plant",'Asphalt Plant (AP-4)'!T91,0),IF('Asphalt Plant (AP-5)'!$C$5="drum mix plant",'Asphalt Plant (AP-5)'!T91,0),IF('Asphalt Plant (AP-6)'!$C$5="drum mix plant",'Asphalt Plant (AP-6)'!T91,0),IF('Asphalt Plant (AP-7)'!$C$5="drum mix plant",'Asphalt Plant (AP-7)'!T91,0),IF('Asphalt Plant (AP-8)'!$C$5="drum mix plant",'Asphalt Plant (AP-8)'!T91,0),IF('Asphalt Plant (AP-9)'!$C$5="drum mix plant",'Asphalt Plant (AP-9)'!T91,0),IF('Asphalt Plant (AP-10)'!$C$5="drum mix plant",'Asphalt Plant (AP-10)'!T91,0)))</f>
        <v/>
      </c>
    </row>
    <row r="138" spans="1:13" s="194" customFormat="1" ht="14.25" customHeight="1" x14ac:dyDescent="0.25">
      <c r="A138" s="30" t="str">
        <f>IF(D138="","","ALL")</f>
        <v/>
      </c>
      <c r="B138" s="135" t="str">
        <f>IF(D138="","","Drum Mix Plant - Waste Oil")</f>
        <v/>
      </c>
      <c r="C138" s="30" t="str">
        <f>IF(B138="","","30500255")</f>
        <v/>
      </c>
      <c r="D138" s="180" t="str">
        <f>IF(SUM(IF('Asphalt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(AP-10)'!N6,0))&gt;0,SUM(IF('Asphalt Plant (AP-1)'!$C$5="drum mix plant",'Asphalt Plant (AP-1)'!N6,0),IF('Asphalt Plant (AP-2)'!$C$5="drum mix plant",'Asphalt Plant (AP-2)'!N6,0),IF('Asphalt Plant (AP-3)'!$C$5="drum mix plant",'Asphalt Plant (AP-3)'!N6,0),IF('Asphalt Plant (AP-4)'!$C$5="drum mix plant",'Asphalt Plant (AP-4)'!N6,0),IF('Asphalt Plant (AP-5)'!$C$5="drum mix plant",'Asphalt Plant (AP-5)'!N6,0),IF('Asphalt Plant (AP-6)'!$C$5="drum mix plant",'Asphalt Plant (AP-6)'!N6,0),IF('Asphalt Plant (AP-7)'!$C$5="drum mix plant",'Asphalt Plant (AP-7)'!N6,0),IF('Asphalt Plant (AP-8)'!$C$5="drum mix plant",'Asphalt Plant (AP-8)'!N6,0),IF('Asphalt Plant (AP-9)'!$C$5="drum mix plant",'Asphalt Plant (AP-9)'!N6,0),IF('Asphalt Plant (AP-10)'!$C$5="drum mix plant",'Asphalt Plant (AP-10)'!N6,0)),"")</f>
        <v/>
      </c>
      <c r="E138" s="180" t="str">
        <f>IF(B138="","","tons/hr")</f>
        <v/>
      </c>
      <c r="F138" s="180" t="str">
        <f>IF(B138="","",MAX(IF('Asphalt Plant (AP-1)'!$C$5="drum mix plant",'Asphalt Plant (AP-1)'!O92,0),IF('Asphalt Plant (AP-2)'!$C$5="drum mix plant",'Asphalt Plant (AP-2)'!O92,0),IF('Asphalt Plant (AP-3)'!$C$5="drum mix plant",'Asphalt Plant (AP-3)'!O92,0),IF('Asphalt Plant (AP-4)'!$C$5="drum mix plant",'Asphalt Plant (AP-4)'!O92,0),IF('Asphalt Plant (AP-5)'!$C$5="drum mix plant",'Asphalt Plant (AP-5)'!O92,0),IF('Asphalt Plant (AP-6)'!$C$5="drum mix plant",'Asphalt Plant (AP-6)'!O92,0),IF('Asphalt Plant (AP-7)'!$C$5="drum mix plant",'Asphalt Plant (AP-7)'!O92,0),IF('Asphalt Plant (AP-8)'!$C$5="drum mix plant",'Asphalt Plant (AP-8)'!O92,0),IF('Asphalt Plant (AP-9)'!$C$5="drum mix plant",'Asphalt Plant (AP-9)'!O92,0),IF('Asphalt Plant (AP-10)'!$C$5="drum mix plant",'Asphalt Plant (AP-10)'!O92,0)))</f>
        <v/>
      </c>
      <c r="G138" s="100" t="str">
        <f>IF(B138="","","lb/ton")</f>
        <v/>
      </c>
      <c r="H138" s="138" t="str">
        <f>IF(B138="","","AP-42 Table 11.1-4,7,8,10")</f>
        <v/>
      </c>
      <c r="I138" s="115" t="str">
        <f>IF(B138="","",SUM(IF('Asphalt Plant (AP-1)'!$C$5="drum mix plant",'Asphalt Plant (AP-1)'!Q92,0),IF('Asphalt Plant (AP-2)'!$C$5="drum mix plant",'Asphalt Plant (AP-2)'!Q92,0),IF('Asphalt Plant (AP-3)'!$C$5="drum mix plant",'Asphalt Plant (AP-3)'!Q92,0),IF('Asphalt Plant (AP-4)'!$C$5="drum mix plant",'Asphalt Plant (AP-4)'!Q92,0),IF('Asphalt Plant (AP-5)'!$C$5="drum mix plant",'Asphalt Plant (AP-5)'!Q92,0),IF('Asphalt Plant (AP-6)'!$C$5="drum mix plant",'Asphalt Plant (AP-6)'!Q92,0),IF('Asphalt Plant (AP-7)'!$C$5="drum mix plant",'Asphalt Plant (AP-7)'!Q92,0),IF('Asphalt Plant (AP-8)'!$C$5="drum mix plant",'Asphalt Plant (AP-8)'!Q92,0),IF('Asphalt Plant (AP-9)'!$C$5="drum mix plant",'Asphalt Plant (AP-9)'!Q92,0),IF('Asphalt Plant (AP-10)'!$C$5="drum mix plant",'Asphalt Plant (AP-10)'!Q92,0)))</f>
        <v/>
      </c>
      <c r="J138" s="115"/>
      <c r="K138" s="115" t="str">
        <f>IF(B138="","",SUM(IF('Asphalt Plant (AP-1)'!$C$5="drum mix plant",'Asphalt Plant (AP-1)'!R92,0),IF('Asphalt Plant (AP-2)'!$C$5="drum mix plant",'Asphalt Plant (AP-2)'!R92,0),IF('Asphalt Plant (AP-3)'!$C$5="drum mix plant",'Asphalt Plant (AP-3)'!R92,0),IF('Asphalt Plant (AP-4)'!$C$5="drum mix plant",'Asphalt Plant (AP-4)'!R92,0),IF('Asphalt Plant (AP-5)'!$C$5="drum mix plant",'Asphalt Plant (AP-5)'!R92,0),IF('Asphalt Plant (AP-6)'!$C$5="drum mix plant",'Asphalt Plant (AP-6)'!R92,0),IF('Asphalt Plant (AP-7)'!$C$5="drum mix plant",'Asphalt Plant (AP-7)'!R92,0),IF('Asphalt Plant (AP-8)'!$C$5="drum mix plant",'Asphalt Plant (AP-8)'!R92,0),IF('Asphalt Plant (AP-9)'!$C$5="drum mix plant",'Asphalt Plant (AP-9)'!R92,0),IF('Asphalt Plant (AP-10)'!$C$5="drum mix plant",'Asphalt Plant (AP-10)'!R92,0)))</f>
        <v/>
      </c>
      <c r="L138" s="115" t="str">
        <f>IF(B138="","",SUM(IF('Asphalt Plant (AP-1)'!$C$5="drum mix plant",'Asphalt Plant (AP-1)'!S92,0),IF('Asphalt Plant (AP-2)'!$C$5="drum mix plant",'Asphalt Plant (AP-2)'!S92,0),IF('Asphalt Plant (AP-3)'!$C$5="drum mix plant",'Asphalt Plant (AP-3)'!S92,0),IF('Asphalt Plant (AP-4)'!$C$5="drum mix plant",'Asphalt Plant (AP-4)'!S92,0),IF('Asphalt Plant (AP-5)'!$C$5="drum mix plant",'Asphalt Plant (AP-5)'!S92,0),IF('Asphalt Plant (AP-6)'!$C$5="drum mix plant",'Asphalt Plant (AP-6)'!S92,0),IF('Asphalt Plant (AP-7)'!$C$5="drum mix plant",'Asphalt Plant (AP-7)'!S92,0),IF('Asphalt Plant (AP-8)'!$C$5="drum mix plant",'Asphalt Plant (AP-8)'!S92,0),IF('Asphalt Plant (AP-9)'!$C$5="drum mix plant",'Asphalt Plant (AP-9)'!S92,0),IF('Asphalt Plant (AP-10)'!$C$5="drum mix plant",'Asphalt Plant (AP-10)'!S92,0)))</f>
        <v/>
      </c>
      <c r="M138" s="115" t="str">
        <f>IF(B138="","",SUM(IF('Asphalt Plant (AP-1)'!$C$5="drum mix plant",'Asphalt Plant (AP-1)'!T92,0),IF('Asphalt Plant (AP-2)'!$C$5="drum mix plant",'Asphalt Plant (AP-2)'!T92,0),IF('Asphalt Plant (AP-3)'!$C$5="drum mix plant",'Asphalt Plant (AP-3)'!T92,0),IF('Asphalt Plant (AP-4)'!$C$5="drum mix plant",'Asphalt Plant (AP-4)'!T92,0),IF('Asphalt Plant (AP-5)'!$C$5="drum mix plant",'Asphalt Plant (AP-5)'!T92,0),IF('Asphalt Plant (AP-6)'!$C$5="drum mix plant",'Asphalt Plant (AP-6)'!T92,0),IF('Asphalt Plant (AP-7)'!$C$5="drum mix plant",'Asphalt Plant (AP-7)'!T92,0),IF('Asphalt Plant (AP-8)'!$C$5="drum mix plant",'Asphalt Plant (AP-8)'!T92,0),IF('Asphalt Plant (AP-9)'!$C$5="drum mix plant",'Asphalt Plant (AP-9)'!T92,0),IF('Asphalt Plant (AP-10)'!$C$5="drum mix plant",'Asphalt Plant (AP-10)'!T92,0)))</f>
        <v/>
      </c>
    </row>
    <row r="139" spans="1:13" s="194" customFormat="1" ht="14.25" customHeight="1" x14ac:dyDescent="0.25">
      <c r="A139" s="30" t="str">
        <f>IF(D139="","","ALL")</f>
        <v/>
      </c>
      <c r="B139" s="135" t="str">
        <f>IF(D139="","","Drum Mix Plant - Natural Gas")</f>
        <v/>
      </c>
      <c r="C139" s="30" t="str">
        <f>IF(B139="","","30500261")</f>
        <v/>
      </c>
      <c r="D139" s="180" t="str">
        <f>IF(SUM(IF('Asphalt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(AP-10)'!N7,0))&gt;0,SUM(IF('Asphalt Plant (AP-1)'!$C$5="drum mix plant",'Asphalt Plant (AP-1)'!N7,0),IF('Asphalt Plant (AP-2)'!$C$5="drum mix plant",'Asphalt Plant (AP-2)'!N7,0),IF('Asphalt Plant (AP-3)'!$C$5="drum mix plant",'Asphalt Plant (AP-3)'!N7,0),IF('Asphalt Plant (AP-4)'!$C$5="drum mix plant",'Asphalt Plant (AP-4)'!N7,0),IF('Asphalt Plant (AP-5)'!$C$5="drum mix plant",'Asphalt Plant (AP-5)'!N7,0),IF('Asphalt Plant (AP-6)'!$C$5="drum mix plant",'Asphalt Plant (AP-6)'!N7,0),IF('Asphalt Plant (AP-7)'!$C$5="drum mix plant",'Asphalt Plant (AP-7)'!N7,0),IF('Asphalt Plant (AP-8)'!$C$5="drum mix plant",'Asphalt Plant (AP-8)'!N7,0),IF('Asphalt Plant (AP-9)'!$C$5="drum mix plant",'Asphalt Plant (AP-9)'!N7,0),IF('Asphalt Plant (AP-10)'!$C$5="drum mix plant",'Asphalt Plant (AP-10)'!N7,0)),"")</f>
        <v/>
      </c>
      <c r="E139" s="180" t="str">
        <f>IF(B139="","","tons/hr")</f>
        <v/>
      </c>
      <c r="F139" s="180" t="str">
        <f>IF(B139="","",MAX(IF('Asphalt Plant (AP-1)'!$C$5="drum mix plant",'Asphalt Plant (AP-1)'!O93,0),IF('Asphalt Plant (AP-2)'!$C$5="drum mix plant",'Asphalt Plant (AP-2)'!O93,0),IF('Asphalt Plant (AP-3)'!$C$5="drum mix plant",'Asphalt Plant (AP-3)'!O93,0),IF('Asphalt Plant (AP-4)'!$C$5="drum mix plant",'Asphalt Plant (AP-4)'!O93,0),IF('Asphalt Plant (AP-5)'!$C$5="drum mix plant",'Asphalt Plant (AP-5)'!O93,0),IF('Asphalt Plant (AP-6)'!$C$5="drum mix plant",'Asphalt Plant (AP-6)'!O93,0),IF('Asphalt Plant (AP-7)'!$C$5="drum mix plant",'Asphalt Plant (AP-7)'!O93,0),IF('Asphalt Plant (AP-8)'!$C$5="drum mix plant",'Asphalt Plant (AP-8)'!O93,0),IF('Asphalt Plant (AP-9)'!$C$5="drum mix plant",'Asphalt Plant (AP-9)'!O93,0),IF('Asphalt Plant (AP-10)'!$C$5="drum mix plant",'Asphalt Plant (AP-10)'!O93,0)))</f>
        <v/>
      </c>
      <c r="G139" s="100" t="str">
        <f>IF(B139="","","lb/ton")</f>
        <v/>
      </c>
      <c r="H139" s="138" t="str">
        <f>IF(B139="","","AP-42 Table 11.1-4,7,8,10,12")</f>
        <v/>
      </c>
      <c r="I139" s="115" t="str">
        <f>IF(B139="","",SUM(IF('Asphalt Plant (AP-1)'!$C$5="drum mix plant",'Asphalt Plant (AP-1)'!Q93,0),IF('Asphalt Plant (AP-2)'!$C$5="drum mix plant",'Asphalt Plant (AP-2)'!Q93,0),IF('Asphalt Plant (AP-3)'!$C$5="drum mix plant",'Asphalt Plant (AP-3)'!Q93,0),IF('Asphalt Plant (AP-4)'!$C$5="drum mix plant",'Asphalt Plant (AP-4)'!Q93,0),IF('Asphalt Plant (AP-5)'!$C$5="drum mix plant",'Asphalt Plant (AP-5)'!Q93,0),IF('Asphalt Plant (AP-6)'!$C$5="drum mix plant",'Asphalt Plant (AP-6)'!Q93,0),IF('Asphalt Plant (AP-7)'!$C$5="drum mix plant",'Asphalt Plant (AP-7)'!Q93,0),IF('Asphalt Plant (AP-8)'!$C$5="drum mix plant",'Asphalt Plant (AP-8)'!Q93,0),IF('Asphalt Plant (AP-9)'!$C$5="drum mix plant",'Asphalt Plant (AP-9)'!Q93,0),IF('Asphalt Plant (AP-10)'!$C$5="drum mix plant",'Asphalt Plant (AP-10)'!Q93,0)))</f>
        <v/>
      </c>
      <c r="J139" s="115"/>
      <c r="K139" s="115" t="str">
        <f>IF(B139="","",SUM(IF('Asphalt Plant (AP-1)'!$C$5="drum mix plant",'Asphalt Plant (AP-1)'!R93,0),IF('Asphalt Plant (AP-2)'!$C$5="drum mix plant",'Asphalt Plant (AP-2)'!R93,0),IF('Asphalt Plant (AP-3)'!$C$5="drum mix plant",'Asphalt Plant (AP-3)'!R93,0),IF('Asphalt Plant (AP-4)'!$C$5="drum mix plant",'Asphalt Plant (AP-4)'!R93,0),IF('Asphalt Plant (AP-5)'!$C$5="drum mix plant",'Asphalt Plant (AP-5)'!R93,0),IF('Asphalt Plant (AP-6)'!$C$5="drum mix plant",'Asphalt Plant (AP-6)'!R93,0),IF('Asphalt Plant (AP-7)'!$C$5="drum mix plant",'Asphalt Plant (AP-7)'!R93,0),IF('Asphalt Plant (AP-8)'!$C$5="drum mix plant",'Asphalt Plant (AP-8)'!R93,0),IF('Asphalt Plant (AP-9)'!$C$5="drum mix plant",'Asphalt Plant (AP-9)'!R93,0),IF('Asphalt Plant (AP-10)'!$C$5="drum mix plant",'Asphalt Plant (AP-10)'!R93,0)))</f>
        <v/>
      </c>
      <c r="L139" s="115" t="str">
        <f>IF(B139="","",SUM(IF('Asphalt Plant (AP-1)'!$C$5="drum mix plant",'Asphalt Plant (AP-1)'!S93,0),IF('Asphalt Plant (AP-2)'!$C$5="drum mix plant",'Asphalt Plant (AP-2)'!S93,0),IF('Asphalt Plant (AP-3)'!$C$5="drum mix plant",'Asphalt Plant (AP-3)'!S93,0),IF('Asphalt Plant (AP-4)'!$C$5="drum mix plant",'Asphalt Plant (AP-4)'!S93,0),IF('Asphalt Plant (AP-5)'!$C$5="drum mix plant",'Asphalt Plant (AP-5)'!S93,0),IF('Asphalt Plant (AP-6)'!$C$5="drum mix plant",'Asphalt Plant (AP-6)'!S93,0),IF('Asphalt Plant (AP-7)'!$C$5="drum mix plant",'Asphalt Plant (AP-7)'!S93,0),IF('Asphalt Plant (AP-8)'!$C$5="drum mix plant",'Asphalt Plant (AP-8)'!S93,0),IF('Asphalt Plant (AP-9)'!$C$5="drum mix plant",'Asphalt Plant (AP-9)'!S93,0),IF('Asphalt Plant (AP-10)'!$C$5="drum mix plant",'Asphalt Plant (AP-10)'!S93,0)))</f>
        <v/>
      </c>
      <c r="M139" s="115" t="str">
        <f>IF(B139="","",SUM(IF('Asphalt Plant (AP-1)'!$C$5="drum mix plant",'Asphalt Plant (AP-1)'!T93,0),IF('Asphalt Plant (AP-2)'!$C$5="drum mix plant",'Asphalt Plant (AP-2)'!T93,0),IF('Asphalt Plant (AP-3)'!$C$5="drum mix plant",'Asphalt Plant (AP-3)'!T93,0),IF('Asphalt Plant (AP-4)'!$C$5="drum mix plant",'Asphalt Plant (AP-4)'!T93,0),IF('Asphalt Plant (AP-5)'!$C$5="drum mix plant",'Asphalt Plant (AP-5)'!T93,0),IF('Asphalt Plant (AP-6)'!$C$5="drum mix plant",'Asphalt Plant (AP-6)'!T93,0),IF('Asphalt Plant (AP-7)'!$C$5="drum mix plant",'Asphalt Plant (AP-7)'!T93,0),IF('Asphalt Plant (AP-8)'!$C$5="drum mix plant",'Asphalt Plant (AP-8)'!T93,0),IF('Asphalt Plant (AP-9)'!$C$5="drum mix plant",'Asphalt Plant (AP-9)'!T93,0),IF('Asphalt Plant (AP-10)'!$C$5="drum mix plant",'Asphalt Plant (AP-10)'!T93,0)))</f>
        <v/>
      </c>
    </row>
    <row r="140" spans="1:13" x14ac:dyDescent="0.25">
      <c r="A140" s="102"/>
      <c r="B140" s="102"/>
      <c r="C140" s="184"/>
      <c r="D140" s="102"/>
      <c r="E140" s="102"/>
      <c r="F140" s="184"/>
      <c r="G140" s="102"/>
      <c r="H140" s="102"/>
      <c r="I140" s="102"/>
      <c r="J140" s="102"/>
    </row>
  </sheetData>
  <sheetProtection algorithmName="SHA-512" hashValue="Dg4LIiwTGhJWV4bApgIAZlmLKaqNfRFKmtuy6FvPpBZcTNWu9Bo4rfJnC4A9khxXc6JRWnCspm9CpDkiLTw0TA==" saltValue="njXIHldGlaIJlWLZA37teA==" spinCount="100000" sheet="1" objects="1" scenarios="1"/>
  <pageMargins left="0.7" right="0.7" top="0.75" bottom="0.75" header="0.3" footer="0.3"/>
  <pageSetup scale="92" fitToHeight="0" orientation="landscape" verticalDpi="300" r:id="rId1"/>
  <ignoredErrors>
    <ignoredError sqref="G1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M301"/>
  <sheetViews>
    <sheetView zoomScaleNormal="100" workbookViewId="0"/>
  </sheetViews>
  <sheetFormatPr defaultRowHeight="15" x14ac:dyDescent="0.25"/>
  <cols>
    <col min="1" max="1" width="5.5703125" style="17" customWidth="1"/>
    <col min="2" max="2" width="21.7109375" style="17" customWidth="1"/>
    <col min="3" max="3" width="18.28515625" style="286" customWidth="1"/>
    <col min="4" max="4" width="10.42578125" style="17" customWidth="1"/>
    <col min="5" max="5" width="5.7109375" style="17" customWidth="1"/>
    <col min="6" max="6" width="8.42578125" style="17" customWidth="1"/>
    <col min="7" max="7" width="6.7109375" style="17" bestFit="1" customWidth="1"/>
    <col min="8" max="8" width="21.5703125" style="17" customWidth="1"/>
    <col min="9" max="9" width="18.85546875" style="286" customWidth="1"/>
    <col min="10" max="10" width="9.140625" style="17"/>
    <col min="11" max="11" width="9.140625" style="17" hidden="1" customWidth="1"/>
    <col min="12" max="12" width="18.42578125" style="17" hidden="1" customWidth="1"/>
    <col min="13" max="13" width="9.140625" style="17" hidden="1" customWidth="1"/>
    <col min="14" max="16384" width="9.140625" style="17"/>
  </cols>
  <sheetData>
    <row r="1" spans="1:13" ht="21.75" customHeight="1" x14ac:dyDescent="0.25">
      <c r="A1" s="289" t="s">
        <v>73</v>
      </c>
      <c r="B1" s="289"/>
      <c r="C1" s="294"/>
      <c r="D1" s="289"/>
    </row>
    <row r="2" spans="1:13" ht="15" customHeight="1" thickBot="1" x14ac:dyDescent="0.3">
      <c r="A2" s="248"/>
      <c r="B2" s="248"/>
      <c r="C2" s="294"/>
      <c r="D2" s="248"/>
    </row>
    <row r="3" spans="1:13" ht="15" hidden="1" customHeight="1" thickBot="1" x14ac:dyDescent="0.3">
      <c r="A3" s="240" t="s">
        <v>297</v>
      </c>
      <c r="B3" s="235"/>
      <c r="C3" s="294"/>
      <c r="D3" s="235"/>
    </row>
    <row r="4" spans="1:13" ht="15.75" thickBot="1" x14ac:dyDescent="0.3">
      <c r="B4" s="290" t="s">
        <v>19</v>
      </c>
      <c r="C4" s="283"/>
      <c r="D4" s="292"/>
      <c r="K4" s="290" t="s">
        <v>18</v>
      </c>
      <c r="L4" s="291"/>
      <c r="M4" s="292"/>
    </row>
    <row r="5" spans="1:13" x14ac:dyDescent="0.25">
      <c r="B5" s="4" t="s">
        <v>20</v>
      </c>
      <c r="C5" s="287" t="s">
        <v>21</v>
      </c>
      <c r="D5" s="5" t="s">
        <v>22</v>
      </c>
      <c r="K5" s="4" t="s">
        <v>20</v>
      </c>
      <c r="L5" s="287" t="s">
        <v>21</v>
      </c>
      <c r="M5" s="5" t="s">
        <v>22</v>
      </c>
    </row>
    <row r="6" spans="1:13" x14ac:dyDescent="0.25">
      <c r="B6" s="2" t="s">
        <v>23</v>
      </c>
      <c r="C6" s="282" t="s">
        <v>23</v>
      </c>
      <c r="D6" s="103">
        <f ca="1">'Emission Calculations'!M20</f>
        <v>0</v>
      </c>
      <c r="K6" s="1" t="s">
        <v>23</v>
      </c>
      <c r="L6" s="282" t="s">
        <v>23</v>
      </c>
      <c r="M6" s="103">
        <f ca="1">'Emission Calculations'!L20</f>
        <v>0</v>
      </c>
    </row>
    <row r="7" spans="1:13" x14ac:dyDescent="0.25">
      <c r="B7" s="2" t="s">
        <v>24</v>
      </c>
      <c r="C7" s="281" t="s">
        <v>24</v>
      </c>
      <c r="D7" s="103">
        <f ca="1">'Emission Calculations'!M38</f>
        <v>0</v>
      </c>
      <c r="K7" s="2" t="s">
        <v>24</v>
      </c>
      <c r="L7" s="281" t="s">
        <v>24</v>
      </c>
      <c r="M7" s="103">
        <f ca="1">'Emission Calculations'!L38</f>
        <v>0</v>
      </c>
    </row>
    <row r="8" spans="1:13" x14ac:dyDescent="0.25">
      <c r="B8" s="2" t="s">
        <v>3</v>
      </c>
      <c r="C8" s="280" t="s">
        <v>25</v>
      </c>
      <c r="D8" s="103">
        <f ca="1">'Emission Calculations'!M51</f>
        <v>0</v>
      </c>
      <c r="K8" s="2" t="s">
        <v>3</v>
      </c>
      <c r="L8" s="280" t="s">
        <v>25</v>
      </c>
      <c r="M8" s="103">
        <f ca="1">'Emission Calculations'!L51</f>
        <v>0</v>
      </c>
    </row>
    <row r="9" spans="1:13" x14ac:dyDescent="0.25">
      <c r="B9" s="2" t="s">
        <v>26</v>
      </c>
      <c r="C9" s="280" t="s">
        <v>26</v>
      </c>
      <c r="D9" s="103">
        <f ca="1">'Emission Calculations'!M62</f>
        <v>0</v>
      </c>
      <c r="K9" s="2" t="s">
        <v>26</v>
      </c>
      <c r="L9" s="280" t="s">
        <v>26</v>
      </c>
      <c r="M9" s="103">
        <f ca="1">'Emission Calculations'!L62</f>
        <v>0</v>
      </c>
    </row>
    <row r="10" spans="1:13" x14ac:dyDescent="0.25">
      <c r="B10" s="2" t="s">
        <v>5</v>
      </c>
      <c r="C10" s="280" t="s">
        <v>5</v>
      </c>
      <c r="D10" s="103">
        <f ca="1">'Emission Calculations'!M72</f>
        <v>0</v>
      </c>
      <c r="K10" s="2" t="s">
        <v>5</v>
      </c>
      <c r="L10" s="280" t="s">
        <v>5</v>
      </c>
      <c r="M10" s="103">
        <f ca="1">'Emission Calculations'!L72</f>
        <v>0</v>
      </c>
    </row>
    <row r="11" spans="1:13" x14ac:dyDescent="0.25">
      <c r="B11" s="2" t="s">
        <v>6</v>
      </c>
      <c r="C11" s="280" t="s">
        <v>27</v>
      </c>
      <c r="D11" s="103">
        <f ca="1">'Emission Calculations'!M83</f>
        <v>0</v>
      </c>
      <c r="K11" s="2" t="s">
        <v>6</v>
      </c>
      <c r="L11" s="280" t="s">
        <v>27</v>
      </c>
      <c r="M11" s="103">
        <f ca="1">'Emission Calculations'!L83</f>
        <v>0</v>
      </c>
    </row>
    <row r="12" spans="1:13" x14ac:dyDescent="0.25">
      <c r="B12" s="2" t="s">
        <v>211</v>
      </c>
      <c r="C12" s="280" t="s">
        <v>285</v>
      </c>
      <c r="D12" s="103">
        <f ca="1">SUM('Emission Calculations'!M88:M89)</f>
        <v>0</v>
      </c>
      <c r="K12" s="2" t="s">
        <v>211</v>
      </c>
      <c r="L12" s="280" t="s">
        <v>285</v>
      </c>
      <c r="M12" s="103">
        <f ca="1">SUM('Emission Calculations'!L88:L89)</f>
        <v>0</v>
      </c>
    </row>
    <row r="13" spans="1:13" x14ac:dyDescent="0.25">
      <c r="B13" s="2" t="s">
        <v>212</v>
      </c>
      <c r="C13" s="280" t="s">
        <v>286</v>
      </c>
      <c r="D13" s="103" t="str">
        <f>'Emission Calculations'!M91</f>
        <v/>
      </c>
      <c r="K13" s="2" t="s">
        <v>212</v>
      </c>
      <c r="L13" s="280" t="s">
        <v>286</v>
      </c>
      <c r="M13" s="103" t="str">
        <f>'Emission Calculations'!L91</f>
        <v/>
      </c>
    </row>
    <row r="14" spans="1:13" x14ac:dyDescent="0.25">
      <c r="B14" s="32" t="s">
        <v>52</v>
      </c>
      <c r="C14" s="285" t="s">
        <v>72</v>
      </c>
      <c r="D14" s="103">
        <f ca="1">'Emission Calculations'!M97</f>
        <v>0</v>
      </c>
      <c r="K14" s="32" t="s">
        <v>52</v>
      </c>
      <c r="L14" s="285" t="s">
        <v>72</v>
      </c>
      <c r="M14" s="104">
        <f ca="1">'Emission Calculations'!L97</f>
        <v>0</v>
      </c>
    </row>
    <row r="15" spans="1:13" x14ac:dyDescent="0.25">
      <c r="B15" s="32" t="s">
        <v>213</v>
      </c>
      <c r="C15" s="285" t="s">
        <v>287</v>
      </c>
      <c r="D15" s="103">
        <f ca="1">SUM('Emission Calculations'!M99:M100)</f>
        <v>0</v>
      </c>
      <c r="K15" s="218" t="s">
        <v>213</v>
      </c>
      <c r="L15" s="285" t="s">
        <v>287</v>
      </c>
      <c r="M15" s="103">
        <f ca="1">SUM('Emission Calculations'!L99:L100)</f>
        <v>0</v>
      </c>
    </row>
    <row r="16" spans="1:13" x14ac:dyDescent="0.25">
      <c r="B16" s="2" t="s">
        <v>7</v>
      </c>
      <c r="C16" s="280" t="s">
        <v>28</v>
      </c>
      <c r="D16" s="103">
        <f ca="1">'Emission Calculations'!M107</f>
        <v>0</v>
      </c>
      <c r="K16" s="2" t="s">
        <v>7</v>
      </c>
      <c r="L16" s="280" t="s">
        <v>28</v>
      </c>
      <c r="M16" s="103">
        <f ca="1">'Emission Calculations'!L107</f>
        <v>0</v>
      </c>
    </row>
    <row r="17" spans="1:13" x14ac:dyDescent="0.25">
      <c r="B17" s="2" t="s">
        <v>214</v>
      </c>
      <c r="C17" s="280" t="s">
        <v>288</v>
      </c>
      <c r="D17" s="103" t="str">
        <f>'Emission Calculations'!M110</f>
        <v/>
      </c>
      <c r="K17" s="2" t="s">
        <v>214</v>
      </c>
      <c r="L17" s="280" t="s">
        <v>288</v>
      </c>
      <c r="M17" s="103" t="str">
        <f>('Emission Calculations'!L110)</f>
        <v/>
      </c>
    </row>
    <row r="18" spans="1:13" x14ac:dyDescent="0.25">
      <c r="B18" s="2" t="s">
        <v>258</v>
      </c>
      <c r="C18" s="280" t="s">
        <v>289</v>
      </c>
      <c r="D18" s="103" t="str">
        <f>'Emission Calculations'!M112</f>
        <v/>
      </c>
      <c r="K18" s="2" t="s">
        <v>258</v>
      </c>
      <c r="L18" s="280" t="s">
        <v>289</v>
      </c>
      <c r="M18" s="103" t="str">
        <f>'Emission Calculations'!L112</f>
        <v/>
      </c>
    </row>
    <row r="19" spans="1:13" x14ac:dyDescent="0.25">
      <c r="B19" s="2" t="s">
        <v>216</v>
      </c>
      <c r="C19" s="280" t="s">
        <v>290</v>
      </c>
      <c r="D19" s="103" t="str">
        <f>'Emission Calculations'!M114</f>
        <v/>
      </c>
      <c r="K19" s="2" t="s">
        <v>216</v>
      </c>
      <c r="L19" s="280" t="s">
        <v>290</v>
      </c>
      <c r="M19" s="103" t="str">
        <f>'Emission Calculations'!L114</f>
        <v/>
      </c>
    </row>
    <row r="20" spans="1:13" x14ac:dyDescent="0.25">
      <c r="B20" s="2" t="s">
        <v>217</v>
      </c>
      <c r="C20" s="280" t="s">
        <v>291</v>
      </c>
      <c r="D20" s="103" t="str">
        <f>'Emission Calculations'!M116</f>
        <v/>
      </c>
      <c r="K20" s="2" t="s">
        <v>217</v>
      </c>
      <c r="L20" s="280" t="s">
        <v>291</v>
      </c>
      <c r="M20" s="103" t="str">
        <f>'Emission Calculations'!L116</f>
        <v/>
      </c>
    </row>
    <row r="21" spans="1:13" x14ac:dyDescent="0.25">
      <c r="B21" s="2" t="s">
        <v>218</v>
      </c>
      <c r="C21" s="280" t="s">
        <v>292</v>
      </c>
      <c r="D21" s="103">
        <f ca="1">SUM('Emission Calculations'!M118:M119)</f>
        <v>0</v>
      </c>
      <c r="K21" s="2" t="s">
        <v>218</v>
      </c>
      <c r="L21" s="280" t="s">
        <v>292</v>
      </c>
      <c r="M21" s="103">
        <f ca="1">SUM('Emission Calculations'!L118:L119)</f>
        <v>0</v>
      </c>
    </row>
    <row r="22" spans="1:13" x14ac:dyDescent="0.25">
      <c r="B22" s="2" t="s">
        <v>219</v>
      </c>
      <c r="C22" s="280" t="s">
        <v>293</v>
      </c>
      <c r="D22" s="103">
        <f ca="1">SUM('Emission Calculations'!M121:M124)</f>
        <v>0</v>
      </c>
      <c r="K22" s="2" t="s">
        <v>219</v>
      </c>
      <c r="L22" s="280" t="s">
        <v>293</v>
      </c>
      <c r="M22" s="103">
        <f ca="1">SUM('Emission Calculations'!L121:L124)</f>
        <v>0</v>
      </c>
    </row>
    <row r="23" spans="1:13" x14ac:dyDescent="0.25">
      <c r="B23" s="2" t="s">
        <v>220</v>
      </c>
      <c r="C23" s="280" t="s">
        <v>294</v>
      </c>
      <c r="D23" s="103">
        <f ca="1">SUM('Emission Calculations'!M126:M127)</f>
        <v>0</v>
      </c>
      <c r="K23" s="2" t="s">
        <v>220</v>
      </c>
      <c r="L23" s="280" t="s">
        <v>294</v>
      </c>
      <c r="M23" s="103">
        <f ca="1">SUM('Emission Calculations'!L126:L127)</f>
        <v>0</v>
      </c>
    </row>
    <row r="24" spans="1:13" x14ac:dyDescent="0.25">
      <c r="B24" s="2" t="s">
        <v>221</v>
      </c>
      <c r="C24" s="280" t="s">
        <v>295</v>
      </c>
      <c r="D24" s="103" t="str">
        <f>'Emission Calculations'!M129</f>
        <v/>
      </c>
      <c r="K24" s="2" t="s">
        <v>221</v>
      </c>
      <c r="L24" s="280" t="s">
        <v>295</v>
      </c>
      <c r="M24" s="103" t="str">
        <f>'Emission Calculations'!L129</f>
        <v/>
      </c>
    </row>
    <row r="25" spans="1:13" x14ac:dyDescent="0.25">
      <c r="B25" s="2" t="s">
        <v>223</v>
      </c>
      <c r="C25" s="280"/>
      <c r="D25" s="103" t="str">
        <f>'Emission Calculations'!M131</f>
        <v/>
      </c>
      <c r="K25" s="2" t="s">
        <v>223</v>
      </c>
      <c r="L25" s="280"/>
      <c r="M25" s="103" t="str">
        <f>'Emission Calculations'!L131</f>
        <v/>
      </c>
    </row>
    <row r="26" spans="1:13" x14ac:dyDescent="0.25">
      <c r="B26" s="2" t="s">
        <v>224</v>
      </c>
      <c r="C26" s="280"/>
      <c r="D26" s="103" t="str">
        <f>'Emission Calculations'!M133</f>
        <v/>
      </c>
      <c r="K26" s="2" t="s">
        <v>224</v>
      </c>
      <c r="L26" s="280"/>
      <c r="M26" s="103" t="str">
        <f>'Emission Calculations'!L133</f>
        <v/>
      </c>
    </row>
    <row r="27" spans="1:13" x14ac:dyDescent="0.25">
      <c r="B27" s="2" t="s">
        <v>225</v>
      </c>
      <c r="C27" s="280"/>
      <c r="D27" s="103" t="str">
        <f>'Emission Calculations'!M135</f>
        <v/>
      </c>
      <c r="K27" s="2" t="s">
        <v>225</v>
      </c>
      <c r="L27" s="280"/>
      <c r="M27" s="103" t="str">
        <f>'Emission Calculations'!L135</f>
        <v/>
      </c>
    </row>
    <row r="28" spans="1:13" x14ac:dyDescent="0.25">
      <c r="B28" s="2" t="s">
        <v>222</v>
      </c>
      <c r="C28" s="280"/>
      <c r="D28" s="103">
        <f>SUM('Emission Calculations'!M137:M139)</f>
        <v>0</v>
      </c>
      <c r="K28" s="2" t="s">
        <v>222</v>
      </c>
      <c r="L28" s="280"/>
      <c r="M28" s="103">
        <f>SUM('Emission Calculations'!L137:L139)</f>
        <v>0</v>
      </c>
    </row>
    <row r="29" spans="1:13" ht="15.75" thickBot="1" x14ac:dyDescent="0.3">
      <c r="B29" s="3" t="s">
        <v>29</v>
      </c>
      <c r="C29" s="284"/>
      <c r="D29" s="105">
        <f ca="1">SUM(D12:D28)</f>
        <v>0</v>
      </c>
      <c r="K29" s="3" t="s">
        <v>29</v>
      </c>
      <c r="L29" s="284"/>
      <c r="M29" s="105">
        <f ca="1">SUM(M12:M28)</f>
        <v>0</v>
      </c>
    </row>
    <row r="31" spans="1:13" ht="18.75" x14ac:dyDescent="0.25">
      <c r="A31" s="289" t="s">
        <v>165</v>
      </c>
      <c r="B31" s="289"/>
      <c r="C31" s="294"/>
      <c r="D31" s="289"/>
    </row>
    <row r="32" spans="1:13" ht="15.75" hidden="1" thickBot="1" x14ac:dyDescent="0.3"/>
    <row r="33" spans="1:11" ht="16.5" hidden="1" thickBot="1" x14ac:dyDescent="0.3">
      <c r="A33" s="106" t="s">
        <v>259</v>
      </c>
      <c r="B33" s="290" t="s">
        <v>163</v>
      </c>
      <c r="C33" s="283"/>
      <c r="D33" s="292"/>
      <c r="G33" s="106" t="s">
        <v>260</v>
      </c>
      <c r="H33" s="290" t="s">
        <v>163</v>
      </c>
      <c r="I33" s="283"/>
      <c r="J33" s="292"/>
    </row>
    <row r="34" spans="1:11" hidden="1" x14ac:dyDescent="0.25">
      <c r="B34" s="4" t="s">
        <v>20</v>
      </c>
      <c r="C34" s="288" t="s">
        <v>21</v>
      </c>
      <c r="D34" s="5" t="s">
        <v>22</v>
      </c>
      <c r="H34" s="4" t="s">
        <v>20</v>
      </c>
      <c r="I34" s="288" t="s">
        <v>21</v>
      </c>
      <c r="J34" s="5" t="s">
        <v>22</v>
      </c>
    </row>
    <row r="35" spans="1:11" hidden="1" x14ac:dyDescent="0.25">
      <c r="B35" s="1" t="s">
        <v>23</v>
      </c>
      <c r="C35" s="282" t="s">
        <v>23</v>
      </c>
      <c r="D35" s="103">
        <f ca="1">SUM('Asphalt Plant (AP-1)'!$S$20:$S$25,'Asphalt Plant (AP-1)'!$S$35,'Haul Roads'!AL8,'Permitted Diesel Engines'!Z54)</f>
        <v>0</v>
      </c>
      <c r="E35" s="107"/>
      <c r="H35" s="1" t="s">
        <v>23</v>
      </c>
      <c r="I35" s="282" t="s">
        <v>23</v>
      </c>
      <c r="J35" s="103">
        <f ca="1">SUM('Asphalt Plant (AP-2)'!S21:S26,'Asphalt Plant (AP-2)'!S36,'Haul Roads'!AL9,'Permitted Diesel Engines'!Z55)</f>
        <v>0</v>
      </c>
      <c r="K35" s="107"/>
    </row>
    <row r="36" spans="1:11" hidden="1" x14ac:dyDescent="0.25">
      <c r="B36" s="2" t="s">
        <v>24</v>
      </c>
      <c r="C36" s="281" t="s">
        <v>24</v>
      </c>
      <c r="D36" s="103">
        <f ca="1">SUM('Asphalt Plant (AP-1)'!S27:S32,'Asphalt Plant (AP-1)'!S35,'Haul Roads'!AN8,'Permitted Diesel Engines'!AC54)</f>
        <v>0</v>
      </c>
      <c r="E36" s="107"/>
      <c r="H36" s="2" t="s">
        <v>24</v>
      </c>
      <c r="I36" s="281" t="s">
        <v>24</v>
      </c>
      <c r="J36" s="103">
        <f ca="1">SUM('Asphalt Plant (AP-2)'!S28:S33,'Asphalt Plant (AP-2)'!S36,'Haul Roads'!AN9,'Permitted Diesel Engines'!AC55)</f>
        <v>0</v>
      </c>
      <c r="K36" s="107"/>
    </row>
    <row r="37" spans="1:11" hidden="1" x14ac:dyDescent="0.25">
      <c r="B37" s="2" t="s">
        <v>3</v>
      </c>
      <c r="C37" s="280" t="s">
        <v>25</v>
      </c>
      <c r="D37" s="103">
        <f ca="1">SUM('Asphalt Plant (AP-1)'!S38:S40,'Permitted Diesel Engines'!AD54)</f>
        <v>0</v>
      </c>
      <c r="E37" s="107" t="str">
        <f ca="1">IF(D37&gt;100,"Thresholds exceeded, contact DNR for assistance.","")</f>
        <v/>
      </c>
      <c r="H37" s="2" t="s">
        <v>3</v>
      </c>
      <c r="I37" s="280" t="s">
        <v>25</v>
      </c>
      <c r="J37" s="103">
        <f ca="1">SUM('Asphalt Plant (AP-2)'!S39:S41,'Permitted Diesel Engines'!AD55)</f>
        <v>0</v>
      </c>
      <c r="K37" s="107" t="str">
        <f ca="1">IF(J37&gt;100,"Thresholds exceeded, contact DNR for assistance.","")</f>
        <v/>
      </c>
    </row>
    <row r="38" spans="1:11" hidden="1" x14ac:dyDescent="0.25">
      <c r="B38" s="2" t="s">
        <v>26</v>
      </c>
      <c r="C38" s="280" t="s">
        <v>26</v>
      </c>
      <c r="D38" s="103">
        <f ca="1">SUM('Asphalt Plant (AP-1)'!S42:S44,'Permitted Diesel Engines'!AG54)</f>
        <v>0</v>
      </c>
      <c r="E38" s="107" t="str">
        <f ca="1">IF(D38&gt;100,"Thresholds exceeded, contact DNR for assistance.","")</f>
        <v/>
      </c>
      <c r="H38" s="2" t="s">
        <v>26</v>
      </c>
      <c r="I38" s="280" t="s">
        <v>26</v>
      </c>
      <c r="J38" s="103">
        <f ca="1">SUM('Asphalt Plant (AP-2)'!S43:S45,'Permitted Diesel Engines'!AG55)</f>
        <v>0</v>
      </c>
      <c r="K38" s="107" t="str">
        <f ca="1">IF(J38&gt;100,"Thresholds exceeded, contact DNR for assistance.","")</f>
        <v/>
      </c>
    </row>
    <row r="39" spans="1:11" hidden="1" x14ac:dyDescent="0.25">
      <c r="B39" s="2" t="s">
        <v>5</v>
      </c>
      <c r="C39" s="280" t="s">
        <v>5</v>
      </c>
      <c r="D39" s="103">
        <f ca="1">SUM('Asphalt Plant (AP-1)'!S46:S49,'Permitted Diesel Engines'!AH54)</f>
        <v>0</v>
      </c>
      <c r="E39" s="107" t="str">
        <f ca="1">IF(D39&gt;100,"Thresholds exceeded, contact DNR for assistance.","")</f>
        <v/>
      </c>
      <c r="H39" s="2" t="s">
        <v>5</v>
      </c>
      <c r="I39" s="280" t="s">
        <v>5</v>
      </c>
      <c r="J39" s="103">
        <f ca="1">SUM('Asphalt Plant (AP-2)'!S47:S49,'Permitted Diesel Engines'!AH55)</f>
        <v>0</v>
      </c>
      <c r="K39" s="107" t="str">
        <f ca="1">IF(J39&gt;100,"Thresholds exceeded, contact DNR for assistance.","")</f>
        <v/>
      </c>
    </row>
    <row r="40" spans="1:11" hidden="1" x14ac:dyDescent="0.25">
      <c r="B40" s="2" t="s">
        <v>6</v>
      </c>
      <c r="C40" s="280" t="s">
        <v>27</v>
      </c>
      <c r="D40" s="103">
        <f ca="1">SUM('Asphalt Plant (AP-1)'!S51:S54,'Permitted Diesel Engines'!AK54)</f>
        <v>0</v>
      </c>
      <c r="E40" s="107" t="str">
        <f ca="1">IF(D40&gt;100,"Thresholds exceeded, contact DNR for assistance.","")</f>
        <v/>
      </c>
      <c r="H40" s="2" t="s">
        <v>6</v>
      </c>
      <c r="I40" s="280" t="s">
        <v>27</v>
      </c>
      <c r="J40" s="103">
        <f ca="1">SUM('Asphalt Plant (AP-2)'!S51:S54,'Permitted Diesel Engines'!AK55)</f>
        <v>0</v>
      </c>
      <c r="K40" s="107" t="str">
        <f ca="1">IF(J40&gt;100,"Thresholds exceeded, contact DNR for assistance.","")</f>
        <v/>
      </c>
    </row>
    <row r="41" spans="1:11" hidden="1" x14ac:dyDescent="0.25">
      <c r="B41" s="2" t="s">
        <v>211</v>
      </c>
      <c r="C41" s="280" t="s">
        <v>285</v>
      </c>
      <c r="D41" s="103">
        <f ca="1">SUM('Asphalt Plant (AP-1)'!$S$56)</f>
        <v>0</v>
      </c>
      <c r="E41" s="107" t="str">
        <f ca="1">IF(D41&gt;10,"Thresholds exceeded, contact DNR for assistance.","")</f>
        <v/>
      </c>
      <c r="H41" s="2" t="s">
        <v>211</v>
      </c>
      <c r="I41" s="280" t="s">
        <v>285</v>
      </c>
      <c r="J41" s="103">
        <f ca="1">SUM('Asphalt Plant (AP-2)'!$S$56)</f>
        <v>0</v>
      </c>
      <c r="K41" s="107" t="str">
        <f ca="1">IF(J41&gt;10,"Thresholds exceeded, contact DNR for assistance.","")</f>
        <v/>
      </c>
    </row>
    <row r="42" spans="1:11" hidden="1" x14ac:dyDescent="0.25">
      <c r="B42" s="2" t="s">
        <v>212</v>
      </c>
      <c r="C42" s="280" t="s">
        <v>286</v>
      </c>
      <c r="D42" s="103">
        <f>'Asphalt Plant (AP-1)'!$S$58</f>
        <v>0</v>
      </c>
      <c r="E42" s="107" t="str">
        <f>IF(D42&gt;10,"Thresholds exceeded, contact DNR for assistance.","")</f>
        <v/>
      </c>
      <c r="H42" s="2" t="s">
        <v>212</v>
      </c>
      <c r="I42" s="280" t="s">
        <v>286</v>
      </c>
      <c r="J42" s="103">
        <f>'Asphalt Plant (AP-2)'!$S$58</f>
        <v>0</v>
      </c>
      <c r="K42" s="107" t="str">
        <f t="shared" ref="K42:K57" si="0">IF(J42&gt;10,"Thresholds exceeded, contact DNR for assistance.","")</f>
        <v/>
      </c>
    </row>
    <row r="43" spans="1:11" hidden="1" x14ac:dyDescent="0.25">
      <c r="B43" s="32" t="s">
        <v>52</v>
      </c>
      <c r="C43" s="285" t="s">
        <v>72</v>
      </c>
      <c r="D43" s="103">
        <f ca="1">SUM('Asphalt Plant (AP-1)'!$S$60,'Permitted Diesel Engines'!$AO$54)</f>
        <v>0</v>
      </c>
      <c r="E43" s="107" t="str">
        <f t="shared" ref="E43:E57" ca="1" si="1">IF(D43&gt;10,"Thresholds exceeded, contact DNR for assistance.","")</f>
        <v/>
      </c>
      <c r="H43" s="32" t="s">
        <v>52</v>
      </c>
      <c r="I43" s="285" t="s">
        <v>72</v>
      </c>
      <c r="J43" s="103">
        <f ca="1">SUM('Asphalt Plant (AP-2)'!$S$60,'Permitted Diesel Engines'!$AO$55)</f>
        <v>0</v>
      </c>
      <c r="K43" s="107" t="str">
        <f t="shared" ca="1" si="0"/>
        <v/>
      </c>
    </row>
    <row r="44" spans="1:11" hidden="1" x14ac:dyDescent="0.25">
      <c r="B44" s="218" t="s">
        <v>213</v>
      </c>
      <c r="C44" s="285" t="s">
        <v>287</v>
      </c>
      <c r="D44" s="103">
        <f ca="1">SUM('Asphalt Plant (AP-1)'!$S$62)</f>
        <v>0</v>
      </c>
      <c r="E44" s="107" t="str">
        <f t="shared" ca="1" si="1"/>
        <v/>
      </c>
      <c r="H44" s="218" t="s">
        <v>213</v>
      </c>
      <c r="I44" s="285" t="s">
        <v>287</v>
      </c>
      <c r="J44" s="103">
        <f ca="1">SUM('Asphalt Plant (AP-2)'!$S$62)</f>
        <v>0</v>
      </c>
      <c r="K44" s="107" t="str">
        <f t="shared" ca="1" si="0"/>
        <v/>
      </c>
    </row>
    <row r="45" spans="1:11" hidden="1" x14ac:dyDescent="0.25">
      <c r="B45" s="2" t="s">
        <v>7</v>
      </c>
      <c r="C45" s="280" t="s">
        <v>28</v>
      </c>
      <c r="D45" s="103">
        <f ca="1">SUM('Asphalt Plant (AP-1)'!$S$64:$S$65,'Permitted Diesel Engines'!$AL$54)</f>
        <v>0</v>
      </c>
      <c r="E45" s="107" t="str">
        <f t="shared" ca="1" si="1"/>
        <v/>
      </c>
      <c r="H45" s="2" t="s">
        <v>7</v>
      </c>
      <c r="I45" s="280" t="s">
        <v>28</v>
      </c>
      <c r="J45" s="103">
        <f ca="1">SUM('Asphalt Plant (AP-2)'!$S$64:$S$65,'Permitted Diesel Engines'!$AL$55)</f>
        <v>0</v>
      </c>
      <c r="K45" s="107" t="str">
        <f t="shared" ca="1" si="0"/>
        <v/>
      </c>
    </row>
    <row r="46" spans="1:11" hidden="1" x14ac:dyDescent="0.25">
      <c r="B46" s="2" t="s">
        <v>214</v>
      </c>
      <c r="C46" s="280" t="s">
        <v>288</v>
      </c>
      <c r="D46" s="103">
        <f>('Asphalt Plant (AP-1)'!$S$67)</f>
        <v>0</v>
      </c>
      <c r="E46" s="107" t="str">
        <f t="shared" si="1"/>
        <v/>
      </c>
      <c r="H46" s="2" t="s">
        <v>214</v>
      </c>
      <c r="I46" s="280" t="s">
        <v>288</v>
      </c>
      <c r="J46" s="103">
        <f>('Asphalt Plant (AP-2)'!$S$67)</f>
        <v>0</v>
      </c>
      <c r="K46" s="107" t="str">
        <f t="shared" si="0"/>
        <v/>
      </c>
    </row>
    <row r="47" spans="1:11" hidden="1" x14ac:dyDescent="0.25">
      <c r="B47" s="2" t="s">
        <v>258</v>
      </c>
      <c r="C47" s="280" t="s">
        <v>289</v>
      </c>
      <c r="D47" s="103">
        <f>'Asphalt Plant (AP-1)'!$S$69</f>
        <v>0</v>
      </c>
      <c r="E47" s="107" t="str">
        <f t="shared" si="1"/>
        <v/>
      </c>
      <c r="H47" s="2" t="s">
        <v>258</v>
      </c>
      <c r="I47" s="280" t="s">
        <v>289</v>
      </c>
      <c r="J47" s="103">
        <f>'Asphalt Plant (AP-2)'!$S$69</f>
        <v>0</v>
      </c>
      <c r="K47" s="107" t="str">
        <f t="shared" si="0"/>
        <v/>
      </c>
    </row>
    <row r="48" spans="1:11" hidden="1" x14ac:dyDescent="0.25">
      <c r="B48" s="2" t="s">
        <v>216</v>
      </c>
      <c r="C48" s="280" t="s">
        <v>290</v>
      </c>
      <c r="D48" s="103">
        <f>'Asphalt Plant (AP-1)'!$S$71</f>
        <v>0</v>
      </c>
      <c r="E48" s="107" t="str">
        <f t="shared" si="1"/>
        <v/>
      </c>
      <c r="H48" s="2" t="s">
        <v>216</v>
      </c>
      <c r="I48" s="280" t="s">
        <v>290</v>
      </c>
      <c r="J48" s="103">
        <f>'Asphalt Plant (AP-2)'!$S$71</f>
        <v>0</v>
      </c>
      <c r="K48" s="107" t="str">
        <f t="shared" si="0"/>
        <v/>
      </c>
    </row>
    <row r="49" spans="1:11" hidden="1" x14ac:dyDescent="0.25">
      <c r="B49" s="2" t="s">
        <v>217</v>
      </c>
      <c r="C49" s="280" t="s">
        <v>291</v>
      </c>
      <c r="D49" s="103">
        <f>'Asphalt Plant (AP-1)'!$S$73</f>
        <v>0</v>
      </c>
      <c r="E49" s="107" t="str">
        <f t="shared" si="1"/>
        <v/>
      </c>
      <c r="H49" s="2" t="s">
        <v>217</v>
      </c>
      <c r="I49" s="280" t="s">
        <v>291</v>
      </c>
      <c r="J49" s="103">
        <f>'Asphalt Plant (AP-2)'!$S$73</f>
        <v>0</v>
      </c>
      <c r="K49" s="107" t="str">
        <f t="shared" si="0"/>
        <v/>
      </c>
    </row>
    <row r="50" spans="1:11" hidden="1" x14ac:dyDescent="0.25">
      <c r="B50" s="2" t="s">
        <v>218</v>
      </c>
      <c r="C50" s="280" t="s">
        <v>292</v>
      </c>
      <c r="D50" s="103">
        <f ca="1">'Asphalt Plant (AP-1)'!$S$75</f>
        <v>0</v>
      </c>
      <c r="E50" s="107" t="str">
        <f t="shared" ca="1" si="1"/>
        <v/>
      </c>
      <c r="H50" s="2" t="s">
        <v>218</v>
      </c>
      <c r="I50" s="280" t="s">
        <v>292</v>
      </c>
      <c r="J50" s="103">
        <f ca="1">'Asphalt Plant (AP-2)'!$S$75</f>
        <v>0</v>
      </c>
      <c r="K50" s="107" t="str">
        <f ca="1">IF(J50&gt;10,"Thresholds exceeded, contact DNR for assistance.","")</f>
        <v/>
      </c>
    </row>
    <row r="51" spans="1:11" hidden="1" x14ac:dyDescent="0.25">
      <c r="B51" s="2" t="s">
        <v>219</v>
      </c>
      <c r="C51" s="280" t="s">
        <v>293</v>
      </c>
      <c r="D51" s="103">
        <f ca="1">SUM('Asphalt Plant (AP-1)'!$S$77:$S$79)</f>
        <v>0</v>
      </c>
      <c r="E51" s="107" t="str">
        <f t="shared" ca="1" si="1"/>
        <v/>
      </c>
      <c r="H51" s="2" t="s">
        <v>219</v>
      </c>
      <c r="I51" s="280" t="s">
        <v>293</v>
      </c>
      <c r="J51" s="103">
        <f ca="1">SUM('Asphalt Plant (AP-2)'!$S$77:$S$79)</f>
        <v>0</v>
      </c>
      <c r="K51" s="107" t="str">
        <f t="shared" ca="1" si="0"/>
        <v/>
      </c>
    </row>
    <row r="52" spans="1:11" hidden="1" x14ac:dyDescent="0.25">
      <c r="B52" s="2" t="s">
        <v>220</v>
      </c>
      <c r="C52" s="280" t="s">
        <v>294</v>
      </c>
      <c r="D52" s="103">
        <f ca="1">'Asphalt Plant (AP-1)'!$S$81</f>
        <v>0</v>
      </c>
      <c r="E52" s="107" t="str">
        <f t="shared" ca="1" si="1"/>
        <v/>
      </c>
      <c r="H52" s="2" t="s">
        <v>220</v>
      </c>
      <c r="I52" s="280" t="s">
        <v>294</v>
      </c>
      <c r="J52" s="103">
        <f ca="1">'Asphalt Plant (AP-2)'!$S$81</f>
        <v>0</v>
      </c>
      <c r="K52" s="107" t="str">
        <f t="shared" ca="1" si="0"/>
        <v/>
      </c>
    </row>
    <row r="53" spans="1:11" hidden="1" x14ac:dyDescent="0.25">
      <c r="B53" s="2" t="s">
        <v>221</v>
      </c>
      <c r="C53" s="280" t="s">
        <v>295</v>
      </c>
      <c r="D53" s="103">
        <f>'Asphalt Plant (AP-1)'!$S$83</f>
        <v>0</v>
      </c>
      <c r="E53" s="107" t="str">
        <f t="shared" si="1"/>
        <v/>
      </c>
      <c r="H53" s="2" t="s">
        <v>221</v>
      </c>
      <c r="I53" s="280" t="s">
        <v>295</v>
      </c>
      <c r="J53" s="103">
        <f>'Asphalt Plant (AP-2)'!$S$83</f>
        <v>0</v>
      </c>
      <c r="K53" s="107" t="str">
        <f t="shared" si="0"/>
        <v/>
      </c>
    </row>
    <row r="54" spans="1:11" hidden="1" x14ac:dyDescent="0.25">
      <c r="B54" s="2" t="s">
        <v>223</v>
      </c>
      <c r="C54" s="280"/>
      <c r="D54" s="103">
        <f>'Asphalt Plant (AP-1)'!$S$85</f>
        <v>0</v>
      </c>
      <c r="E54" s="107" t="str">
        <f t="shared" si="1"/>
        <v/>
      </c>
      <c r="H54" s="2" t="s">
        <v>223</v>
      </c>
      <c r="I54" s="280"/>
      <c r="J54" s="103">
        <f>'Asphalt Plant (AP-2)'!$S$85</f>
        <v>0</v>
      </c>
      <c r="K54" s="107" t="str">
        <f t="shared" si="0"/>
        <v/>
      </c>
    </row>
    <row r="55" spans="1:11" hidden="1" x14ac:dyDescent="0.25">
      <c r="B55" s="2" t="s">
        <v>224</v>
      </c>
      <c r="C55" s="280"/>
      <c r="D55" s="103">
        <f>'Asphalt Plant (AP-1)'!$S$87</f>
        <v>0</v>
      </c>
      <c r="E55" s="107" t="str">
        <f t="shared" si="1"/>
        <v/>
      </c>
      <c r="H55" s="2" t="s">
        <v>224</v>
      </c>
      <c r="I55" s="280"/>
      <c r="J55" s="103">
        <f>'Asphalt Plant (AP-2)'!$S$87</f>
        <v>0</v>
      </c>
      <c r="K55" s="107" t="str">
        <f t="shared" si="0"/>
        <v/>
      </c>
    </row>
    <row r="56" spans="1:11" hidden="1" x14ac:dyDescent="0.25">
      <c r="B56" s="2" t="s">
        <v>225</v>
      </c>
      <c r="C56" s="280"/>
      <c r="D56" s="103">
        <f>'Asphalt Plant (AP-1)'!$S$89</f>
        <v>0</v>
      </c>
      <c r="E56" s="107" t="str">
        <f t="shared" si="1"/>
        <v/>
      </c>
      <c r="H56" s="2" t="s">
        <v>225</v>
      </c>
      <c r="I56" s="280"/>
      <c r="J56" s="103">
        <f>'Asphalt Plant (AP-2)'!$S$89</f>
        <v>0</v>
      </c>
      <c r="K56" s="107" t="str">
        <f t="shared" si="0"/>
        <v/>
      </c>
    </row>
    <row r="57" spans="1:11" hidden="1" x14ac:dyDescent="0.25">
      <c r="B57" s="2" t="s">
        <v>222</v>
      </c>
      <c r="C57" s="280"/>
      <c r="D57" s="103">
        <f>SUM('Asphalt Plant (AP-1)'!$S$91:$S$93)</f>
        <v>0</v>
      </c>
      <c r="E57" s="107" t="str">
        <f t="shared" si="1"/>
        <v/>
      </c>
      <c r="H57" s="2" t="s">
        <v>222</v>
      </c>
      <c r="I57" s="280"/>
      <c r="J57" s="103">
        <f>SUM('Asphalt Plant (AP-2)'!$S$91:$S$93)</f>
        <v>0</v>
      </c>
      <c r="K57" s="107" t="str">
        <f t="shared" si="0"/>
        <v/>
      </c>
    </row>
    <row r="58" spans="1:11" ht="15.75" hidden="1" thickBot="1" x14ac:dyDescent="0.3">
      <c r="B58" s="3" t="s">
        <v>29</v>
      </c>
      <c r="C58" s="284"/>
      <c r="D58" s="105">
        <f ca="1">SUM(D41:D57)</f>
        <v>0</v>
      </c>
      <c r="E58" s="107" t="str">
        <f ca="1">IF(D58&gt;25,"Thresholds exceeded, contact DNR for assistance.","")</f>
        <v/>
      </c>
      <c r="H58" s="3" t="s">
        <v>29</v>
      </c>
      <c r="I58" s="284"/>
      <c r="J58" s="105">
        <f ca="1">SUM(J41:J57)</f>
        <v>0</v>
      </c>
      <c r="K58" s="107" t="str">
        <f ca="1">IF(J58&gt;25,"Thresholds exceeded, contact DNR for assistance.","")</f>
        <v/>
      </c>
    </row>
    <row r="59" spans="1:11" ht="15.75" thickBot="1" x14ac:dyDescent="0.3"/>
    <row r="60" spans="1:11" ht="16.5" thickBot="1" x14ac:dyDescent="0.3">
      <c r="A60" s="106" t="s">
        <v>259</v>
      </c>
      <c r="B60" s="290" t="s">
        <v>164</v>
      </c>
      <c r="C60" s="283"/>
      <c r="D60" s="292"/>
      <c r="G60" s="106" t="s">
        <v>260</v>
      </c>
      <c r="H60" s="290" t="s">
        <v>164</v>
      </c>
      <c r="I60" s="283"/>
      <c r="J60" s="292"/>
    </row>
    <row r="61" spans="1:11" x14ac:dyDescent="0.25">
      <c r="B61" s="4" t="s">
        <v>20</v>
      </c>
      <c r="C61" s="288" t="s">
        <v>21</v>
      </c>
      <c r="D61" s="5" t="s">
        <v>22</v>
      </c>
      <c r="E61" s="107"/>
      <c r="H61" s="4" t="s">
        <v>20</v>
      </c>
      <c r="I61" s="288" t="s">
        <v>21</v>
      </c>
      <c r="J61" s="5" t="s">
        <v>22</v>
      </c>
      <c r="K61" s="107"/>
    </row>
    <row r="62" spans="1:11" x14ac:dyDescent="0.25">
      <c r="B62" s="2" t="s">
        <v>23</v>
      </c>
      <c r="C62" s="282" t="s">
        <v>23</v>
      </c>
      <c r="D62" s="103">
        <f ca="1">SUM('Asphalt Plant (AP-1)'!T20:T25,'Asphalt Plant (AP-1)'!T35,'Haul Roads'!AM8,'Permitted Diesel Engines'!AA54)</f>
        <v>0</v>
      </c>
      <c r="E62" s="107"/>
      <c r="H62" s="2" t="s">
        <v>23</v>
      </c>
      <c r="I62" s="282" t="s">
        <v>23</v>
      </c>
      <c r="J62" s="103">
        <f ca="1">SUM('Asphalt Plant (AP-2)'!T21:T26,'Asphalt Plant (AP-2)'!T36,,'Haul Roads'!AM9,'Permitted Diesel Engines'!AA55)</f>
        <v>0</v>
      </c>
      <c r="K62" s="107"/>
    </row>
    <row r="63" spans="1:11" x14ac:dyDescent="0.25">
      <c r="B63" s="2" t="s">
        <v>24</v>
      </c>
      <c r="C63" s="281" t="s">
        <v>24</v>
      </c>
      <c r="D63" s="103">
        <f ca="1">SUM('Asphalt Plant (AP-1)'!T27:T32,'Asphalt Plant (AP-1)'!T35,'Haul Roads'!AO8,'Permitted Diesel Engines'!AB54)</f>
        <v>0</v>
      </c>
      <c r="E63" s="107"/>
      <c r="H63" s="2" t="s">
        <v>24</v>
      </c>
      <c r="I63" s="281" t="s">
        <v>24</v>
      </c>
      <c r="J63" s="103">
        <f ca="1">SUM('Asphalt Plant (AP-2)'!T28:T33,'Asphalt Plant (AP-2)'!T36,'Haul Roads'!AO9,'Permitted Diesel Engines'!AB55)</f>
        <v>0</v>
      </c>
      <c r="K63" s="107"/>
    </row>
    <row r="64" spans="1:11" x14ac:dyDescent="0.25">
      <c r="B64" s="2" t="s">
        <v>3</v>
      </c>
      <c r="C64" s="280" t="s">
        <v>25</v>
      </c>
      <c r="D64" s="103">
        <f ca="1">SUM('Asphalt Plant (AP-1)'!T38:T41,'Permitted Diesel Engines'!AE54)</f>
        <v>0</v>
      </c>
      <c r="E64" s="107"/>
      <c r="H64" s="2" t="s">
        <v>3</v>
      </c>
      <c r="I64" s="280" t="s">
        <v>25</v>
      </c>
      <c r="J64" s="103">
        <f ca="1">SUM('Asphalt Plant (AP-2)'!T39:T42,'Permitted Diesel Engines'!AE55)</f>
        <v>0</v>
      </c>
      <c r="K64" s="107"/>
    </row>
    <row r="65" spans="2:11" x14ac:dyDescent="0.25">
      <c r="B65" s="2" t="s">
        <v>26</v>
      </c>
      <c r="C65" s="280" t="s">
        <v>26</v>
      </c>
      <c r="D65" s="103">
        <f ca="1">SUM('Asphalt Plant (AP-1)'!T42:T44,'Permitted Diesel Engines'!AF54)</f>
        <v>0</v>
      </c>
      <c r="E65" s="107"/>
      <c r="H65" s="2" t="s">
        <v>26</v>
      </c>
      <c r="I65" s="280" t="s">
        <v>26</v>
      </c>
      <c r="J65" s="103">
        <f ca="1">SUM('Asphalt Plant (AP-2)'!T43:T45,'Permitted Diesel Engines'!AF55)</f>
        <v>0</v>
      </c>
      <c r="K65" s="107"/>
    </row>
    <row r="66" spans="2:11" x14ac:dyDescent="0.25">
      <c r="B66" s="2" t="s">
        <v>5</v>
      </c>
      <c r="C66" s="280" t="s">
        <v>5</v>
      </c>
      <c r="D66" s="103">
        <f ca="1">SUM('Asphalt Plant (AP-1)'!T46:T49,'Permitted Diesel Engines'!AI54)</f>
        <v>0</v>
      </c>
      <c r="E66" s="107"/>
      <c r="H66" s="2" t="s">
        <v>5</v>
      </c>
      <c r="I66" s="280" t="s">
        <v>5</v>
      </c>
      <c r="J66" s="103">
        <f ca="1">SUM('Asphalt Plant (AP-2)'!T47:T49,'Permitted Diesel Engines'!AI55)</f>
        <v>0</v>
      </c>
      <c r="K66" s="107"/>
    </row>
    <row r="67" spans="2:11" x14ac:dyDescent="0.25">
      <c r="B67" s="2" t="s">
        <v>6</v>
      </c>
      <c r="C67" s="280" t="s">
        <v>27</v>
      </c>
      <c r="D67" s="103">
        <f ca="1">SUM('Asphalt Plant (AP-1)'!T51:T54,'Permitted Diesel Engines'!AJ54)</f>
        <v>0</v>
      </c>
      <c r="E67" s="107"/>
      <c r="H67" s="2" t="s">
        <v>6</v>
      </c>
      <c r="I67" s="280" t="s">
        <v>27</v>
      </c>
      <c r="J67" s="103">
        <f ca="1">SUM('Asphalt Plant (AP-2)'!T51:T54,'Permitted Diesel Engines'!AJ55)</f>
        <v>0</v>
      </c>
      <c r="K67" s="107"/>
    </row>
    <row r="68" spans="2:11" x14ac:dyDescent="0.25">
      <c r="B68" s="2" t="s">
        <v>211</v>
      </c>
      <c r="C68" s="280" t="s">
        <v>285</v>
      </c>
      <c r="D68" s="103">
        <f ca="1">SUM('Asphalt Plant (AP-1)'!$T$56)</f>
        <v>0</v>
      </c>
      <c r="E68" s="219"/>
      <c r="H68" s="2" t="s">
        <v>211</v>
      </c>
      <c r="I68" s="280" t="s">
        <v>285</v>
      </c>
      <c r="J68" s="103">
        <f ca="1">SUM('Asphalt Plant (AP-2)'!$T$56)</f>
        <v>0</v>
      </c>
      <c r="K68" s="107"/>
    </row>
    <row r="69" spans="2:11" x14ac:dyDescent="0.25">
      <c r="B69" s="2" t="s">
        <v>212</v>
      </c>
      <c r="C69" s="280" t="s">
        <v>286</v>
      </c>
      <c r="D69" s="103">
        <f ca="1">'Asphalt Plant (AP-1)'!$T$58</f>
        <v>0</v>
      </c>
      <c r="E69" s="219"/>
      <c r="H69" s="2" t="s">
        <v>212</v>
      </c>
      <c r="I69" s="280" t="s">
        <v>286</v>
      </c>
      <c r="J69" s="103">
        <f ca="1">'Asphalt Plant (AP-2)'!$T$58</f>
        <v>0</v>
      </c>
      <c r="K69" s="107"/>
    </row>
    <row r="70" spans="2:11" x14ac:dyDescent="0.25">
      <c r="B70" s="32" t="s">
        <v>52</v>
      </c>
      <c r="C70" s="285" t="s">
        <v>72</v>
      </c>
      <c r="D70" s="103">
        <f ca="1">SUM('Asphalt Plant (AP-1)'!$T$60,'Permitted Diesel Engines'!$AN$54)</f>
        <v>0</v>
      </c>
      <c r="E70" s="219"/>
      <c r="H70" s="32" t="s">
        <v>52</v>
      </c>
      <c r="I70" s="285" t="s">
        <v>72</v>
      </c>
      <c r="J70" s="103">
        <f ca="1">SUM('Asphalt Plant (AP-2)'!$T$60,'Permitted Diesel Engines'!$AN$55)</f>
        <v>0</v>
      </c>
      <c r="K70" s="107"/>
    </row>
    <row r="71" spans="2:11" x14ac:dyDescent="0.25">
      <c r="B71" s="218" t="s">
        <v>213</v>
      </c>
      <c r="C71" s="285" t="s">
        <v>287</v>
      </c>
      <c r="D71" s="103">
        <f ca="1">SUM('Asphalt Plant (AP-1)'!$T$62)</f>
        <v>0</v>
      </c>
      <c r="E71" s="219"/>
      <c r="H71" s="218" t="s">
        <v>213</v>
      </c>
      <c r="I71" s="285" t="s">
        <v>287</v>
      </c>
      <c r="J71" s="103">
        <f ca="1">SUM('Asphalt Plant (AP-2)'!$T$62)</f>
        <v>0</v>
      </c>
    </row>
    <row r="72" spans="2:11" x14ac:dyDescent="0.25">
      <c r="B72" s="2" t="s">
        <v>7</v>
      </c>
      <c r="C72" s="280" t="s">
        <v>28</v>
      </c>
      <c r="D72" s="103">
        <f ca="1">SUM('Asphalt Plant (AP-1)'!$T$64:$T$65,'Permitted Diesel Engines'!$AM$54)</f>
        <v>0</v>
      </c>
      <c r="E72" s="219"/>
      <c r="H72" s="2" t="s">
        <v>7</v>
      </c>
      <c r="I72" s="280" t="s">
        <v>28</v>
      </c>
      <c r="J72" s="103">
        <f ca="1">SUM('Asphalt Plant (AP-2)'!$T$64:$T$65,'Permitted Diesel Engines'!$AM$55)</f>
        <v>0</v>
      </c>
    </row>
    <row r="73" spans="2:11" x14ac:dyDescent="0.25">
      <c r="B73" s="2" t="s">
        <v>214</v>
      </c>
      <c r="C73" s="280" t="s">
        <v>288</v>
      </c>
      <c r="D73" s="103">
        <f>('Asphalt Plant (AP-1)'!$T$67)</f>
        <v>0</v>
      </c>
      <c r="E73" s="219"/>
      <c r="H73" s="2" t="s">
        <v>214</v>
      </c>
      <c r="I73" s="280" t="s">
        <v>288</v>
      </c>
      <c r="J73" s="103">
        <f>('Asphalt Plant (AP-2)'!$T$67)</f>
        <v>0</v>
      </c>
    </row>
    <row r="74" spans="2:11" x14ac:dyDescent="0.25">
      <c r="B74" s="2" t="s">
        <v>258</v>
      </c>
      <c r="C74" s="280" t="s">
        <v>289</v>
      </c>
      <c r="D74" s="103">
        <f>'Asphalt Plant (AP-1)'!$T$69</f>
        <v>0</v>
      </c>
      <c r="E74" s="219"/>
      <c r="H74" s="2" t="s">
        <v>258</v>
      </c>
      <c r="I74" s="280" t="s">
        <v>289</v>
      </c>
      <c r="J74" s="103">
        <f>'Asphalt Plant (AP-2)'!$T$69</f>
        <v>0</v>
      </c>
    </row>
    <row r="75" spans="2:11" x14ac:dyDescent="0.25">
      <c r="B75" s="2" t="s">
        <v>216</v>
      </c>
      <c r="C75" s="280" t="s">
        <v>290</v>
      </c>
      <c r="D75" s="103">
        <f>'Asphalt Plant (AP-1)'!$T$71</f>
        <v>0</v>
      </c>
      <c r="E75" s="219"/>
      <c r="H75" s="2" t="s">
        <v>216</v>
      </c>
      <c r="I75" s="280" t="s">
        <v>290</v>
      </c>
      <c r="J75" s="103">
        <f>'Asphalt Plant (AP-2)'!$T$71</f>
        <v>0</v>
      </c>
    </row>
    <row r="76" spans="2:11" x14ac:dyDescent="0.25">
      <c r="B76" s="2" t="s">
        <v>217</v>
      </c>
      <c r="C76" s="280" t="s">
        <v>291</v>
      </c>
      <c r="D76" s="103">
        <f>'Asphalt Plant (AP-1)'!$T$73</f>
        <v>0</v>
      </c>
      <c r="E76" s="219"/>
      <c r="H76" s="2" t="s">
        <v>217</v>
      </c>
      <c r="I76" s="280" t="s">
        <v>291</v>
      </c>
      <c r="J76" s="103">
        <f>'Asphalt Plant (AP-2)'!$T$73</f>
        <v>0</v>
      </c>
    </row>
    <row r="77" spans="2:11" x14ac:dyDescent="0.25">
      <c r="B77" s="2" t="s">
        <v>218</v>
      </c>
      <c r="C77" s="280" t="s">
        <v>292</v>
      </c>
      <c r="D77" s="103">
        <f ca="1">'Asphalt Plant (AP-1)'!$T$75</f>
        <v>0</v>
      </c>
      <c r="E77" s="219"/>
      <c r="H77" s="2" t="s">
        <v>218</v>
      </c>
      <c r="I77" s="280" t="s">
        <v>292</v>
      </c>
      <c r="J77" s="103">
        <f ca="1">'Asphalt Plant (AP-2)'!$T$75</f>
        <v>0</v>
      </c>
    </row>
    <row r="78" spans="2:11" x14ac:dyDescent="0.25">
      <c r="B78" s="2" t="s">
        <v>219</v>
      </c>
      <c r="C78" s="280" t="s">
        <v>293</v>
      </c>
      <c r="D78" s="103">
        <f ca="1">SUM('Asphalt Plant (AP-1)'!$T$77:$T$79)</f>
        <v>0</v>
      </c>
      <c r="E78" s="219"/>
      <c r="H78" s="2" t="s">
        <v>219</v>
      </c>
      <c r="I78" s="280" t="s">
        <v>293</v>
      </c>
      <c r="J78" s="103">
        <f ca="1">SUM('Asphalt Plant (AP-2)'!$T$77:$T$79)</f>
        <v>0</v>
      </c>
    </row>
    <row r="79" spans="2:11" x14ac:dyDescent="0.25">
      <c r="B79" s="2" t="s">
        <v>220</v>
      </c>
      <c r="C79" s="280" t="s">
        <v>294</v>
      </c>
      <c r="D79" s="103">
        <f ca="1">'Asphalt Plant (AP-1)'!$T$81</f>
        <v>0</v>
      </c>
      <c r="E79" s="219"/>
      <c r="H79" s="2" t="s">
        <v>220</v>
      </c>
      <c r="I79" s="280" t="s">
        <v>294</v>
      </c>
      <c r="J79" s="103">
        <f ca="1">'Asphalt Plant (AP-2)'!$T$81</f>
        <v>0</v>
      </c>
    </row>
    <row r="80" spans="2:11" x14ac:dyDescent="0.25">
      <c r="B80" s="2" t="s">
        <v>221</v>
      </c>
      <c r="C80" s="280" t="s">
        <v>295</v>
      </c>
      <c r="D80" s="103">
        <f>'Asphalt Plant (AP-1)'!$T$83</f>
        <v>0</v>
      </c>
      <c r="E80" s="219"/>
      <c r="H80" s="2" t="s">
        <v>221</v>
      </c>
      <c r="I80" s="280" t="s">
        <v>295</v>
      </c>
      <c r="J80" s="103">
        <f>'Asphalt Plant (AP-2)'!$T$83</f>
        <v>0</v>
      </c>
    </row>
    <row r="81" spans="1:11" x14ac:dyDescent="0.25">
      <c r="B81" s="2" t="s">
        <v>223</v>
      </c>
      <c r="C81" s="280"/>
      <c r="D81" s="103">
        <f>'Asphalt Plant (AP-1)'!$T$85</f>
        <v>0</v>
      </c>
      <c r="E81" s="219"/>
      <c r="H81" s="2" t="s">
        <v>223</v>
      </c>
      <c r="I81" s="280"/>
      <c r="J81" s="103">
        <f>'Asphalt Plant (AP-2)'!$T$85</f>
        <v>0</v>
      </c>
    </row>
    <row r="82" spans="1:11" x14ac:dyDescent="0.25">
      <c r="B82" s="2" t="s">
        <v>224</v>
      </c>
      <c r="C82" s="280"/>
      <c r="D82" s="103">
        <f>'Asphalt Plant (AP-1)'!$T$87</f>
        <v>0</v>
      </c>
      <c r="E82" s="219"/>
      <c r="H82" s="2" t="s">
        <v>224</v>
      </c>
      <c r="I82" s="280"/>
      <c r="J82" s="103">
        <f>'Asphalt Plant (AP-2)'!$T$87</f>
        <v>0</v>
      </c>
    </row>
    <row r="83" spans="1:11" x14ac:dyDescent="0.25">
      <c r="B83" s="2" t="s">
        <v>225</v>
      </c>
      <c r="C83" s="280"/>
      <c r="D83" s="103">
        <f>'Asphalt Plant (AP-1)'!$T$89</f>
        <v>0</v>
      </c>
      <c r="E83" s="219"/>
      <c r="H83" s="2" t="s">
        <v>225</v>
      </c>
      <c r="I83" s="280"/>
      <c r="J83" s="103">
        <f>'Asphalt Plant (AP-2)'!$T$89</f>
        <v>0</v>
      </c>
    </row>
    <row r="84" spans="1:11" x14ac:dyDescent="0.25">
      <c r="B84" s="2" t="s">
        <v>222</v>
      </c>
      <c r="C84" s="280"/>
      <c r="D84" s="103">
        <f>SUM('Asphalt Plant (AP-1)'!$T$91:$T$93)</f>
        <v>0</v>
      </c>
      <c r="E84" s="219"/>
      <c r="H84" s="2" t="s">
        <v>222</v>
      </c>
      <c r="I84" s="280"/>
      <c r="J84" s="103">
        <f>SUM('Asphalt Plant (AP-2)'!$T$91:$T$93)</f>
        <v>0</v>
      </c>
    </row>
    <row r="85" spans="1:11" ht="15.75" thickBot="1" x14ac:dyDescent="0.3">
      <c r="B85" s="3" t="s">
        <v>29</v>
      </c>
      <c r="C85" s="284"/>
      <c r="D85" s="105">
        <f ca="1">SUM(D68:D84)</f>
        <v>0</v>
      </c>
      <c r="H85" s="3" t="s">
        <v>29</v>
      </c>
      <c r="I85" s="284"/>
      <c r="J85" s="105">
        <f ca="1">SUM(J68:J84)</f>
        <v>0</v>
      </c>
    </row>
    <row r="86" spans="1:11" ht="15.75" thickBot="1" x14ac:dyDescent="0.3"/>
    <row r="87" spans="1:11" ht="16.5" hidden="1" thickBot="1" x14ac:dyDescent="0.3">
      <c r="A87" s="106" t="s">
        <v>261</v>
      </c>
      <c r="B87" s="290" t="s">
        <v>163</v>
      </c>
      <c r="C87" s="283"/>
      <c r="D87" s="292"/>
      <c r="E87" s="107"/>
      <c r="G87" s="106" t="s">
        <v>262</v>
      </c>
      <c r="H87" s="290" t="s">
        <v>163</v>
      </c>
      <c r="I87" s="283"/>
      <c r="J87" s="292"/>
      <c r="K87" s="107"/>
    </row>
    <row r="88" spans="1:11" hidden="1" x14ac:dyDescent="0.25">
      <c r="B88" s="4" t="s">
        <v>20</v>
      </c>
      <c r="C88" s="288" t="s">
        <v>21</v>
      </c>
      <c r="D88" s="5" t="s">
        <v>22</v>
      </c>
      <c r="E88" s="107"/>
      <c r="H88" s="4" t="s">
        <v>20</v>
      </c>
      <c r="I88" s="288" t="s">
        <v>21</v>
      </c>
      <c r="J88" s="5" t="s">
        <v>22</v>
      </c>
      <c r="K88" s="107"/>
    </row>
    <row r="89" spans="1:11" hidden="1" x14ac:dyDescent="0.25">
      <c r="B89" s="1" t="s">
        <v>23</v>
      </c>
      <c r="C89" s="282" t="s">
        <v>23</v>
      </c>
      <c r="D89" s="103">
        <f ca="1">SUM('Asphalt Plant (AP-3)'!S21:S26,'Asphalt Plant (AP-3)'!S36,'Haul Roads'!AL10,'Permitted Diesel Engines'!Z56)</f>
        <v>0</v>
      </c>
      <c r="E89" s="107"/>
      <c r="H89" s="1" t="s">
        <v>23</v>
      </c>
      <c r="I89" s="282" t="s">
        <v>23</v>
      </c>
      <c r="J89" s="103">
        <f ca="1">SUM('Asphalt Plant (AP-4)'!S21:S26,'Asphalt Plant (AP-4)'!S36,'Haul Roads'!AL11,'Permitted Diesel Engines'!Z57)</f>
        <v>0</v>
      </c>
      <c r="K89" s="107"/>
    </row>
    <row r="90" spans="1:11" hidden="1" x14ac:dyDescent="0.25">
      <c r="B90" s="2" t="s">
        <v>24</v>
      </c>
      <c r="C90" s="281" t="s">
        <v>24</v>
      </c>
      <c r="D90" s="103">
        <f ca="1">SUM('Asphalt Plant (AP-3)'!S28:S33,'Asphalt Plant (AP-3)'!S36,'Haul Roads'!AN10,'Permitted Diesel Engines'!AC56)</f>
        <v>0</v>
      </c>
      <c r="E90" s="107"/>
      <c r="H90" s="2" t="s">
        <v>24</v>
      </c>
      <c r="I90" s="281" t="s">
        <v>24</v>
      </c>
      <c r="J90" s="103">
        <f ca="1">SUM('Asphalt Plant (AP-4)'!S28:S33,'Asphalt Plant (AP-4)'!S36,'Haul Roads'!AN11,'Permitted Diesel Engines'!AC57)</f>
        <v>0</v>
      </c>
      <c r="K90" s="107"/>
    </row>
    <row r="91" spans="1:11" hidden="1" x14ac:dyDescent="0.25">
      <c r="B91" s="2" t="s">
        <v>3</v>
      </c>
      <c r="C91" s="280" t="s">
        <v>25</v>
      </c>
      <c r="D91" s="103">
        <f ca="1">SUM('Asphalt Plant (AP-3)'!S39:S41,'Permitted Diesel Engines'!AD56)</f>
        <v>0</v>
      </c>
      <c r="E91" s="107" t="str">
        <f ca="1">IF(D91&gt;100,"Thresholds exceeded, contact DNR for assistance.","")</f>
        <v/>
      </c>
      <c r="H91" s="2" t="s">
        <v>3</v>
      </c>
      <c r="I91" s="280" t="s">
        <v>25</v>
      </c>
      <c r="J91" s="103">
        <f ca="1">SUM('Asphalt Plant (AP-4)'!S39:S41,'Permitted Diesel Engines'!AD57)</f>
        <v>0</v>
      </c>
      <c r="K91" s="107" t="str">
        <f ca="1">IF(J91&gt;100,"Thresholds exceeded, contact DNR for assistance.","")</f>
        <v/>
      </c>
    </row>
    <row r="92" spans="1:11" hidden="1" x14ac:dyDescent="0.25">
      <c r="B92" s="2" t="s">
        <v>26</v>
      </c>
      <c r="C92" s="280" t="s">
        <v>26</v>
      </c>
      <c r="D92" s="103">
        <f ca="1">SUM('Asphalt Plant (AP-3)'!S43:S45,'Permitted Diesel Engines'!AG56)</f>
        <v>0</v>
      </c>
      <c r="E92" s="107" t="str">
        <f ca="1">IF(D92&gt;100,"Thresholds exceeded, contact DNR for assistance.","")</f>
        <v/>
      </c>
      <c r="H92" s="2" t="s">
        <v>26</v>
      </c>
      <c r="I92" s="280" t="s">
        <v>26</v>
      </c>
      <c r="J92" s="103">
        <f ca="1">SUM('Asphalt Plant (AP-4)'!S43:S45,'Permitted Diesel Engines'!AG57)</f>
        <v>0</v>
      </c>
      <c r="K92" s="107" t="str">
        <f ca="1">IF(J92&gt;100,"Thresholds exceeded, contact DNR for assistance.","")</f>
        <v/>
      </c>
    </row>
    <row r="93" spans="1:11" hidden="1" x14ac:dyDescent="0.25">
      <c r="B93" s="2" t="s">
        <v>5</v>
      </c>
      <c r="C93" s="280" t="s">
        <v>5</v>
      </c>
      <c r="D93" s="103">
        <f ca="1">SUM('Asphalt Plant (AP-3)'!S47:S49,'Permitted Diesel Engines'!AH56)</f>
        <v>0</v>
      </c>
      <c r="E93" s="107" t="str">
        <f ca="1">IF(D93&gt;100,"Thresholds exceeded, contact DNR for assistance.","")</f>
        <v/>
      </c>
      <c r="H93" s="2" t="s">
        <v>5</v>
      </c>
      <c r="I93" s="280" t="s">
        <v>5</v>
      </c>
      <c r="J93" s="103">
        <f ca="1">SUM('Asphalt Plant (AP-4)'!S47:S49,'Permitted Diesel Engines'!AH57)</f>
        <v>0</v>
      </c>
      <c r="K93" s="107" t="str">
        <f ca="1">IF(J93&gt;100,"Thresholds exceeded, contact DNR for assistance.","")</f>
        <v/>
      </c>
    </row>
    <row r="94" spans="1:11" ht="15.75" hidden="1" customHeight="1" x14ac:dyDescent="0.25">
      <c r="B94" s="2" t="s">
        <v>6</v>
      </c>
      <c r="C94" s="280" t="s">
        <v>27</v>
      </c>
      <c r="D94" s="103">
        <f ca="1">SUM('Asphalt Plant (AP-3)'!S51:S54,'Permitted Diesel Engines'!AK56)</f>
        <v>0</v>
      </c>
      <c r="E94" s="107" t="str">
        <f ca="1">IF(D94&gt;100,"Thresholds exceeded, contact DNR for assistance.","")</f>
        <v/>
      </c>
      <c r="H94" s="2" t="s">
        <v>6</v>
      </c>
      <c r="I94" s="280" t="s">
        <v>27</v>
      </c>
      <c r="J94" s="103">
        <f ca="1">SUM('Asphalt Plant (AP-4)'!S51:S54,'Permitted Diesel Engines'!AK57)</f>
        <v>0</v>
      </c>
      <c r="K94" s="107" t="str">
        <f ca="1">IF(J94&gt;100,"Thresholds exceeded, contact DNR for assistance.","")</f>
        <v/>
      </c>
    </row>
    <row r="95" spans="1:11" hidden="1" x14ac:dyDescent="0.25">
      <c r="B95" s="2" t="s">
        <v>211</v>
      </c>
      <c r="C95" s="280" t="s">
        <v>285</v>
      </c>
      <c r="D95" s="103">
        <f ca="1">SUM('Asphalt Plant (AP-3)'!$S$56)</f>
        <v>0</v>
      </c>
      <c r="E95" s="107" t="str">
        <f ca="1">IF(D95&gt;10,"Thresholds exceeded, contact DNR for assistance.","")</f>
        <v/>
      </c>
      <c r="H95" s="2" t="s">
        <v>211</v>
      </c>
      <c r="I95" s="280" t="s">
        <v>285</v>
      </c>
      <c r="J95" s="103">
        <f ca="1">SUM('Asphalt Plant (AP-4)'!$S$56)</f>
        <v>0</v>
      </c>
      <c r="K95" s="107" t="str">
        <f ca="1">IF(J95&gt;10,"Thresholds exceeded, contact DNR for assistance.","")</f>
        <v/>
      </c>
    </row>
    <row r="96" spans="1:11" hidden="1" x14ac:dyDescent="0.25">
      <c r="B96" s="2" t="s">
        <v>212</v>
      </c>
      <c r="C96" s="280" t="s">
        <v>286</v>
      </c>
      <c r="D96" s="103">
        <f>'Asphalt Plant (AP-3)'!$S$58</f>
        <v>0</v>
      </c>
      <c r="E96" s="107" t="str">
        <f>IF(D96&gt;10,"Thresholds exceeded, contact DNR for assistance.","")</f>
        <v/>
      </c>
      <c r="H96" s="2" t="s">
        <v>212</v>
      </c>
      <c r="I96" s="280" t="s">
        <v>286</v>
      </c>
      <c r="J96" s="103">
        <f>'Asphalt Plant (AP-4)'!$S$58</f>
        <v>0</v>
      </c>
      <c r="K96" s="107" t="str">
        <f t="shared" ref="K96:K111" si="2">IF(J96&gt;10,"Thresholds exceeded, contact DNR for assistance.","")</f>
        <v/>
      </c>
    </row>
    <row r="97" spans="2:11" hidden="1" x14ac:dyDescent="0.25">
      <c r="B97" s="32" t="s">
        <v>52</v>
      </c>
      <c r="C97" s="285" t="s">
        <v>72</v>
      </c>
      <c r="D97" s="103">
        <f ca="1">SUM('Asphalt Plant (AP-3)'!$S$60,'Permitted Diesel Engines'!$AO$56)</f>
        <v>0</v>
      </c>
      <c r="E97" s="107" t="str">
        <f t="shared" ref="E97:E111" ca="1" si="3">IF(D97&gt;10,"Thresholds exceeded, contact DNR for assistance.","")</f>
        <v/>
      </c>
      <c r="H97" s="32" t="s">
        <v>52</v>
      </c>
      <c r="I97" s="285" t="s">
        <v>72</v>
      </c>
      <c r="J97" s="103">
        <f ca="1">SUM('Asphalt Plant (AP-4)'!$S$60,'Permitted Diesel Engines'!$AO$57)</f>
        <v>0</v>
      </c>
      <c r="K97" s="107" t="str">
        <f t="shared" ca="1" si="2"/>
        <v/>
      </c>
    </row>
    <row r="98" spans="2:11" hidden="1" x14ac:dyDescent="0.25">
      <c r="B98" s="218" t="s">
        <v>213</v>
      </c>
      <c r="C98" s="285" t="s">
        <v>287</v>
      </c>
      <c r="D98" s="103">
        <f ca="1">SUM('Asphalt Plant (AP-3)'!$S$62)</f>
        <v>0</v>
      </c>
      <c r="E98" s="107" t="str">
        <f t="shared" ca="1" si="3"/>
        <v/>
      </c>
      <c r="H98" s="218" t="s">
        <v>213</v>
      </c>
      <c r="I98" s="285" t="s">
        <v>287</v>
      </c>
      <c r="J98" s="103">
        <f ca="1">SUM('Asphalt Plant (AP-4)'!$S$62)</f>
        <v>0</v>
      </c>
      <c r="K98" s="107" t="str">
        <f t="shared" ca="1" si="2"/>
        <v/>
      </c>
    </row>
    <row r="99" spans="2:11" hidden="1" x14ac:dyDescent="0.25">
      <c r="B99" s="2" t="s">
        <v>7</v>
      </c>
      <c r="C99" s="280" t="s">
        <v>28</v>
      </c>
      <c r="D99" s="103">
        <f ca="1">SUM('Asphalt Plant (AP-3)'!$S$64:$S$65,'Permitted Diesel Engines'!$AL$56)</f>
        <v>0</v>
      </c>
      <c r="E99" s="107" t="str">
        <f t="shared" ca="1" si="3"/>
        <v/>
      </c>
      <c r="H99" s="2" t="s">
        <v>7</v>
      </c>
      <c r="I99" s="280" t="s">
        <v>28</v>
      </c>
      <c r="J99" s="103">
        <f ca="1">SUM('Asphalt Plant (AP-4)'!$S$64:$S$65,'Permitted Diesel Engines'!$AL$57)</f>
        <v>0</v>
      </c>
      <c r="K99" s="107" t="str">
        <f t="shared" ca="1" si="2"/>
        <v/>
      </c>
    </row>
    <row r="100" spans="2:11" hidden="1" x14ac:dyDescent="0.25">
      <c r="B100" s="2" t="s">
        <v>214</v>
      </c>
      <c r="C100" s="280" t="s">
        <v>288</v>
      </c>
      <c r="D100" s="103">
        <f>('Asphalt Plant (AP-3)'!$S$67)</f>
        <v>0</v>
      </c>
      <c r="E100" s="107" t="str">
        <f t="shared" si="3"/>
        <v/>
      </c>
      <c r="H100" s="2" t="s">
        <v>214</v>
      </c>
      <c r="I100" s="280" t="s">
        <v>288</v>
      </c>
      <c r="J100" s="103">
        <f>('Asphalt Plant (AP-4)'!$S$67)</f>
        <v>0</v>
      </c>
      <c r="K100" s="107" t="str">
        <f t="shared" si="2"/>
        <v/>
      </c>
    </row>
    <row r="101" spans="2:11" hidden="1" x14ac:dyDescent="0.25">
      <c r="B101" s="2" t="s">
        <v>258</v>
      </c>
      <c r="C101" s="280" t="s">
        <v>289</v>
      </c>
      <c r="D101" s="103">
        <f>'Asphalt Plant (AP-3)'!$S$69</f>
        <v>0</v>
      </c>
      <c r="E101" s="107" t="str">
        <f t="shared" si="3"/>
        <v/>
      </c>
      <c r="H101" s="2" t="s">
        <v>258</v>
      </c>
      <c r="I101" s="280" t="s">
        <v>289</v>
      </c>
      <c r="J101" s="103">
        <f>'Asphalt Plant (AP-4)'!$S$69</f>
        <v>0</v>
      </c>
      <c r="K101" s="107" t="str">
        <f t="shared" si="2"/>
        <v/>
      </c>
    </row>
    <row r="102" spans="2:11" hidden="1" x14ac:dyDescent="0.25">
      <c r="B102" s="2" t="s">
        <v>216</v>
      </c>
      <c r="C102" s="280" t="s">
        <v>290</v>
      </c>
      <c r="D102" s="103">
        <f>'Asphalt Plant (AP-3)'!$S$71</f>
        <v>0</v>
      </c>
      <c r="E102" s="107" t="str">
        <f t="shared" si="3"/>
        <v/>
      </c>
      <c r="H102" s="2" t="s">
        <v>216</v>
      </c>
      <c r="I102" s="280" t="s">
        <v>290</v>
      </c>
      <c r="J102" s="103">
        <f>'Asphalt Plant (AP-4)'!$S$71</f>
        <v>0</v>
      </c>
      <c r="K102" s="107" t="str">
        <f t="shared" si="2"/>
        <v/>
      </c>
    </row>
    <row r="103" spans="2:11" hidden="1" x14ac:dyDescent="0.25">
      <c r="B103" s="2" t="s">
        <v>217</v>
      </c>
      <c r="C103" s="280" t="s">
        <v>291</v>
      </c>
      <c r="D103" s="103">
        <f>'Asphalt Plant (AP-3)'!$S$73</f>
        <v>0</v>
      </c>
      <c r="E103" s="107" t="str">
        <f t="shared" si="3"/>
        <v/>
      </c>
      <c r="H103" s="2" t="s">
        <v>217</v>
      </c>
      <c r="I103" s="280" t="s">
        <v>291</v>
      </c>
      <c r="J103" s="103">
        <f>'Asphalt Plant (AP-4)'!$S$73</f>
        <v>0</v>
      </c>
      <c r="K103" s="107" t="str">
        <f t="shared" si="2"/>
        <v/>
      </c>
    </row>
    <row r="104" spans="2:11" hidden="1" x14ac:dyDescent="0.25">
      <c r="B104" s="2" t="s">
        <v>218</v>
      </c>
      <c r="C104" s="280" t="s">
        <v>292</v>
      </c>
      <c r="D104" s="103">
        <f ca="1">'Asphalt Plant (AP-3)'!$S$75</f>
        <v>0</v>
      </c>
      <c r="E104" s="107" t="str">
        <f t="shared" ca="1" si="3"/>
        <v/>
      </c>
      <c r="H104" s="2" t="s">
        <v>218</v>
      </c>
      <c r="I104" s="280" t="s">
        <v>292</v>
      </c>
      <c r="J104" s="103">
        <f ca="1">'Asphalt Plant (AP-4)'!$S$75</f>
        <v>0</v>
      </c>
      <c r="K104" s="107" t="str">
        <f ca="1">IF(J104&gt;10,"Thresholds exceeded, contact DNR for assistance.","")</f>
        <v/>
      </c>
    </row>
    <row r="105" spans="2:11" hidden="1" x14ac:dyDescent="0.25">
      <c r="B105" s="2" t="s">
        <v>219</v>
      </c>
      <c r="C105" s="280" t="s">
        <v>293</v>
      </c>
      <c r="D105" s="103">
        <f ca="1">SUM('Asphalt Plant (AP-3)'!$S$77:$S$79)</f>
        <v>0</v>
      </c>
      <c r="E105" s="107" t="str">
        <f t="shared" ca="1" si="3"/>
        <v/>
      </c>
      <c r="H105" s="2" t="s">
        <v>219</v>
      </c>
      <c r="I105" s="280" t="s">
        <v>293</v>
      </c>
      <c r="J105" s="103">
        <f ca="1">SUM('Asphalt Plant (AP-4)'!$S$77:$S$79)</f>
        <v>0</v>
      </c>
      <c r="K105" s="107" t="str">
        <f t="shared" ca="1" si="2"/>
        <v/>
      </c>
    </row>
    <row r="106" spans="2:11" hidden="1" x14ac:dyDescent="0.25">
      <c r="B106" s="2" t="s">
        <v>220</v>
      </c>
      <c r="C106" s="280" t="s">
        <v>294</v>
      </c>
      <c r="D106" s="103">
        <f ca="1">'Asphalt Plant (AP-3)'!$S$81</f>
        <v>0</v>
      </c>
      <c r="E106" s="107" t="str">
        <f t="shared" ca="1" si="3"/>
        <v/>
      </c>
      <c r="H106" s="2" t="s">
        <v>220</v>
      </c>
      <c r="I106" s="280" t="s">
        <v>294</v>
      </c>
      <c r="J106" s="103">
        <f ca="1">'Asphalt Plant (AP-4)'!$S$81</f>
        <v>0</v>
      </c>
      <c r="K106" s="107" t="str">
        <f t="shared" ca="1" si="2"/>
        <v/>
      </c>
    </row>
    <row r="107" spans="2:11" hidden="1" x14ac:dyDescent="0.25">
      <c r="B107" s="2" t="s">
        <v>221</v>
      </c>
      <c r="C107" s="280" t="s">
        <v>295</v>
      </c>
      <c r="D107" s="103">
        <f>'Asphalt Plant (AP-3)'!$S$83</f>
        <v>0</v>
      </c>
      <c r="E107" s="107" t="str">
        <f t="shared" si="3"/>
        <v/>
      </c>
      <c r="H107" s="2" t="s">
        <v>221</v>
      </c>
      <c r="I107" s="280" t="s">
        <v>295</v>
      </c>
      <c r="J107" s="103">
        <f>'Asphalt Plant (AP-4)'!$S$83</f>
        <v>0</v>
      </c>
      <c r="K107" s="107" t="str">
        <f t="shared" si="2"/>
        <v/>
      </c>
    </row>
    <row r="108" spans="2:11" hidden="1" x14ac:dyDescent="0.25">
      <c r="B108" s="2" t="s">
        <v>223</v>
      </c>
      <c r="C108" s="280"/>
      <c r="D108" s="103">
        <f>'Asphalt Plant (AP-3)'!$S$85</f>
        <v>0</v>
      </c>
      <c r="E108" s="107" t="str">
        <f t="shared" si="3"/>
        <v/>
      </c>
      <c r="H108" s="2" t="s">
        <v>223</v>
      </c>
      <c r="I108" s="280"/>
      <c r="J108" s="103">
        <f>'Asphalt Plant (AP-4)'!$S$85</f>
        <v>0</v>
      </c>
      <c r="K108" s="107" t="str">
        <f t="shared" si="2"/>
        <v/>
      </c>
    </row>
    <row r="109" spans="2:11" hidden="1" x14ac:dyDescent="0.25">
      <c r="B109" s="2" t="s">
        <v>224</v>
      </c>
      <c r="C109" s="280"/>
      <c r="D109" s="103">
        <f>'Asphalt Plant (AP-3)'!$S$87</f>
        <v>0</v>
      </c>
      <c r="E109" s="107" t="str">
        <f t="shared" si="3"/>
        <v/>
      </c>
      <c r="H109" s="2" t="s">
        <v>224</v>
      </c>
      <c r="I109" s="280"/>
      <c r="J109" s="103">
        <f>'Asphalt Plant (AP-4)'!$S$87</f>
        <v>0</v>
      </c>
      <c r="K109" s="107" t="str">
        <f t="shared" si="2"/>
        <v/>
      </c>
    </row>
    <row r="110" spans="2:11" hidden="1" x14ac:dyDescent="0.25">
      <c r="B110" s="2" t="s">
        <v>225</v>
      </c>
      <c r="C110" s="280"/>
      <c r="D110" s="103">
        <f>'Asphalt Plant (AP-3)'!$S$89</f>
        <v>0</v>
      </c>
      <c r="E110" s="107" t="str">
        <f t="shared" si="3"/>
        <v/>
      </c>
      <c r="H110" s="2" t="s">
        <v>225</v>
      </c>
      <c r="I110" s="280"/>
      <c r="J110" s="103">
        <f>'Asphalt Plant (AP-4)'!$S$89</f>
        <v>0</v>
      </c>
      <c r="K110" s="107" t="str">
        <f t="shared" si="2"/>
        <v/>
      </c>
    </row>
    <row r="111" spans="2:11" hidden="1" x14ac:dyDescent="0.25">
      <c r="B111" s="2" t="s">
        <v>222</v>
      </c>
      <c r="C111" s="280"/>
      <c r="D111" s="103">
        <f>SUM('Asphalt Plant (AP-3)'!$S$91:$S$93)</f>
        <v>0</v>
      </c>
      <c r="E111" s="107" t="str">
        <f t="shared" si="3"/>
        <v/>
      </c>
      <c r="H111" s="2" t="s">
        <v>222</v>
      </c>
      <c r="I111" s="280"/>
      <c r="J111" s="103">
        <f>SUM('Asphalt Plant (AP-4)'!$S$91:$S$93)</f>
        <v>0</v>
      </c>
      <c r="K111" s="107" t="str">
        <f t="shared" si="2"/>
        <v/>
      </c>
    </row>
    <row r="112" spans="2:11" ht="15.75" hidden="1" thickBot="1" x14ac:dyDescent="0.3">
      <c r="B112" s="3" t="s">
        <v>29</v>
      </c>
      <c r="C112" s="284"/>
      <c r="D112" s="105">
        <f ca="1">SUM(D95:D111)</f>
        <v>0</v>
      </c>
      <c r="E112" s="107" t="str">
        <f ca="1">IF(D112&gt;25,"Thresholds exceeded, contact DNR for assistance.","")</f>
        <v/>
      </c>
      <c r="H112" s="3" t="s">
        <v>29</v>
      </c>
      <c r="I112" s="284"/>
      <c r="J112" s="105">
        <f ca="1">SUM(J95:J111)</f>
        <v>0</v>
      </c>
      <c r="K112" s="107" t="str">
        <f ca="1">IF(J112&gt;25,"Thresholds exceeded, contact DNR for assistance.","")</f>
        <v/>
      </c>
    </row>
    <row r="113" spans="1:11" ht="15.75" hidden="1" thickBot="1" x14ac:dyDescent="0.3"/>
    <row r="114" spans="1:11" ht="16.5" thickBot="1" x14ac:dyDescent="0.3">
      <c r="A114" s="106" t="s">
        <v>261</v>
      </c>
      <c r="B114" s="290" t="s">
        <v>164</v>
      </c>
      <c r="C114" s="283"/>
      <c r="D114" s="292"/>
      <c r="E114" s="107"/>
      <c r="G114" s="106" t="s">
        <v>262</v>
      </c>
      <c r="H114" s="290" t="s">
        <v>164</v>
      </c>
      <c r="I114" s="283"/>
      <c r="J114" s="292"/>
    </row>
    <row r="115" spans="1:11" x14ac:dyDescent="0.25">
      <c r="B115" s="4" t="s">
        <v>20</v>
      </c>
      <c r="C115" s="288" t="s">
        <v>21</v>
      </c>
      <c r="D115" s="5" t="s">
        <v>22</v>
      </c>
      <c r="H115" s="4" t="s">
        <v>20</v>
      </c>
      <c r="I115" s="288" t="s">
        <v>21</v>
      </c>
      <c r="J115" s="5" t="s">
        <v>22</v>
      </c>
    </row>
    <row r="116" spans="1:11" x14ac:dyDescent="0.25">
      <c r="B116" s="2" t="s">
        <v>23</v>
      </c>
      <c r="C116" s="282" t="s">
        <v>23</v>
      </c>
      <c r="D116" s="103">
        <f ca="1">SUM('Asphalt Plant (AP-3)'!T21:T26,'Asphalt Plant (AP-3)'!T36,'Haul Roads'!AM10,'Permitted Diesel Engines'!AA56)</f>
        <v>0</v>
      </c>
      <c r="H116" s="2" t="s">
        <v>23</v>
      </c>
      <c r="I116" s="282" t="s">
        <v>23</v>
      </c>
      <c r="J116" s="103">
        <f ca="1">SUM('Asphalt Plant (AP-4)'!T21:T26,'Asphalt Plant (AP-4)'!T36,'Permitted Diesel Engines'!AA57)</f>
        <v>0</v>
      </c>
    </row>
    <row r="117" spans="1:11" x14ac:dyDescent="0.25">
      <c r="B117" s="2" t="s">
        <v>24</v>
      </c>
      <c r="C117" s="281" t="s">
        <v>24</v>
      </c>
      <c r="D117" s="103">
        <f ca="1">SUM('Asphalt Plant (AP-3)'!T28:T33,'Asphalt Plant (AP-3)'!T36,'Haul Roads'!AO10,'Permitted Diesel Engines'!AB56)</f>
        <v>0</v>
      </c>
      <c r="H117" s="2" t="s">
        <v>24</v>
      </c>
      <c r="I117" s="281" t="s">
        <v>24</v>
      </c>
      <c r="J117" s="103">
        <f ca="1">SUM('Asphalt Plant (AP-4)'!T28:T33,'Asphalt Plant (AP-4)'!T36,'Haul Roads'!AO11,'Permitted Diesel Engines'!AB57)</f>
        <v>0</v>
      </c>
    </row>
    <row r="118" spans="1:11" x14ac:dyDescent="0.25">
      <c r="B118" s="2" t="s">
        <v>3</v>
      </c>
      <c r="C118" s="280" t="s">
        <v>25</v>
      </c>
      <c r="D118" s="103">
        <f ca="1">SUM('Asphalt Plant (AP-3)'!T39:T42,'Permitted Diesel Engines'!AE56)</f>
        <v>0</v>
      </c>
      <c r="H118" s="2" t="s">
        <v>3</v>
      </c>
      <c r="I118" s="280" t="s">
        <v>25</v>
      </c>
      <c r="J118" s="103">
        <f ca="1">SUM('Asphalt Plant (AP-4)'!T39:T42,'Permitted Diesel Engines'!AE57)</f>
        <v>0</v>
      </c>
    </row>
    <row r="119" spans="1:11" x14ac:dyDescent="0.25">
      <c r="B119" s="2" t="s">
        <v>26</v>
      </c>
      <c r="C119" s="280" t="s">
        <v>26</v>
      </c>
      <c r="D119" s="103">
        <f ca="1">SUM('Asphalt Plant (AP-3)'!T43:T45,'Permitted Diesel Engines'!AF56)</f>
        <v>0</v>
      </c>
      <c r="H119" s="2" t="s">
        <v>26</v>
      </c>
      <c r="I119" s="280" t="s">
        <v>26</v>
      </c>
      <c r="J119" s="103">
        <f ca="1">SUM('Asphalt Plant (AP-4)'!T43:T45,'Permitted Diesel Engines'!AF57)</f>
        <v>0</v>
      </c>
    </row>
    <row r="120" spans="1:11" x14ac:dyDescent="0.25">
      <c r="B120" s="2" t="s">
        <v>5</v>
      </c>
      <c r="C120" s="280" t="s">
        <v>5</v>
      </c>
      <c r="D120" s="103">
        <f ca="1">SUM('Asphalt Plant (AP-3)'!T47:T49,'Permitted Diesel Engines'!AI56)</f>
        <v>0</v>
      </c>
      <c r="H120" s="2" t="s">
        <v>5</v>
      </c>
      <c r="I120" s="280" t="s">
        <v>5</v>
      </c>
      <c r="J120" s="103">
        <f ca="1">SUM('Asphalt Plant (AP-4)'!T47:T49,'Permitted Diesel Engines'!AI57)</f>
        <v>0</v>
      </c>
    </row>
    <row r="121" spans="1:11" x14ac:dyDescent="0.25">
      <c r="B121" s="2" t="s">
        <v>6</v>
      </c>
      <c r="C121" s="280" t="s">
        <v>27</v>
      </c>
      <c r="D121" s="103">
        <f ca="1">SUM('Asphalt Plant (AP-3)'!T51:T54,'Permitted Diesel Engines'!AJ56)</f>
        <v>0</v>
      </c>
      <c r="H121" s="2" t="s">
        <v>6</v>
      </c>
      <c r="I121" s="280" t="s">
        <v>27</v>
      </c>
      <c r="J121" s="103">
        <f ca="1">SUM('Asphalt Plant (AP-4)'!T51:T54,'Permitted Diesel Engines'!AJ57)</f>
        <v>0</v>
      </c>
    </row>
    <row r="122" spans="1:11" x14ac:dyDescent="0.25">
      <c r="B122" s="2" t="s">
        <v>211</v>
      </c>
      <c r="C122" s="280" t="s">
        <v>285</v>
      </c>
      <c r="D122" s="103">
        <f ca="1">SUM('Asphalt Plant (AP-3)'!$T$56)</f>
        <v>0</v>
      </c>
      <c r="E122" s="219"/>
      <c r="H122" s="2" t="s">
        <v>211</v>
      </c>
      <c r="I122" s="280" t="s">
        <v>285</v>
      </c>
      <c r="J122" s="103">
        <f ca="1">SUM('Asphalt Plant (AP-4)'!$T$56)</f>
        <v>0</v>
      </c>
      <c r="K122" s="107"/>
    </row>
    <row r="123" spans="1:11" x14ac:dyDescent="0.25">
      <c r="B123" s="2" t="s">
        <v>212</v>
      </c>
      <c r="C123" s="280" t="s">
        <v>286</v>
      </c>
      <c r="D123" s="103">
        <f ca="1">'Asphalt Plant (AP-3)'!$T$58</f>
        <v>0</v>
      </c>
      <c r="E123" s="219"/>
      <c r="H123" s="2" t="s">
        <v>212</v>
      </c>
      <c r="I123" s="280" t="s">
        <v>286</v>
      </c>
      <c r="J123" s="103">
        <f ca="1">'Asphalt Plant (AP-4)'!$T$58</f>
        <v>0</v>
      </c>
      <c r="K123" s="107"/>
    </row>
    <row r="124" spans="1:11" x14ac:dyDescent="0.25">
      <c r="B124" s="32" t="s">
        <v>52</v>
      </c>
      <c r="C124" s="285" t="s">
        <v>72</v>
      </c>
      <c r="D124" s="103">
        <f ca="1">SUM('Asphalt Plant (AP-3)'!$T$60,'Permitted Diesel Engines'!$AN$56)</f>
        <v>0</v>
      </c>
      <c r="E124" s="219"/>
      <c r="H124" s="32" t="s">
        <v>52</v>
      </c>
      <c r="I124" s="285" t="s">
        <v>72</v>
      </c>
      <c r="J124" s="103">
        <f ca="1">SUM('Asphalt Plant (AP-4)'!$T$60,'Permitted Diesel Engines'!$AN$57)</f>
        <v>0</v>
      </c>
      <c r="K124" s="107"/>
    </row>
    <row r="125" spans="1:11" x14ac:dyDescent="0.25">
      <c r="B125" s="218" t="s">
        <v>213</v>
      </c>
      <c r="C125" s="285" t="s">
        <v>287</v>
      </c>
      <c r="D125" s="103">
        <f ca="1">SUM('Asphalt Plant (AP-3)'!$T$62)</f>
        <v>0</v>
      </c>
      <c r="E125" s="219"/>
      <c r="H125" s="218" t="s">
        <v>213</v>
      </c>
      <c r="I125" s="285" t="s">
        <v>287</v>
      </c>
      <c r="J125" s="103">
        <f ca="1">SUM('Asphalt Plant (AP-4)'!$T$62)</f>
        <v>0</v>
      </c>
    </row>
    <row r="126" spans="1:11" x14ac:dyDescent="0.25">
      <c r="B126" s="2" t="s">
        <v>7</v>
      </c>
      <c r="C126" s="280" t="s">
        <v>28</v>
      </c>
      <c r="D126" s="103">
        <f ca="1">SUM('Asphalt Plant (AP-3)'!$T$64:$T$65,'Permitted Diesel Engines'!$AM$56)</f>
        <v>0</v>
      </c>
      <c r="E126" s="219"/>
      <c r="H126" s="2" t="s">
        <v>7</v>
      </c>
      <c r="I126" s="280" t="s">
        <v>28</v>
      </c>
      <c r="J126" s="103">
        <f ca="1">SUM('Asphalt Plant (AP-4)'!$T$64:$T$65,'Permitted Diesel Engines'!$AM$57)</f>
        <v>0</v>
      </c>
    </row>
    <row r="127" spans="1:11" x14ac:dyDescent="0.25">
      <c r="B127" s="2" t="s">
        <v>214</v>
      </c>
      <c r="C127" s="280" t="s">
        <v>288</v>
      </c>
      <c r="D127" s="103">
        <f>('Asphalt Plant (AP-3)'!$T$67)</f>
        <v>0</v>
      </c>
      <c r="E127" s="219"/>
      <c r="H127" s="2" t="s">
        <v>214</v>
      </c>
      <c r="I127" s="280" t="s">
        <v>288</v>
      </c>
      <c r="J127" s="103">
        <f>('Asphalt Plant (AP-4)'!$T$67)</f>
        <v>0</v>
      </c>
    </row>
    <row r="128" spans="1:11" x14ac:dyDescent="0.25">
      <c r="B128" s="2" t="s">
        <v>258</v>
      </c>
      <c r="C128" s="280" t="s">
        <v>289</v>
      </c>
      <c r="D128" s="103">
        <f>'Asphalt Plant (AP-3)'!$T$69</f>
        <v>0</v>
      </c>
      <c r="E128" s="219"/>
      <c r="H128" s="2" t="s">
        <v>258</v>
      </c>
      <c r="I128" s="280" t="s">
        <v>289</v>
      </c>
      <c r="J128" s="103">
        <f>'Asphalt Plant (AP-4)'!$T$69</f>
        <v>0</v>
      </c>
    </row>
    <row r="129" spans="1:11" x14ac:dyDescent="0.25">
      <c r="B129" s="2" t="s">
        <v>216</v>
      </c>
      <c r="C129" s="280" t="s">
        <v>290</v>
      </c>
      <c r="D129" s="103">
        <f>'Asphalt Plant (AP-3)'!$T$71</f>
        <v>0</v>
      </c>
      <c r="E129" s="219"/>
      <c r="H129" s="2" t="s">
        <v>216</v>
      </c>
      <c r="I129" s="280" t="s">
        <v>290</v>
      </c>
      <c r="J129" s="103">
        <f>'Asphalt Plant (AP-4)'!$T$71</f>
        <v>0</v>
      </c>
    </row>
    <row r="130" spans="1:11" x14ac:dyDescent="0.25">
      <c r="B130" s="2" t="s">
        <v>217</v>
      </c>
      <c r="C130" s="280" t="s">
        <v>291</v>
      </c>
      <c r="D130" s="103">
        <f>'Asphalt Plant (AP-3)'!$T$73</f>
        <v>0</v>
      </c>
      <c r="E130" s="219"/>
      <c r="H130" s="2" t="s">
        <v>217</v>
      </c>
      <c r="I130" s="280" t="s">
        <v>291</v>
      </c>
      <c r="J130" s="103">
        <f>'Asphalt Plant (AP-4)'!$T$73</f>
        <v>0</v>
      </c>
    </row>
    <row r="131" spans="1:11" x14ac:dyDescent="0.25">
      <c r="B131" s="2" t="s">
        <v>218</v>
      </c>
      <c r="C131" s="280" t="s">
        <v>292</v>
      </c>
      <c r="D131" s="103">
        <f ca="1">'Asphalt Plant (AP-3)'!$T$75</f>
        <v>0</v>
      </c>
      <c r="E131" s="219"/>
      <c r="H131" s="2" t="s">
        <v>218</v>
      </c>
      <c r="I131" s="280" t="s">
        <v>292</v>
      </c>
      <c r="J131" s="103">
        <f ca="1">'Asphalt Plant (AP-4)'!$T$75</f>
        <v>0</v>
      </c>
    </row>
    <row r="132" spans="1:11" x14ac:dyDescent="0.25">
      <c r="B132" s="2" t="s">
        <v>219</v>
      </c>
      <c r="C132" s="280" t="s">
        <v>293</v>
      </c>
      <c r="D132" s="103">
        <f ca="1">SUM('Asphalt Plant (AP-3)'!$T$77:$T$79)</f>
        <v>0</v>
      </c>
      <c r="E132" s="219"/>
      <c r="H132" s="2" t="s">
        <v>219</v>
      </c>
      <c r="I132" s="280" t="s">
        <v>293</v>
      </c>
      <c r="J132" s="103">
        <f ca="1">SUM('Asphalt Plant (AP-4)'!$T$77:$T$79)</f>
        <v>0</v>
      </c>
    </row>
    <row r="133" spans="1:11" x14ac:dyDescent="0.25">
      <c r="B133" s="2" t="s">
        <v>220</v>
      </c>
      <c r="C133" s="280" t="s">
        <v>294</v>
      </c>
      <c r="D133" s="103">
        <f ca="1">'Asphalt Plant (AP-3)'!$T$81</f>
        <v>0</v>
      </c>
      <c r="E133" s="219"/>
      <c r="H133" s="2" t="s">
        <v>220</v>
      </c>
      <c r="I133" s="280" t="s">
        <v>294</v>
      </c>
      <c r="J133" s="103">
        <f ca="1">'Asphalt Plant (AP-4)'!$T$81</f>
        <v>0</v>
      </c>
    </row>
    <row r="134" spans="1:11" x14ac:dyDescent="0.25">
      <c r="B134" s="2" t="s">
        <v>221</v>
      </c>
      <c r="C134" s="280" t="s">
        <v>295</v>
      </c>
      <c r="D134" s="103">
        <f>'Asphalt Plant (AP-3)'!$T$83</f>
        <v>0</v>
      </c>
      <c r="E134" s="219"/>
      <c r="H134" s="2" t="s">
        <v>221</v>
      </c>
      <c r="I134" s="280" t="s">
        <v>295</v>
      </c>
      <c r="J134" s="103">
        <f>'Asphalt Plant (AP-4)'!$T$83</f>
        <v>0</v>
      </c>
    </row>
    <row r="135" spans="1:11" x14ac:dyDescent="0.25">
      <c r="B135" s="2" t="s">
        <v>223</v>
      </c>
      <c r="C135" s="280"/>
      <c r="D135" s="103">
        <f>'Asphalt Plant (AP-3)'!$T$85</f>
        <v>0</v>
      </c>
      <c r="E135" s="219"/>
      <c r="H135" s="2" t="s">
        <v>223</v>
      </c>
      <c r="I135" s="280"/>
      <c r="J135" s="103">
        <f>'Asphalt Plant (AP-4)'!$T$85</f>
        <v>0</v>
      </c>
    </row>
    <row r="136" spans="1:11" x14ac:dyDescent="0.25">
      <c r="B136" s="2" t="s">
        <v>224</v>
      </c>
      <c r="C136" s="280"/>
      <c r="D136" s="103">
        <f>'Asphalt Plant (AP-3)'!$T$87</f>
        <v>0</v>
      </c>
      <c r="E136" s="219"/>
      <c r="H136" s="2" t="s">
        <v>224</v>
      </c>
      <c r="I136" s="280"/>
      <c r="J136" s="103">
        <f>'Asphalt Plant (AP-4)'!$T$87</f>
        <v>0</v>
      </c>
    </row>
    <row r="137" spans="1:11" x14ac:dyDescent="0.25">
      <c r="B137" s="2" t="s">
        <v>225</v>
      </c>
      <c r="C137" s="280"/>
      <c r="D137" s="103">
        <f>'Asphalt Plant (AP-3)'!$T$89</f>
        <v>0</v>
      </c>
      <c r="E137" s="219"/>
      <c r="H137" s="2" t="s">
        <v>225</v>
      </c>
      <c r="I137" s="280"/>
      <c r="J137" s="103">
        <f>'Asphalt Plant (AP-4)'!$T$89</f>
        <v>0</v>
      </c>
    </row>
    <row r="138" spans="1:11" x14ac:dyDescent="0.25">
      <c r="B138" s="2" t="s">
        <v>222</v>
      </c>
      <c r="C138" s="280"/>
      <c r="D138" s="103">
        <f>SUM('Asphalt Plant (AP-3)'!$T$91:$T$93)</f>
        <v>0</v>
      </c>
      <c r="E138" s="219"/>
      <c r="H138" s="2" t="s">
        <v>222</v>
      </c>
      <c r="I138" s="280"/>
      <c r="J138" s="103">
        <f>SUM('Asphalt Plant (AP-4)'!$T$91:$T$93)</f>
        <v>0</v>
      </c>
    </row>
    <row r="139" spans="1:11" ht="15.75" thickBot="1" x14ac:dyDescent="0.3">
      <c r="B139" s="3" t="s">
        <v>29</v>
      </c>
      <c r="C139" s="284"/>
      <c r="D139" s="105">
        <f ca="1">SUM(D122:D138)</f>
        <v>0</v>
      </c>
      <c r="H139" s="3" t="s">
        <v>29</v>
      </c>
      <c r="I139" s="284"/>
      <c r="J139" s="105">
        <f ca="1">SUM(J122:J138)</f>
        <v>0</v>
      </c>
    </row>
    <row r="140" spans="1:11" ht="15.75" thickBot="1" x14ac:dyDescent="0.3"/>
    <row r="141" spans="1:11" ht="16.5" hidden="1" thickBot="1" x14ac:dyDescent="0.3">
      <c r="A141" s="106" t="s">
        <v>263</v>
      </c>
      <c r="B141" s="290" t="s">
        <v>163</v>
      </c>
      <c r="C141" s="283"/>
      <c r="D141" s="292"/>
      <c r="E141" s="107"/>
      <c r="G141" s="106" t="s">
        <v>264</v>
      </c>
      <c r="H141" s="290" t="s">
        <v>163</v>
      </c>
      <c r="I141" s="283"/>
      <c r="J141" s="292"/>
      <c r="K141" s="107"/>
    </row>
    <row r="142" spans="1:11" hidden="1" x14ac:dyDescent="0.25">
      <c r="B142" s="4" t="s">
        <v>20</v>
      </c>
      <c r="C142" s="288" t="s">
        <v>21</v>
      </c>
      <c r="D142" s="5" t="s">
        <v>22</v>
      </c>
      <c r="E142" s="107"/>
      <c r="H142" s="4" t="s">
        <v>20</v>
      </c>
      <c r="I142" s="288" t="s">
        <v>21</v>
      </c>
      <c r="J142" s="5" t="s">
        <v>22</v>
      </c>
      <c r="K142" s="107"/>
    </row>
    <row r="143" spans="1:11" hidden="1" x14ac:dyDescent="0.25">
      <c r="B143" s="1" t="s">
        <v>23</v>
      </c>
      <c r="C143" s="282" t="s">
        <v>23</v>
      </c>
      <c r="D143" s="103">
        <f ca="1">SUM('Asphalt Plant (AP-5)'!S21:S26,'Asphalt Plant (AP-5)'!S36,'Haul Roads'!AL12,'Permitted Diesel Engines'!Z58)</f>
        <v>0</v>
      </c>
      <c r="E143" s="107"/>
      <c r="H143" s="1" t="s">
        <v>23</v>
      </c>
      <c r="I143" s="282" t="s">
        <v>23</v>
      </c>
      <c r="J143" s="103">
        <f ca="1">SUM('Asphalt Plant (AP-6)'!S21:S26,'Asphalt Plant (AP-6)'!S36,'Haul Roads'!AL13,'Permitted Diesel Engines'!Z59)</f>
        <v>0</v>
      </c>
      <c r="K143" s="107"/>
    </row>
    <row r="144" spans="1:11" hidden="1" x14ac:dyDescent="0.25">
      <c r="B144" s="2" t="s">
        <v>24</v>
      </c>
      <c r="C144" s="281" t="s">
        <v>24</v>
      </c>
      <c r="D144" s="103">
        <f ca="1">SUM('Asphalt Plant (AP-5)'!S28:S33,'Asphalt Plant (AP-5)'!S36,'Haul Roads'!AN12,'Permitted Diesel Engines'!AC58)</f>
        <v>0</v>
      </c>
      <c r="E144" s="107"/>
      <c r="H144" s="2" t="s">
        <v>24</v>
      </c>
      <c r="I144" s="281" t="s">
        <v>24</v>
      </c>
      <c r="J144" s="103">
        <f ca="1">SUM('Asphalt Plant (AP-6)'!S28:S33,'Asphalt Plant (AP-6)'!S36,'Haul Roads'!AN13,'Permitted Diesel Engines'!AC59)</f>
        <v>0</v>
      </c>
      <c r="K144" s="107"/>
    </row>
    <row r="145" spans="2:11" hidden="1" x14ac:dyDescent="0.25">
      <c r="B145" s="2" t="s">
        <v>3</v>
      </c>
      <c r="C145" s="280" t="s">
        <v>25</v>
      </c>
      <c r="D145" s="103">
        <f ca="1">SUM('Asphalt Plant (AP-5)'!S39:S41,'Permitted Diesel Engines'!AD58)</f>
        <v>0</v>
      </c>
      <c r="E145" s="107" t="str">
        <f ca="1">IF(D145&gt;100,"Thresholds exceeded, contact DNR for assistance.","")</f>
        <v/>
      </c>
      <c r="H145" s="2" t="s">
        <v>3</v>
      </c>
      <c r="I145" s="280" t="s">
        <v>25</v>
      </c>
      <c r="J145" s="103">
        <f ca="1">SUM('Asphalt Plant (AP-6)'!S39:S41,'Permitted Diesel Engines'!AD59)</f>
        <v>0</v>
      </c>
      <c r="K145" s="107" t="str">
        <f ca="1">IF(J145&gt;100,"Thresholds exceeded, contact DNR for assistance.","")</f>
        <v/>
      </c>
    </row>
    <row r="146" spans="2:11" hidden="1" x14ac:dyDescent="0.25">
      <c r="B146" s="2" t="s">
        <v>26</v>
      </c>
      <c r="C146" s="280" t="s">
        <v>26</v>
      </c>
      <c r="D146" s="103">
        <f ca="1">SUM('Asphalt Plant (AP-5)'!S43:S45,'Permitted Diesel Engines'!AG58)</f>
        <v>0</v>
      </c>
      <c r="E146" s="107" t="str">
        <f ca="1">IF(D146&gt;100,"Thresholds exceeded, contact DNR for assistance.","")</f>
        <v/>
      </c>
      <c r="H146" s="2" t="s">
        <v>26</v>
      </c>
      <c r="I146" s="280" t="s">
        <v>26</v>
      </c>
      <c r="J146" s="103">
        <f ca="1">SUM('Asphalt Plant (AP-6)'!S43:S45,'Permitted Diesel Engines'!AG59)</f>
        <v>0</v>
      </c>
      <c r="K146" s="107" t="str">
        <f ca="1">IF(J146&gt;100,"Thresholds exceeded, contact DNR for assistance.","")</f>
        <v/>
      </c>
    </row>
    <row r="147" spans="2:11" hidden="1" x14ac:dyDescent="0.25">
      <c r="B147" s="2" t="s">
        <v>5</v>
      </c>
      <c r="C147" s="280" t="s">
        <v>5</v>
      </c>
      <c r="D147" s="103">
        <f ca="1">SUM('Asphalt Plant (AP-5)'!S47:S49,'Permitted Diesel Engines'!AH58)</f>
        <v>0</v>
      </c>
      <c r="E147" s="107" t="str">
        <f ca="1">IF(D147&gt;100,"Thresholds exceeded, contact DNR for assistance.","")</f>
        <v/>
      </c>
      <c r="H147" s="2" t="s">
        <v>5</v>
      </c>
      <c r="I147" s="280" t="s">
        <v>5</v>
      </c>
      <c r="J147" s="103">
        <f ca="1">SUM('Asphalt Plant (AP-6)'!S47:S49,'Permitted Diesel Engines'!AH59)</f>
        <v>0</v>
      </c>
      <c r="K147" s="107" t="str">
        <f ca="1">IF(J147&gt;100,"Thresholds exceeded, contact DNR for assistance.","")</f>
        <v/>
      </c>
    </row>
    <row r="148" spans="2:11" hidden="1" x14ac:dyDescent="0.25">
      <c r="B148" s="2" t="s">
        <v>6</v>
      </c>
      <c r="C148" s="280" t="s">
        <v>27</v>
      </c>
      <c r="D148" s="103">
        <f ca="1">SUM('Asphalt Plant (AP-5)'!S51:S54,'Permitted Diesel Engines'!AK58)</f>
        <v>0</v>
      </c>
      <c r="E148" s="107" t="str">
        <f ca="1">IF(D148&gt;100,"Thresholds exceeded, contact DNR for assistance.","")</f>
        <v/>
      </c>
      <c r="H148" s="2" t="s">
        <v>6</v>
      </c>
      <c r="I148" s="280" t="s">
        <v>27</v>
      </c>
      <c r="J148" s="103">
        <f ca="1">SUM('Asphalt Plant (AP-6)'!S51:S54,'Permitted Diesel Engines'!AK59)</f>
        <v>0</v>
      </c>
      <c r="K148" s="107" t="str">
        <f ca="1">IF(J148&gt;100,"Thresholds exceeded, contact DNR for assistance.","")</f>
        <v/>
      </c>
    </row>
    <row r="149" spans="2:11" hidden="1" x14ac:dyDescent="0.25">
      <c r="B149" s="2" t="s">
        <v>211</v>
      </c>
      <c r="C149" s="280" t="s">
        <v>285</v>
      </c>
      <c r="D149" s="103">
        <f ca="1">SUM('Asphalt Plant (AP-5)'!$S$56)</f>
        <v>0</v>
      </c>
      <c r="E149" s="107" t="str">
        <f ca="1">IF(D149&gt;10,"Thresholds exceeded, contact DNR for assistance.","")</f>
        <v/>
      </c>
      <c r="H149" s="2" t="s">
        <v>211</v>
      </c>
      <c r="I149" s="280" t="s">
        <v>285</v>
      </c>
      <c r="J149" s="103">
        <f ca="1">SUM('Asphalt Plant (AP-6)'!$S$56)</f>
        <v>0</v>
      </c>
      <c r="K149" s="107" t="str">
        <f ca="1">IF(J149&gt;10,"Thresholds exceeded, contact DNR for assistance.","")</f>
        <v/>
      </c>
    </row>
    <row r="150" spans="2:11" hidden="1" x14ac:dyDescent="0.25">
      <c r="B150" s="2" t="s">
        <v>212</v>
      </c>
      <c r="C150" s="280" t="s">
        <v>286</v>
      </c>
      <c r="D150" s="103">
        <f>'Asphalt Plant (AP-5)'!$S$58</f>
        <v>0</v>
      </c>
      <c r="E150" s="107" t="str">
        <f>IF(D150&gt;10,"Thresholds exceeded, contact DNR for assistance.","")</f>
        <v/>
      </c>
      <c r="H150" s="2" t="s">
        <v>212</v>
      </c>
      <c r="I150" s="280" t="s">
        <v>286</v>
      </c>
      <c r="J150" s="103">
        <f>'Asphalt Plant (AP-6)'!$S$58</f>
        <v>0</v>
      </c>
      <c r="K150" s="107" t="str">
        <f t="shared" ref="K150:K165" si="4">IF(J150&gt;10,"Thresholds exceeded, contact DNR for assistance.","")</f>
        <v/>
      </c>
    </row>
    <row r="151" spans="2:11" hidden="1" x14ac:dyDescent="0.25">
      <c r="B151" s="32" t="s">
        <v>52</v>
      </c>
      <c r="C151" s="285" t="s">
        <v>72</v>
      </c>
      <c r="D151" s="103">
        <f ca="1">SUM('Asphalt Plant (AP-5)'!$S$60,'Permitted Diesel Engines'!$AO$58)</f>
        <v>0</v>
      </c>
      <c r="E151" s="107" t="str">
        <f t="shared" ref="E151:E165" ca="1" si="5">IF(D151&gt;10,"Thresholds exceeded, contact DNR for assistance.","")</f>
        <v/>
      </c>
      <c r="H151" s="32" t="s">
        <v>52</v>
      </c>
      <c r="I151" s="285" t="s">
        <v>72</v>
      </c>
      <c r="J151" s="103">
        <f ca="1">SUM('Asphalt Plant (AP-6)'!$S$60,'Permitted Diesel Engines'!$AO$59)</f>
        <v>0</v>
      </c>
      <c r="K151" s="107" t="str">
        <f t="shared" ca="1" si="4"/>
        <v/>
      </c>
    </row>
    <row r="152" spans="2:11" hidden="1" x14ac:dyDescent="0.25">
      <c r="B152" s="218" t="s">
        <v>213</v>
      </c>
      <c r="C152" s="285" t="s">
        <v>287</v>
      </c>
      <c r="D152" s="103">
        <f ca="1">SUM('Asphalt Plant (AP-5)'!$S$62)</f>
        <v>0</v>
      </c>
      <c r="E152" s="107" t="str">
        <f t="shared" ca="1" si="5"/>
        <v/>
      </c>
      <c r="H152" s="218" t="s">
        <v>213</v>
      </c>
      <c r="I152" s="285" t="s">
        <v>287</v>
      </c>
      <c r="J152" s="103">
        <f ca="1">SUM('Asphalt Plant (AP-6)'!$S$62)</f>
        <v>0</v>
      </c>
      <c r="K152" s="107" t="str">
        <f t="shared" ca="1" si="4"/>
        <v/>
      </c>
    </row>
    <row r="153" spans="2:11" hidden="1" x14ac:dyDescent="0.25">
      <c r="B153" s="2" t="s">
        <v>7</v>
      </c>
      <c r="C153" s="280" t="s">
        <v>28</v>
      </c>
      <c r="D153" s="103">
        <f ca="1">SUM('Asphalt Plant (AP-5)'!$S$64:$S$65,'Permitted Diesel Engines'!$AL$58)</f>
        <v>0</v>
      </c>
      <c r="E153" s="107" t="str">
        <f t="shared" ca="1" si="5"/>
        <v/>
      </c>
      <c r="H153" s="2" t="s">
        <v>7</v>
      </c>
      <c r="I153" s="280" t="s">
        <v>28</v>
      </c>
      <c r="J153" s="103">
        <f ca="1">SUM('Asphalt Plant (AP-6)'!$S$64:$S$65,'Permitted Diesel Engines'!$AL$59)</f>
        <v>0</v>
      </c>
      <c r="K153" s="107" t="str">
        <f t="shared" ca="1" si="4"/>
        <v/>
      </c>
    </row>
    <row r="154" spans="2:11" hidden="1" x14ac:dyDescent="0.25">
      <c r="B154" s="2" t="s">
        <v>214</v>
      </c>
      <c r="C154" s="280" t="s">
        <v>288</v>
      </c>
      <c r="D154" s="103">
        <f>('Asphalt Plant (AP-5)'!$S$67)</f>
        <v>0</v>
      </c>
      <c r="E154" s="107" t="str">
        <f t="shared" si="5"/>
        <v/>
      </c>
      <c r="H154" s="2" t="s">
        <v>214</v>
      </c>
      <c r="I154" s="280" t="s">
        <v>288</v>
      </c>
      <c r="J154" s="103">
        <f>('Asphalt Plant (AP-6)'!$S$67)</f>
        <v>0</v>
      </c>
      <c r="K154" s="107" t="str">
        <f t="shared" si="4"/>
        <v/>
      </c>
    </row>
    <row r="155" spans="2:11" hidden="1" x14ac:dyDescent="0.25">
      <c r="B155" s="2" t="s">
        <v>258</v>
      </c>
      <c r="C155" s="280" t="s">
        <v>289</v>
      </c>
      <c r="D155" s="103">
        <f>'Asphalt Plant (AP-5)'!$S$69</f>
        <v>0</v>
      </c>
      <c r="E155" s="107" t="str">
        <f t="shared" si="5"/>
        <v/>
      </c>
      <c r="H155" s="2" t="s">
        <v>258</v>
      </c>
      <c r="I155" s="280" t="s">
        <v>289</v>
      </c>
      <c r="J155" s="103">
        <f>'Asphalt Plant (AP-6)'!$S$69</f>
        <v>0</v>
      </c>
      <c r="K155" s="107" t="str">
        <f t="shared" si="4"/>
        <v/>
      </c>
    </row>
    <row r="156" spans="2:11" hidden="1" x14ac:dyDescent="0.25">
      <c r="B156" s="2" t="s">
        <v>216</v>
      </c>
      <c r="C156" s="280" t="s">
        <v>290</v>
      </c>
      <c r="D156" s="103">
        <f>'Asphalt Plant (AP-5)'!$S$71</f>
        <v>0</v>
      </c>
      <c r="E156" s="107" t="str">
        <f t="shared" si="5"/>
        <v/>
      </c>
      <c r="H156" s="2" t="s">
        <v>216</v>
      </c>
      <c r="I156" s="280" t="s">
        <v>290</v>
      </c>
      <c r="J156" s="103">
        <f>'Asphalt Plant (AP-6)'!$S$71</f>
        <v>0</v>
      </c>
      <c r="K156" s="107" t="str">
        <f t="shared" si="4"/>
        <v/>
      </c>
    </row>
    <row r="157" spans="2:11" hidden="1" x14ac:dyDescent="0.25">
      <c r="B157" s="2" t="s">
        <v>217</v>
      </c>
      <c r="C157" s="280" t="s">
        <v>291</v>
      </c>
      <c r="D157" s="103">
        <f>'Asphalt Plant (AP-5)'!$S$73</f>
        <v>0</v>
      </c>
      <c r="E157" s="107" t="str">
        <f t="shared" si="5"/>
        <v/>
      </c>
      <c r="H157" s="2" t="s">
        <v>217</v>
      </c>
      <c r="I157" s="280" t="s">
        <v>291</v>
      </c>
      <c r="J157" s="103">
        <f>'Asphalt Plant (AP-6)'!$S$73</f>
        <v>0</v>
      </c>
      <c r="K157" s="107" t="str">
        <f t="shared" si="4"/>
        <v/>
      </c>
    </row>
    <row r="158" spans="2:11" hidden="1" x14ac:dyDescent="0.25">
      <c r="B158" s="2" t="s">
        <v>218</v>
      </c>
      <c r="C158" s="280" t="s">
        <v>292</v>
      </c>
      <c r="D158" s="103">
        <f ca="1">'Asphalt Plant (AP-5)'!$S$75</f>
        <v>0</v>
      </c>
      <c r="E158" s="107" t="str">
        <f t="shared" ca="1" si="5"/>
        <v/>
      </c>
      <c r="H158" s="2" t="s">
        <v>218</v>
      </c>
      <c r="I158" s="280" t="s">
        <v>292</v>
      </c>
      <c r="J158" s="103">
        <f ca="1">'Asphalt Plant (AP-6)'!$S$75</f>
        <v>0</v>
      </c>
      <c r="K158" s="107" t="str">
        <f ca="1">IF(J158&gt;10,"Thresholds exceeded, contact DNR for assistance.","")</f>
        <v/>
      </c>
    </row>
    <row r="159" spans="2:11" hidden="1" x14ac:dyDescent="0.25">
      <c r="B159" s="2" t="s">
        <v>219</v>
      </c>
      <c r="C159" s="280" t="s">
        <v>293</v>
      </c>
      <c r="D159" s="103">
        <f ca="1">SUM('Asphalt Plant (AP-5)'!$S$77:$S$79)</f>
        <v>0</v>
      </c>
      <c r="E159" s="107" t="str">
        <f t="shared" ca="1" si="5"/>
        <v/>
      </c>
      <c r="H159" s="2" t="s">
        <v>219</v>
      </c>
      <c r="I159" s="280" t="s">
        <v>293</v>
      </c>
      <c r="J159" s="103">
        <f ca="1">SUM('Asphalt Plant (AP-6)'!$S$77:$S$79)</f>
        <v>0</v>
      </c>
      <c r="K159" s="107" t="str">
        <f t="shared" ca="1" si="4"/>
        <v/>
      </c>
    </row>
    <row r="160" spans="2:11" hidden="1" x14ac:dyDescent="0.25">
      <c r="B160" s="2" t="s">
        <v>220</v>
      </c>
      <c r="C160" s="280" t="s">
        <v>294</v>
      </c>
      <c r="D160" s="103">
        <f ca="1">'Asphalt Plant (AP-5)'!$S$81</f>
        <v>0</v>
      </c>
      <c r="E160" s="107" t="str">
        <f t="shared" ca="1" si="5"/>
        <v/>
      </c>
      <c r="H160" s="2" t="s">
        <v>220</v>
      </c>
      <c r="I160" s="280" t="s">
        <v>294</v>
      </c>
      <c r="J160" s="103">
        <f ca="1">'Asphalt Plant (AP-6)'!$S$81</f>
        <v>0</v>
      </c>
      <c r="K160" s="107" t="str">
        <f t="shared" ca="1" si="4"/>
        <v/>
      </c>
    </row>
    <row r="161" spans="1:11" hidden="1" x14ac:dyDescent="0.25">
      <c r="B161" s="2" t="s">
        <v>221</v>
      </c>
      <c r="C161" s="280" t="s">
        <v>295</v>
      </c>
      <c r="D161" s="103">
        <f>'Asphalt Plant (AP-5)'!$S$83</f>
        <v>0</v>
      </c>
      <c r="E161" s="107" t="str">
        <f t="shared" si="5"/>
        <v/>
      </c>
      <c r="H161" s="2" t="s">
        <v>221</v>
      </c>
      <c r="I161" s="280" t="s">
        <v>295</v>
      </c>
      <c r="J161" s="103">
        <f>'Asphalt Plant (AP-6)'!$S$83</f>
        <v>0</v>
      </c>
      <c r="K161" s="107" t="str">
        <f t="shared" si="4"/>
        <v/>
      </c>
    </row>
    <row r="162" spans="1:11" hidden="1" x14ac:dyDescent="0.25">
      <c r="B162" s="2" t="s">
        <v>223</v>
      </c>
      <c r="C162" s="280"/>
      <c r="D162" s="103">
        <f>'Asphalt Plant (AP-5)'!$S$85</f>
        <v>0</v>
      </c>
      <c r="E162" s="107" t="str">
        <f t="shared" si="5"/>
        <v/>
      </c>
      <c r="H162" s="2" t="s">
        <v>223</v>
      </c>
      <c r="I162" s="280"/>
      <c r="J162" s="103">
        <f>'Asphalt Plant (AP-6)'!$S$85</f>
        <v>0</v>
      </c>
      <c r="K162" s="107" t="str">
        <f t="shared" si="4"/>
        <v/>
      </c>
    </row>
    <row r="163" spans="1:11" hidden="1" x14ac:dyDescent="0.25">
      <c r="B163" s="2" t="s">
        <v>224</v>
      </c>
      <c r="C163" s="280"/>
      <c r="D163" s="103">
        <f>'Asphalt Plant (AP-5)'!$S$87</f>
        <v>0</v>
      </c>
      <c r="E163" s="107" t="str">
        <f t="shared" si="5"/>
        <v/>
      </c>
      <c r="H163" s="2" t="s">
        <v>224</v>
      </c>
      <c r="I163" s="280"/>
      <c r="J163" s="103">
        <f>'Asphalt Plant (AP-6)'!$S$87</f>
        <v>0</v>
      </c>
      <c r="K163" s="107" t="str">
        <f t="shared" si="4"/>
        <v/>
      </c>
    </row>
    <row r="164" spans="1:11" hidden="1" x14ac:dyDescent="0.25">
      <c r="B164" s="2" t="s">
        <v>225</v>
      </c>
      <c r="C164" s="280"/>
      <c r="D164" s="103">
        <f>'Asphalt Plant (AP-5)'!$S$89</f>
        <v>0</v>
      </c>
      <c r="E164" s="107" t="str">
        <f t="shared" si="5"/>
        <v/>
      </c>
      <c r="H164" s="2" t="s">
        <v>225</v>
      </c>
      <c r="I164" s="280"/>
      <c r="J164" s="103">
        <f>'Asphalt Plant (AP-6)'!$S$89</f>
        <v>0</v>
      </c>
      <c r="K164" s="107" t="str">
        <f t="shared" si="4"/>
        <v/>
      </c>
    </row>
    <row r="165" spans="1:11" hidden="1" x14ac:dyDescent="0.25">
      <c r="B165" s="2" t="s">
        <v>222</v>
      </c>
      <c r="C165" s="280"/>
      <c r="D165" s="103">
        <f>SUM('Asphalt Plant (AP-5)'!$S$91:$S$93)</f>
        <v>0</v>
      </c>
      <c r="E165" s="107" t="str">
        <f t="shared" si="5"/>
        <v/>
      </c>
      <c r="H165" s="2" t="s">
        <v>222</v>
      </c>
      <c r="I165" s="280"/>
      <c r="J165" s="103">
        <f>SUM('Asphalt Plant (AP-6)'!$S$91:$S$93)</f>
        <v>0</v>
      </c>
      <c r="K165" s="107" t="str">
        <f t="shared" si="4"/>
        <v/>
      </c>
    </row>
    <row r="166" spans="1:11" ht="15.75" hidden="1" thickBot="1" x14ac:dyDescent="0.3">
      <c r="B166" s="3" t="s">
        <v>29</v>
      </c>
      <c r="C166" s="284"/>
      <c r="D166" s="105">
        <f ca="1">SUM(D149:D165)</f>
        <v>0</v>
      </c>
      <c r="E166" s="107" t="str">
        <f ca="1">IF(D166&gt;25,"Thresholds exceeded, contact DNR for assistance.","")</f>
        <v/>
      </c>
      <c r="H166" s="3" t="s">
        <v>29</v>
      </c>
      <c r="I166" s="284"/>
      <c r="J166" s="105">
        <f ca="1">SUM(J149:J165)</f>
        <v>0</v>
      </c>
      <c r="K166" s="107" t="str">
        <f ca="1">IF(J166&gt;25,"Thresholds exceeded, contact DNR for assistance.","")</f>
        <v/>
      </c>
    </row>
    <row r="167" spans="1:11" ht="15.75" hidden="1" thickBot="1" x14ac:dyDescent="0.3"/>
    <row r="168" spans="1:11" ht="16.5" thickBot="1" x14ac:dyDescent="0.3">
      <c r="A168" s="106" t="s">
        <v>263</v>
      </c>
      <c r="B168" s="290" t="s">
        <v>164</v>
      </c>
      <c r="C168" s="283"/>
      <c r="D168" s="292"/>
      <c r="E168" s="107"/>
      <c r="G168" s="106" t="s">
        <v>264</v>
      </c>
      <c r="H168" s="290" t="s">
        <v>164</v>
      </c>
      <c r="I168" s="283"/>
      <c r="J168" s="292"/>
    </row>
    <row r="169" spans="1:11" x14ac:dyDescent="0.25">
      <c r="B169" s="4" t="s">
        <v>20</v>
      </c>
      <c r="C169" s="288" t="s">
        <v>21</v>
      </c>
      <c r="D169" s="5" t="s">
        <v>22</v>
      </c>
      <c r="H169" s="4" t="s">
        <v>20</v>
      </c>
      <c r="I169" s="288" t="s">
        <v>21</v>
      </c>
      <c r="J169" s="5" t="s">
        <v>22</v>
      </c>
    </row>
    <row r="170" spans="1:11" x14ac:dyDescent="0.25">
      <c r="B170" s="2" t="s">
        <v>23</v>
      </c>
      <c r="C170" s="282" t="s">
        <v>23</v>
      </c>
      <c r="D170" s="103">
        <f ca="1">SUM('Asphalt Plant (AP-5)'!T21:T26,'Asphalt Plant (AP-5)'!T36,'Haul Roads'!AM12,'Permitted Diesel Engines'!AA58)</f>
        <v>0</v>
      </c>
      <c r="H170" s="2" t="s">
        <v>23</v>
      </c>
      <c r="I170" s="282" t="s">
        <v>23</v>
      </c>
      <c r="J170" s="103">
        <f ca="1">SUM('Asphalt Plant (AP-6)'!T21:T26,'Asphalt Plant (AP-6)'!T36,'Haul Roads'!AM13,'Permitted Diesel Engines'!AA59)</f>
        <v>0</v>
      </c>
    </row>
    <row r="171" spans="1:11" x14ac:dyDescent="0.25">
      <c r="B171" s="2" t="s">
        <v>24</v>
      </c>
      <c r="C171" s="281" t="s">
        <v>24</v>
      </c>
      <c r="D171" s="103">
        <f ca="1">SUM('Asphalt Plant (AP-5)'!T28:T33,'Asphalt Plant (AP-5)'!T36,'Haul Roads'!AO12,'Permitted Diesel Engines'!AB58)</f>
        <v>0</v>
      </c>
      <c r="H171" s="2" t="s">
        <v>24</v>
      </c>
      <c r="I171" s="281" t="s">
        <v>24</v>
      </c>
      <c r="J171" s="103">
        <f ca="1">SUM('Asphalt Plant (AP-6)'!T28:T33,'Asphalt Plant (AP-6)'!T36,'Haul Roads'!AO13,'Permitted Diesel Engines'!AB59)</f>
        <v>0</v>
      </c>
    </row>
    <row r="172" spans="1:11" x14ac:dyDescent="0.25">
      <c r="B172" s="2" t="s">
        <v>3</v>
      </c>
      <c r="C172" s="280" t="s">
        <v>25</v>
      </c>
      <c r="D172" s="103">
        <f ca="1">SUM('Asphalt Plant (AP-5)'!T39:T42,'Permitted Diesel Engines'!AE58)</f>
        <v>0</v>
      </c>
      <c r="H172" s="2" t="s">
        <v>3</v>
      </c>
      <c r="I172" s="280" t="s">
        <v>25</v>
      </c>
      <c r="J172" s="103">
        <f ca="1">SUM('Asphalt Plant (AP-6)'!T39:T42,'Permitted Diesel Engines'!AE59)</f>
        <v>0</v>
      </c>
    </row>
    <row r="173" spans="1:11" x14ac:dyDescent="0.25">
      <c r="B173" s="2" t="s">
        <v>26</v>
      </c>
      <c r="C173" s="280" t="s">
        <v>26</v>
      </c>
      <c r="D173" s="103">
        <f ca="1">SUM('Asphalt Plant (AP-5)'!T43:T45,'Permitted Diesel Engines'!AF58)</f>
        <v>0</v>
      </c>
      <c r="H173" s="2" t="s">
        <v>26</v>
      </c>
      <c r="I173" s="280" t="s">
        <v>26</v>
      </c>
      <c r="J173" s="103">
        <f ca="1">SUM('Asphalt Plant (AP-6)'!T43:T45,'Permitted Diesel Engines'!AF59)</f>
        <v>0</v>
      </c>
    </row>
    <row r="174" spans="1:11" x14ac:dyDescent="0.25">
      <c r="B174" s="2" t="s">
        <v>5</v>
      </c>
      <c r="C174" s="280" t="s">
        <v>5</v>
      </c>
      <c r="D174" s="103">
        <f ca="1">SUM('Asphalt Plant (AP-5)'!T47:T49,'Permitted Diesel Engines'!AI58)</f>
        <v>0</v>
      </c>
      <c r="H174" s="2" t="s">
        <v>5</v>
      </c>
      <c r="I174" s="280" t="s">
        <v>5</v>
      </c>
      <c r="J174" s="103">
        <f ca="1">SUM('Asphalt Plant (AP-6)'!T47:T49,'Permitted Diesel Engines'!AI59)</f>
        <v>0</v>
      </c>
    </row>
    <row r="175" spans="1:11" x14ac:dyDescent="0.25">
      <c r="B175" s="2" t="s">
        <v>6</v>
      </c>
      <c r="C175" s="280" t="s">
        <v>27</v>
      </c>
      <c r="D175" s="103">
        <f ca="1">SUM('Asphalt Plant (AP-5)'!T51:T54,'Permitted Diesel Engines'!AJ58)</f>
        <v>0</v>
      </c>
      <c r="H175" s="2" t="s">
        <v>6</v>
      </c>
      <c r="I175" s="280" t="s">
        <v>27</v>
      </c>
      <c r="J175" s="103">
        <f ca="1">SUM('Asphalt Plant (AP-6)'!T51:T54,'Permitted Diesel Engines'!AJ59)</f>
        <v>0</v>
      </c>
    </row>
    <row r="176" spans="1:11" x14ac:dyDescent="0.25">
      <c r="B176" s="2" t="s">
        <v>211</v>
      </c>
      <c r="C176" s="280" t="s">
        <v>285</v>
      </c>
      <c r="D176" s="103">
        <f ca="1">SUM('Asphalt Plant (AP-5)'!$T$56)</f>
        <v>0</v>
      </c>
      <c r="E176" s="219"/>
      <c r="H176" s="2" t="s">
        <v>211</v>
      </c>
      <c r="I176" s="280" t="s">
        <v>285</v>
      </c>
      <c r="J176" s="103">
        <f ca="1">SUM('Asphalt Plant (AP-6)'!$T$56)</f>
        <v>0</v>
      </c>
      <c r="K176" s="107"/>
    </row>
    <row r="177" spans="2:11" x14ac:dyDescent="0.25">
      <c r="B177" s="2" t="s">
        <v>212</v>
      </c>
      <c r="C177" s="280" t="s">
        <v>286</v>
      </c>
      <c r="D177" s="103">
        <f ca="1">'Asphalt Plant (AP-5)'!$T$58</f>
        <v>0</v>
      </c>
      <c r="E177" s="219"/>
      <c r="H177" s="2" t="s">
        <v>212</v>
      </c>
      <c r="I177" s="280" t="s">
        <v>286</v>
      </c>
      <c r="J177" s="103">
        <f ca="1">'Asphalt Plant (AP-6)'!$T$58</f>
        <v>0</v>
      </c>
      <c r="K177" s="107"/>
    </row>
    <row r="178" spans="2:11" x14ac:dyDescent="0.25">
      <c r="B178" s="32" t="s">
        <v>52</v>
      </c>
      <c r="C178" s="285" t="s">
        <v>72</v>
      </c>
      <c r="D178" s="103">
        <f ca="1">SUM('Asphalt Plant (AP-5)'!$T$60,'Permitted Diesel Engines'!$AN$58)</f>
        <v>0</v>
      </c>
      <c r="E178" s="219"/>
      <c r="H178" s="32" t="s">
        <v>52</v>
      </c>
      <c r="I178" s="285" t="s">
        <v>72</v>
      </c>
      <c r="J178" s="103">
        <f ca="1">SUM('Asphalt Plant (AP-6)'!$T$60,'Permitted Diesel Engines'!$AN$59)</f>
        <v>0</v>
      </c>
      <c r="K178" s="107"/>
    </row>
    <row r="179" spans="2:11" x14ac:dyDescent="0.25">
      <c r="B179" s="218" t="s">
        <v>213</v>
      </c>
      <c r="C179" s="285" t="s">
        <v>287</v>
      </c>
      <c r="D179" s="103">
        <f ca="1">SUM('Asphalt Plant (AP-5)'!$T$62)</f>
        <v>0</v>
      </c>
      <c r="E179" s="219"/>
      <c r="H179" s="218" t="s">
        <v>213</v>
      </c>
      <c r="I179" s="285" t="s">
        <v>287</v>
      </c>
      <c r="J179" s="103">
        <f ca="1">SUM('Asphalt Plant (AP-6)'!$T$62)</f>
        <v>0</v>
      </c>
    </row>
    <row r="180" spans="2:11" x14ac:dyDescent="0.25">
      <c r="B180" s="2" t="s">
        <v>7</v>
      </c>
      <c r="C180" s="280" t="s">
        <v>28</v>
      </c>
      <c r="D180" s="103">
        <f ca="1">SUM('Asphalt Plant (AP-5)'!$T$64:$T$65,'Permitted Diesel Engines'!$AM$58)</f>
        <v>0</v>
      </c>
      <c r="E180" s="219"/>
      <c r="H180" s="2" t="s">
        <v>7</v>
      </c>
      <c r="I180" s="280" t="s">
        <v>28</v>
      </c>
      <c r="J180" s="103">
        <f ca="1">SUM('Asphalt Plant (AP-6)'!$T$64:$T$65,'Permitted Diesel Engines'!$AM$59)</f>
        <v>0</v>
      </c>
    </row>
    <row r="181" spans="2:11" x14ac:dyDescent="0.25">
      <c r="B181" s="2" t="s">
        <v>214</v>
      </c>
      <c r="C181" s="280" t="s">
        <v>288</v>
      </c>
      <c r="D181" s="103">
        <f>('Asphalt Plant (AP-5)'!$T$67)</f>
        <v>0</v>
      </c>
      <c r="E181" s="219"/>
      <c r="H181" s="2" t="s">
        <v>214</v>
      </c>
      <c r="I181" s="280" t="s">
        <v>288</v>
      </c>
      <c r="J181" s="103">
        <f>('Asphalt Plant (AP-6)'!$T$67)</f>
        <v>0</v>
      </c>
    </row>
    <row r="182" spans="2:11" x14ac:dyDescent="0.25">
      <c r="B182" s="2" t="s">
        <v>258</v>
      </c>
      <c r="C182" s="280" t="s">
        <v>289</v>
      </c>
      <c r="D182" s="103">
        <f>'Asphalt Plant (AP-5)'!$T$69</f>
        <v>0</v>
      </c>
      <c r="E182" s="219"/>
      <c r="H182" s="2" t="s">
        <v>258</v>
      </c>
      <c r="I182" s="280" t="s">
        <v>289</v>
      </c>
      <c r="J182" s="103">
        <f>'Asphalt Plant (AP-6)'!$T$69</f>
        <v>0</v>
      </c>
    </row>
    <row r="183" spans="2:11" x14ac:dyDescent="0.25">
      <c r="B183" s="2" t="s">
        <v>216</v>
      </c>
      <c r="C183" s="280" t="s">
        <v>290</v>
      </c>
      <c r="D183" s="103">
        <f>'Asphalt Plant (AP-5)'!$T$71</f>
        <v>0</v>
      </c>
      <c r="E183" s="219"/>
      <c r="H183" s="2" t="s">
        <v>216</v>
      </c>
      <c r="I183" s="280" t="s">
        <v>290</v>
      </c>
      <c r="J183" s="103">
        <f>'Asphalt Plant (AP-6)'!$T$71</f>
        <v>0</v>
      </c>
    </row>
    <row r="184" spans="2:11" x14ac:dyDescent="0.25">
      <c r="B184" s="2" t="s">
        <v>217</v>
      </c>
      <c r="C184" s="280" t="s">
        <v>291</v>
      </c>
      <c r="D184" s="103">
        <f>'Asphalt Plant (AP-5)'!$T$73</f>
        <v>0</v>
      </c>
      <c r="E184" s="219"/>
      <c r="H184" s="2" t="s">
        <v>217</v>
      </c>
      <c r="I184" s="280" t="s">
        <v>291</v>
      </c>
      <c r="J184" s="103">
        <f>'Asphalt Plant (AP-6)'!$T$73</f>
        <v>0</v>
      </c>
    </row>
    <row r="185" spans="2:11" x14ac:dyDescent="0.25">
      <c r="B185" s="2" t="s">
        <v>218</v>
      </c>
      <c r="C185" s="280" t="s">
        <v>292</v>
      </c>
      <c r="D185" s="103">
        <f ca="1">'Asphalt Plant (AP-5)'!$T$75</f>
        <v>0</v>
      </c>
      <c r="E185" s="219"/>
      <c r="H185" s="2" t="s">
        <v>218</v>
      </c>
      <c r="I185" s="280" t="s">
        <v>292</v>
      </c>
      <c r="J185" s="103">
        <f ca="1">'Asphalt Plant (AP-6)'!$T$75</f>
        <v>0</v>
      </c>
    </row>
    <row r="186" spans="2:11" x14ac:dyDescent="0.25">
      <c r="B186" s="2" t="s">
        <v>219</v>
      </c>
      <c r="C186" s="280" t="s">
        <v>293</v>
      </c>
      <c r="D186" s="103">
        <f ca="1">SUM('Asphalt Plant (AP-5)'!$T$77:$T$79)</f>
        <v>0</v>
      </c>
      <c r="E186" s="219"/>
      <c r="H186" s="2" t="s">
        <v>219</v>
      </c>
      <c r="I186" s="280" t="s">
        <v>293</v>
      </c>
      <c r="J186" s="103">
        <f ca="1">SUM('Asphalt Plant (AP-6)'!$T$77:$T$79)</f>
        <v>0</v>
      </c>
    </row>
    <row r="187" spans="2:11" x14ac:dyDescent="0.25">
      <c r="B187" s="2" t="s">
        <v>220</v>
      </c>
      <c r="C187" s="280" t="s">
        <v>294</v>
      </c>
      <c r="D187" s="103">
        <f ca="1">'Asphalt Plant (AP-5)'!$T$81</f>
        <v>0</v>
      </c>
      <c r="E187" s="219"/>
      <c r="H187" s="2" t="s">
        <v>220</v>
      </c>
      <c r="I187" s="280" t="s">
        <v>294</v>
      </c>
      <c r="J187" s="103">
        <f ca="1">'Asphalt Plant (AP-6)'!$T$81</f>
        <v>0</v>
      </c>
    </row>
    <row r="188" spans="2:11" x14ac:dyDescent="0.25">
      <c r="B188" s="2" t="s">
        <v>221</v>
      </c>
      <c r="C188" s="280" t="s">
        <v>295</v>
      </c>
      <c r="D188" s="103">
        <f>'Asphalt Plant (AP-5)'!$T$83</f>
        <v>0</v>
      </c>
      <c r="E188" s="219"/>
      <c r="H188" s="2" t="s">
        <v>221</v>
      </c>
      <c r="I188" s="280" t="s">
        <v>295</v>
      </c>
      <c r="J188" s="103">
        <f>'Asphalt Plant (AP-6)'!$T$83</f>
        <v>0</v>
      </c>
    </row>
    <row r="189" spans="2:11" x14ac:dyDescent="0.25">
      <c r="B189" s="2" t="s">
        <v>223</v>
      </c>
      <c r="C189" s="280"/>
      <c r="D189" s="103">
        <f>'Asphalt Plant (AP-5)'!$T$85</f>
        <v>0</v>
      </c>
      <c r="E189" s="219"/>
      <c r="H189" s="2" t="s">
        <v>223</v>
      </c>
      <c r="I189" s="280"/>
      <c r="J189" s="103">
        <f>'Asphalt Plant (AP-6)'!$T$85</f>
        <v>0</v>
      </c>
    </row>
    <row r="190" spans="2:11" x14ac:dyDescent="0.25">
      <c r="B190" s="2" t="s">
        <v>224</v>
      </c>
      <c r="C190" s="280"/>
      <c r="D190" s="103">
        <f>'Asphalt Plant (AP-5)'!$T$87</f>
        <v>0</v>
      </c>
      <c r="E190" s="219"/>
      <c r="H190" s="2" t="s">
        <v>224</v>
      </c>
      <c r="I190" s="280"/>
      <c r="J190" s="103">
        <f>'Asphalt Plant (AP-6)'!$T$87</f>
        <v>0</v>
      </c>
    </row>
    <row r="191" spans="2:11" x14ac:dyDescent="0.25">
      <c r="B191" s="2" t="s">
        <v>225</v>
      </c>
      <c r="C191" s="280"/>
      <c r="D191" s="103">
        <f>'Asphalt Plant (AP-5)'!$T$89</f>
        <v>0</v>
      </c>
      <c r="E191" s="219"/>
      <c r="H191" s="2" t="s">
        <v>225</v>
      </c>
      <c r="I191" s="280"/>
      <c r="J191" s="103">
        <f>'Asphalt Plant (AP-6)'!$T$89</f>
        <v>0</v>
      </c>
    </row>
    <row r="192" spans="2:11" x14ac:dyDescent="0.25">
      <c r="B192" s="2" t="s">
        <v>222</v>
      </c>
      <c r="C192" s="280"/>
      <c r="D192" s="103">
        <f>SUM('Asphalt Plant (AP-5)'!$T$91:$T$93)</f>
        <v>0</v>
      </c>
      <c r="E192" s="219"/>
      <c r="H192" s="2" t="s">
        <v>222</v>
      </c>
      <c r="I192" s="280"/>
      <c r="J192" s="103">
        <f>SUM('Asphalt Plant (AP-6)'!$T$91:$T$93)</f>
        <v>0</v>
      </c>
    </row>
    <row r="193" spans="1:11" ht="15.75" thickBot="1" x14ac:dyDescent="0.3">
      <c r="B193" s="3" t="s">
        <v>29</v>
      </c>
      <c r="C193" s="284"/>
      <c r="D193" s="105">
        <f ca="1">SUM(D176:D192)</f>
        <v>0</v>
      </c>
      <c r="H193" s="3" t="s">
        <v>29</v>
      </c>
      <c r="I193" s="284"/>
      <c r="J193" s="105">
        <f ca="1">SUM(J176:J192)</f>
        <v>0</v>
      </c>
    </row>
    <row r="194" spans="1:11" ht="15.75" thickBot="1" x14ac:dyDescent="0.3"/>
    <row r="195" spans="1:11" ht="16.5" hidden="1" thickBot="1" x14ac:dyDescent="0.3">
      <c r="A195" s="106" t="s">
        <v>265</v>
      </c>
      <c r="B195" s="290" t="s">
        <v>163</v>
      </c>
      <c r="C195" s="283"/>
      <c r="D195" s="292"/>
      <c r="E195" s="107"/>
      <c r="G195" s="106" t="s">
        <v>266</v>
      </c>
      <c r="H195" s="290" t="s">
        <v>163</v>
      </c>
      <c r="I195" s="283"/>
      <c r="J195" s="292"/>
      <c r="K195" s="107"/>
    </row>
    <row r="196" spans="1:11" hidden="1" x14ac:dyDescent="0.25">
      <c r="B196" s="4" t="s">
        <v>20</v>
      </c>
      <c r="C196" s="288" t="s">
        <v>21</v>
      </c>
      <c r="D196" s="5" t="s">
        <v>22</v>
      </c>
      <c r="E196" s="107"/>
      <c r="H196" s="4" t="s">
        <v>20</v>
      </c>
      <c r="I196" s="288" t="s">
        <v>21</v>
      </c>
      <c r="J196" s="5" t="s">
        <v>22</v>
      </c>
      <c r="K196" s="107"/>
    </row>
    <row r="197" spans="1:11" hidden="1" x14ac:dyDescent="0.25">
      <c r="B197" s="1" t="s">
        <v>23</v>
      </c>
      <c r="C197" s="282" t="s">
        <v>23</v>
      </c>
      <c r="D197" s="103">
        <f ca="1">SUM('Asphalt Plant (AP-7)'!S21:S26,'Asphalt Plant (AP-7)'!S36,'Haul Roads'!AL14,'Permitted Diesel Engines'!Z60)</f>
        <v>0</v>
      </c>
      <c r="E197" s="107"/>
      <c r="H197" s="1" t="s">
        <v>23</v>
      </c>
      <c r="I197" s="282" t="s">
        <v>23</v>
      </c>
      <c r="J197" s="103">
        <f ca="1">SUM('Asphalt Plant (AP-8)'!S21:S26,'Asphalt Plant (AP-8)'!S36,'Haul Roads'!AL15,'Permitted Diesel Engines'!Z61)</f>
        <v>0</v>
      </c>
      <c r="K197" s="107"/>
    </row>
    <row r="198" spans="1:11" hidden="1" x14ac:dyDescent="0.25">
      <c r="B198" s="2" t="s">
        <v>24</v>
      </c>
      <c r="C198" s="281" t="s">
        <v>24</v>
      </c>
      <c r="D198" s="103">
        <f ca="1">SUM('Asphalt Plant (AP-7)'!S28:S33,'Asphalt Plant (AP-7)'!S36,'Haul Roads'!AN14,'Permitted Diesel Engines'!AC60)</f>
        <v>0</v>
      </c>
      <c r="E198" s="107"/>
      <c r="H198" s="2" t="s">
        <v>24</v>
      </c>
      <c r="I198" s="281" t="s">
        <v>24</v>
      </c>
      <c r="J198" s="103">
        <f ca="1">SUM('Asphalt Plant (AP-8)'!S28:S33,'Asphalt Plant (AP-8)'!S36,'Haul Roads'!AN15,'Permitted Diesel Engines'!AC61)</f>
        <v>0</v>
      </c>
      <c r="K198" s="107"/>
    </row>
    <row r="199" spans="1:11" hidden="1" x14ac:dyDescent="0.25">
      <c r="B199" s="2" t="s">
        <v>3</v>
      </c>
      <c r="C199" s="280" t="s">
        <v>25</v>
      </c>
      <c r="D199" s="103">
        <f ca="1">SUM('Asphalt Plant (AP-7)'!S39:S41,'Permitted Diesel Engines'!AD60)</f>
        <v>0</v>
      </c>
      <c r="E199" s="107" t="str">
        <f ca="1">IF(D199&gt;100,"Thresholds exceeded, contact DNR for assistance.","")</f>
        <v/>
      </c>
      <c r="H199" s="2" t="s">
        <v>3</v>
      </c>
      <c r="I199" s="280" t="s">
        <v>25</v>
      </c>
      <c r="J199" s="103">
        <f ca="1">SUM('Asphalt Plant (AP-8)'!S39:S41,'Permitted Diesel Engines'!AD61)</f>
        <v>0</v>
      </c>
      <c r="K199" s="107" t="str">
        <f ca="1">IF(J199&gt;100,"Thresholds exceeded, contact DNR for assistance.","")</f>
        <v/>
      </c>
    </row>
    <row r="200" spans="1:11" hidden="1" x14ac:dyDescent="0.25">
      <c r="B200" s="2" t="s">
        <v>26</v>
      </c>
      <c r="C200" s="280" t="s">
        <v>26</v>
      </c>
      <c r="D200" s="103">
        <f ca="1">SUM('Asphalt Plant (AP-7)'!S43:S45,'Permitted Diesel Engines'!AG60)</f>
        <v>0</v>
      </c>
      <c r="E200" s="107" t="str">
        <f ca="1">IF(D200&gt;100,"Thresholds exceeded, contact DNR for assistance.","")</f>
        <v/>
      </c>
      <c r="H200" s="2" t="s">
        <v>26</v>
      </c>
      <c r="I200" s="280" t="s">
        <v>26</v>
      </c>
      <c r="J200" s="103">
        <f ca="1">SUM('Asphalt Plant (AP-8)'!S43:S45,'Permitted Diesel Engines'!AG61)</f>
        <v>0</v>
      </c>
      <c r="K200" s="107" t="str">
        <f ca="1">IF(J200&gt;100,"Thresholds exceeded, contact DNR for assistance.","")</f>
        <v/>
      </c>
    </row>
    <row r="201" spans="1:11" hidden="1" x14ac:dyDescent="0.25">
      <c r="B201" s="2" t="s">
        <v>5</v>
      </c>
      <c r="C201" s="280" t="s">
        <v>5</v>
      </c>
      <c r="D201" s="103">
        <f ca="1">SUM('Asphalt Plant (AP-7)'!S47:S49,'Permitted Diesel Engines'!AH60)</f>
        <v>0</v>
      </c>
      <c r="E201" s="107" t="str">
        <f ca="1">IF(D201&gt;100,"Thresholds exceeded, contact DNR for assistance.","")</f>
        <v/>
      </c>
      <c r="H201" s="2" t="s">
        <v>5</v>
      </c>
      <c r="I201" s="280" t="s">
        <v>5</v>
      </c>
      <c r="J201" s="103">
        <f ca="1">SUM('Asphalt Plant (AP-8)'!S47:S49,'Permitted Diesel Engines'!AH61)</f>
        <v>0</v>
      </c>
      <c r="K201" s="107" t="str">
        <f ca="1">IF(J201&gt;100,"Thresholds exceeded, contact DNR for assistance.","")</f>
        <v/>
      </c>
    </row>
    <row r="202" spans="1:11" hidden="1" x14ac:dyDescent="0.25">
      <c r="B202" s="2" t="s">
        <v>6</v>
      </c>
      <c r="C202" s="280" t="s">
        <v>27</v>
      </c>
      <c r="D202" s="103">
        <f ca="1">SUM('Asphalt Plant (AP-7)'!S51:S54,'Permitted Diesel Engines'!AK60)</f>
        <v>0</v>
      </c>
      <c r="E202" s="107" t="str">
        <f ca="1">IF(D202&gt;100,"Thresholds exceeded, contact DNR for assistance.","")</f>
        <v/>
      </c>
      <c r="H202" s="2" t="s">
        <v>6</v>
      </c>
      <c r="I202" s="280" t="s">
        <v>27</v>
      </c>
      <c r="J202" s="103">
        <f ca="1">SUM('Asphalt Plant (AP-8)'!S51:S54,'Permitted Diesel Engines'!AK61)</f>
        <v>0</v>
      </c>
      <c r="K202" s="107" t="str">
        <f ca="1">IF(J202&gt;100,"Thresholds exceeded, contact DNR for assistance.","")</f>
        <v/>
      </c>
    </row>
    <row r="203" spans="1:11" hidden="1" x14ac:dyDescent="0.25">
      <c r="B203" s="2" t="s">
        <v>211</v>
      </c>
      <c r="C203" s="280" t="s">
        <v>285</v>
      </c>
      <c r="D203" s="103">
        <f ca="1">SUM('Asphalt Plant (AP-7)'!$S$56)</f>
        <v>0</v>
      </c>
      <c r="E203" s="107" t="str">
        <f ca="1">IF(D203&gt;10,"Thresholds exceeded, contact DNR for assistance.","")</f>
        <v/>
      </c>
      <c r="H203" s="2" t="s">
        <v>211</v>
      </c>
      <c r="I203" s="280" t="s">
        <v>285</v>
      </c>
      <c r="J203" s="103">
        <f ca="1">SUM('Asphalt Plant (AP-8)'!$S$56)</f>
        <v>0</v>
      </c>
      <c r="K203" s="107" t="str">
        <f ca="1">IF(J203&gt;10,"Thresholds exceeded, contact DNR for assistance.","")</f>
        <v/>
      </c>
    </row>
    <row r="204" spans="1:11" hidden="1" x14ac:dyDescent="0.25">
      <c r="B204" s="2" t="s">
        <v>212</v>
      </c>
      <c r="C204" s="280" t="s">
        <v>286</v>
      </c>
      <c r="D204" s="103">
        <f>'Asphalt Plant (AP-7)'!$S$58</f>
        <v>0</v>
      </c>
      <c r="E204" s="107" t="str">
        <f>IF(D204&gt;10,"Thresholds exceeded, contact DNR for assistance.","")</f>
        <v/>
      </c>
      <c r="H204" s="2" t="s">
        <v>212</v>
      </c>
      <c r="I204" s="280" t="s">
        <v>286</v>
      </c>
      <c r="J204" s="103">
        <f>'Asphalt Plant (AP-8)'!$S$58</f>
        <v>0</v>
      </c>
      <c r="K204" s="107" t="str">
        <f t="shared" ref="K204:K219" si="6">IF(J204&gt;10,"Thresholds exceeded, contact DNR for assistance.","")</f>
        <v/>
      </c>
    </row>
    <row r="205" spans="1:11" hidden="1" x14ac:dyDescent="0.25">
      <c r="B205" s="32" t="s">
        <v>52</v>
      </c>
      <c r="C205" s="285" t="s">
        <v>72</v>
      </c>
      <c r="D205" s="103">
        <f ca="1">SUM('Asphalt Plant (AP-7)'!$S$60,'Permitted Diesel Engines'!$AO$60)</f>
        <v>0</v>
      </c>
      <c r="E205" s="107" t="str">
        <f t="shared" ref="E205:E219" ca="1" si="7">IF(D205&gt;10,"Thresholds exceeded, contact DNR for assistance.","")</f>
        <v/>
      </c>
      <c r="H205" s="32" t="s">
        <v>52</v>
      </c>
      <c r="I205" s="285" t="s">
        <v>72</v>
      </c>
      <c r="J205" s="103">
        <f ca="1">SUM('Asphalt Plant (AP-8)'!$S$60,'Permitted Diesel Engines'!$AO$61)</f>
        <v>0</v>
      </c>
      <c r="K205" s="107" t="str">
        <f t="shared" ca="1" si="6"/>
        <v/>
      </c>
    </row>
    <row r="206" spans="1:11" hidden="1" x14ac:dyDescent="0.25">
      <c r="B206" s="218" t="s">
        <v>213</v>
      </c>
      <c r="C206" s="285" t="s">
        <v>287</v>
      </c>
      <c r="D206" s="103">
        <f ca="1">SUM('Asphalt Plant (AP-7)'!$S$62)</f>
        <v>0</v>
      </c>
      <c r="E206" s="107" t="str">
        <f t="shared" ca="1" si="7"/>
        <v/>
      </c>
      <c r="H206" s="218" t="s">
        <v>213</v>
      </c>
      <c r="I206" s="285" t="s">
        <v>287</v>
      </c>
      <c r="J206" s="103">
        <f ca="1">SUM('Asphalt Plant (AP-8)'!$S$62)</f>
        <v>0</v>
      </c>
      <c r="K206" s="107" t="str">
        <f t="shared" ca="1" si="6"/>
        <v/>
      </c>
    </row>
    <row r="207" spans="1:11" hidden="1" x14ac:dyDescent="0.25">
      <c r="B207" s="2" t="s">
        <v>7</v>
      </c>
      <c r="C207" s="280" t="s">
        <v>28</v>
      </c>
      <c r="D207" s="103">
        <f ca="1">SUM('Asphalt Plant (AP-7)'!$S$64:$S$65,'Permitted Diesel Engines'!$AL$60)</f>
        <v>0</v>
      </c>
      <c r="E207" s="107" t="str">
        <f t="shared" ca="1" si="7"/>
        <v/>
      </c>
      <c r="H207" s="2" t="s">
        <v>7</v>
      </c>
      <c r="I207" s="280" t="s">
        <v>28</v>
      </c>
      <c r="J207" s="103">
        <f ca="1">SUM('Asphalt Plant (AP-8)'!$S$64:$S$65,'Permitted Diesel Engines'!$AL$61)</f>
        <v>0</v>
      </c>
      <c r="K207" s="107" t="str">
        <f t="shared" ca="1" si="6"/>
        <v/>
      </c>
    </row>
    <row r="208" spans="1:11" hidden="1" x14ac:dyDescent="0.25">
      <c r="B208" s="2" t="s">
        <v>214</v>
      </c>
      <c r="C208" s="280" t="s">
        <v>288</v>
      </c>
      <c r="D208" s="103">
        <f>('Asphalt Plant (AP-7)'!$S$67)</f>
        <v>0</v>
      </c>
      <c r="E208" s="107" t="str">
        <f t="shared" si="7"/>
        <v/>
      </c>
      <c r="H208" s="2" t="s">
        <v>214</v>
      </c>
      <c r="I208" s="280" t="s">
        <v>288</v>
      </c>
      <c r="J208" s="103">
        <f>('Asphalt Plant (AP-8)'!$S$67)</f>
        <v>0</v>
      </c>
      <c r="K208" s="107" t="str">
        <f t="shared" si="6"/>
        <v/>
      </c>
    </row>
    <row r="209" spans="1:11" hidden="1" x14ac:dyDescent="0.25">
      <c r="B209" s="2" t="s">
        <v>258</v>
      </c>
      <c r="C209" s="280" t="s">
        <v>289</v>
      </c>
      <c r="D209" s="103">
        <f>'Asphalt Plant (AP-7)'!$S$69</f>
        <v>0</v>
      </c>
      <c r="E209" s="107" t="str">
        <f t="shared" si="7"/>
        <v/>
      </c>
      <c r="H209" s="2" t="s">
        <v>258</v>
      </c>
      <c r="I209" s="280" t="s">
        <v>289</v>
      </c>
      <c r="J209" s="103">
        <f>'Asphalt Plant (AP-8)'!$S$69</f>
        <v>0</v>
      </c>
      <c r="K209" s="107" t="str">
        <f t="shared" si="6"/>
        <v/>
      </c>
    </row>
    <row r="210" spans="1:11" hidden="1" x14ac:dyDescent="0.25">
      <c r="B210" s="2" t="s">
        <v>216</v>
      </c>
      <c r="C210" s="280" t="s">
        <v>290</v>
      </c>
      <c r="D210" s="103">
        <f>'Asphalt Plant (AP-7)'!$S$71</f>
        <v>0</v>
      </c>
      <c r="E210" s="107" t="str">
        <f t="shared" si="7"/>
        <v/>
      </c>
      <c r="H210" s="2" t="s">
        <v>216</v>
      </c>
      <c r="I210" s="280" t="s">
        <v>290</v>
      </c>
      <c r="J210" s="103">
        <f>'Asphalt Plant (AP-8)'!$S$71</f>
        <v>0</v>
      </c>
      <c r="K210" s="107" t="str">
        <f t="shared" si="6"/>
        <v/>
      </c>
    </row>
    <row r="211" spans="1:11" hidden="1" x14ac:dyDescent="0.25">
      <c r="B211" s="2" t="s">
        <v>217</v>
      </c>
      <c r="C211" s="280" t="s">
        <v>291</v>
      </c>
      <c r="D211" s="103">
        <f>'Asphalt Plant (AP-7)'!$S$73</f>
        <v>0</v>
      </c>
      <c r="E211" s="107" t="str">
        <f t="shared" si="7"/>
        <v/>
      </c>
      <c r="H211" s="2" t="s">
        <v>217</v>
      </c>
      <c r="I211" s="280" t="s">
        <v>291</v>
      </c>
      <c r="J211" s="103">
        <f>'Asphalt Plant (AP-8)'!$S$73</f>
        <v>0</v>
      </c>
      <c r="K211" s="107" t="str">
        <f t="shared" si="6"/>
        <v/>
      </c>
    </row>
    <row r="212" spans="1:11" hidden="1" x14ac:dyDescent="0.25">
      <c r="B212" s="2" t="s">
        <v>218</v>
      </c>
      <c r="C212" s="280" t="s">
        <v>292</v>
      </c>
      <c r="D212" s="103">
        <f ca="1">'Asphalt Plant (AP-7)'!$S$75</f>
        <v>0</v>
      </c>
      <c r="E212" s="107" t="str">
        <f t="shared" ca="1" si="7"/>
        <v/>
      </c>
      <c r="H212" s="2" t="s">
        <v>218</v>
      </c>
      <c r="I212" s="280" t="s">
        <v>292</v>
      </c>
      <c r="J212" s="103">
        <f ca="1">'Asphalt Plant (AP-8)'!$S$75</f>
        <v>0</v>
      </c>
      <c r="K212" s="107" t="str">
        <f ca="1">IF(J212&gt;10,"Thresholds exceeded, contact DNR for assistance.","")</f>
        <v/>
      </c>
    </row>
    <row r="213" spans="1:11" hidden="1" x14ac:dyDescent="0.25">
      <c r="B213" s="2" t="s">
        <v>219</v>
      </c>
      <c r="C213" s="280" t="s">
        <v>293</v>
      </c>
      <c r="D213" s="103">
        <f ca="1">SUM('Asphalt Plant (AP-7)'!$S$77:$S$79)</f>
        <v>0</v>
      </c>
      <c r="E213" s="107" t="str">
        <f t="shared" ca="1" si="7"/>
        <v/>
      </c>
      <c r="H213" s="2" t="s">
        <v>219</v>
      </c>
      <c r="I213" s="280" t="s">
        <v>293</v>
      </c>
      <c r="J213" s="103">
        <f ca="1">SUM('Asphalt Plant (AP-8)'!$S$77:$S$79)</f>
        <v>0</v>
      </c>
      <c r="K213" s="107" t="str">
        <f t="shared" ca="1" si="6"/>
        <v/>
      </c>
    </row>
    <row r="214" spans="1:11" hidden="1" x14ac:dyDescent="0.25">
      <c r="B214" s="2" t="s">
        <v>220</v>
      </c>
      <c r="C214" s="280" t="s">
        <v>294</v>
      </c>
      <c r="D214" s="103">
        <f ca="1">'Asphalt Plant (AP-7)'!$S$81</f>
        <v>0</v>
      </c>
      <c r="E214" s="107" t="str">
        <f t="shared" ca="1" si="7"/>
        <v/>
      </c>
      <c r="H214" s="2" t="s">
        <v>220</v>
      </c>
      <c r="I214" s="280" t="s">
        <v>294</v>
      </c>
      <c r="J214" s="103">
        <f ca="1">'Asphalt Plant (AP-8)'!$S$81</f>
        <v>0</v>
      </c>
      <c r="K214" s="107" t="str">
        <f t="shared" ca="1" si="6"/>
        <v/>
      </c>
    </row>
    <row r="215" spans="1:11" hidden="1" x14ac:dyDescent="0.25">
      <c r="B215" s="2" t="s">
        <v>221</v>
      </c>
      <c r="C215" s="280" t="s">
        <v>295</v>
      </c>
      <c r="D215" s="103">
        <f>'Asphalt Plant (AP-7)'!$S$83</f>
        <v>0</v>
      </c>
      <c r="E215" s="107" t="str">
        <f t="shared" si="7"/>
        <v/>
      </c>
      <c r="H215" s="2" t="s">
        <v>221</v>
      </c>
      <c r="I215" s="280" t="s">
        <v>295</v>
      </c>
      <c r="J215" s="103">
        <f>'Asphalt Plant (AP-8)'!$S$83</f>
        <v>0</v>
      </c>
      <c r="K215" s="107" t="str">
        <f t="shared" si="6"/>
        <v/>
      </c>
    </row>
    <row r="216" spans="1:11" hidden="1" x14ac:dyDescent="0.25">
      <c r="B216" s="2" t="s">
        <v>223</v>
      </c>
      <c r="C216" s="280"/>
      <c r="D216" s="103">
        <f>'Asphalt Plant (AP-7)'!$S$85</f>
        <v>0</v>
      </c>
      <c r="E216" s="107" t="str">
        <f t="shared" si="7"/>
        <v/>
      </c>
      <c r="H216" s="2" t="s">
        <v>223</v>
      </c>
      <c r="I216" s="280"/>
      <c r="J216" s="103">
        <f>'Asphalt Plant (AP-8)'!$S$85</f>
        <v>0</v>
      </c>
      <c r="K216" s="107" t="str">
        <f t="shared" si="6"/>
        <v/>
      </c>
    </row>
    <row r="217" spans="1:11" hidden="1" x14ac:dyDescent="0.25">
      <c r="B217" s="2" t="s">
        <v>224</v>
      </c>
      <c r="C217" s="280"/>
      <c r="D217" s="103">
        <f>'Asphalt Plant (AP-7)'!$S$87</f>
        <v>0</v>
      </c>
      <c r="E217" s="107" t="str">
        <f t="shared" si="7"/>
        <v/>
      </c>
      <c r="H217" s="2" t="s">
        <v>224</v>
      </c>
      <c r="I217" s="280"/>
      <c r="J217" s="103">
        <f>'Asphalt Plant (AP-8)'!$S$87</f>
        <v>0</v>
      </c>
      <c r="K217" s="107" t="str">
        <f t="shared" si="6"/>
        <v/>
      </c>
    </row>
    <row r="218" spans="1:11" hidden="1" x14ac:dyDescent="0.25">
      <c r="B218" s="2" t="s">
        <v>225</v>
      </c>
      <c r="C218" s="280"/>
      <c r="D218" s="103">
        <f>'Asphalt Plant (AP-7)'!$S$89</f>
        <v>0</v>
      </c>
      <c r="E218" s="107" t="str">
        <f t="shared" si="7"/>
        <v/>
      </c>
      <c r="H218" s="2" t="s">
        <v>225</v>
      </c>
      <c r="I218" s="280"/>
      <c r="J218" s="103">
        <f>'Asphalt Plant (AP-8)'!$S$89</f>
        <v>0</v>
      </c>
      <c r="K218" s="107" t="str">
        <f t="shared" si="6"/>
        <v/>
      </c>
    </row>
    <row r="219" spans="1:11" hidden="1" x14ac:dyDescent="0.25">
      <c r="B219" s="2" t="s">
        <v>222</v>
      </c>
      <c r="C219" s="280"/>
      <c r="D219" s="103">
        <f>SUM('Asphalt Plant (AP-7)'!$S$91:$S$93)</f>
        <v>0</v>
      </c>
      <c r="E219" s="107" t="str">
        <f t="shared" si="7"/>
        <v/>
      </c>
      <c r="H219" s="2" t="s">
        <v>222</v>
      </c>
      <c r="I219" s="280"/>
      <c r="J219" s="103">
        <f>SUM('Asphalt Plant (AP-8)'!$S$91:$S$93)</f>
        <v>0</v>
      </c>
      <c r="K219" s="107" t="str">
        <f t="shared" si="6"/>
        <v/>
      </c>
    </row>
    <row r="220" spans="1:11" ht="15.75" hidden="1" thickBot="1" x14ac:dyDescent="0.3">
      <c r="B220" s="3" t="s">
        <v>29</v>
      </c>
      <c r="C220" s="284"/>
      <c r="D220" s="105">
        <f ca="1">SUM(D203:D219)</f>
        <v>0</v>
      </c>
      <c r="E220" s="107" t="str">
        <f ca="1">IF(D220&gt;25,"Thresholds exceeded, contact DNR for assistance.","")</f>
        <v/>
      </c>
      <c r="H220" s="3" t="s">
        <v>29</v>
      </c>
      <c r="I220" s="284"/>
      <c r="J220" s="105">
        <f ca="1">SUM(J203:J219)</f>
        <v>0</v>
      </c>
      <c r="K220" s="107" t="str">
        <f ca="1">IF(J220&gt;25,"Thresholds exceeded, contact DNR for assistance.","")</f>
        <v/>
      </c>
    </row>
    <row r="221" spans="1:11" ht="15.75" hidden="1" thickBot="1" x14ac:dyDescent="0.3"/>
    <row r="222" spans="1:11" ht="16.5" thickBot="1" x14ac:dyDescent="0.3">
      <c r="A222" s="106" t="s">
        <v>265</v>
      </c>
      <c r="B222" s="290" t="s">
        <v>164</v>
      </c>
      <c r="C222" s="283"/>
      <c r="D222" s="292"/>
      <c r="G222" s="106" t="s">
        <v>266</v>
      </c>
      <c r="H222" s="290" t="s">
        <v>164</v>
      </c>
      <c r="I222" s="283"/>
      <c r="J222" s="292"/>
    </row>
    <row r="223" spans="1:11" x14ac:dyDescent="0.25">
      <c r="B223" s="4" t="s">
        <v>20</v>
      </c>
      <c r="C223" s="288" t="s">
        <v>21</v>
      </c>
      <c r="D223" s="5" t="s">
        <v>22</v>
      </c>
      <c r="H223" s="4" t="s">
        <v>20</v>
      </c>
      <c r="I223" s="288" t="s">
        <v>21</v>
      </c>
      <c r="J223" s="5" t="s">
        <v>22</v>
      </c>
    </row>
    <row r="224" spans="1:11" x14ac:dyDescent="0.25">
      <c r="B224" s="2" t="s">
        <v>23</v>
      </c>
      <c r="C224" s="282" t="s">
        <v>23</v>
      </c>
      <c r="D224" s="103">
        <f ca="1">SUM('Asphalt Plant (AP-7)'!T21:T26,'Asphalt Plant (AP-7)'!T36,'Haul Roads'!AM14,'Permitted Diesel Engines'!AA60)</f>
        <v>0</v>
      </c>
      <c r="H224" s="2" t="s">
        <v>23</v>
      </c>
      <c r="I224" s="282" t="s">
        <v>23</v>
      </c>
      <c r="J224" s="103">
        <f ca="1">SUM('Asphalt Plant (AP-8)'!T21:T26,'Asphalt Plant (AP-8)'!T36,'Haul Roads'!AM15,'Permitted Diesel Engines'!AA61)</f>
        <v>0</v>
      </c>
    </row>
    <row r="225" spans="2:11" x14ac:dyDescent="0.25">
      <c r="B225" s="2" t="s">
        <v>24</v>
      </c>
      <c r="C225" s="281" t="s">
        <v>24</v>
      </c>
      <c r="D225" s="103">
        <f ca="1">SUM('Asphalt Plant (AP-7)'!T28:T33,'Asphalt Plant (AP-7)'!T36,'Haul Roads'!AO14,'Permitted Diesel Engines'!AB60)</f>
        <v>0</v>
      </c>
      <c r="H225" s="2" t="s">
        <v>24</v>
      </c>
      <c r="I225" s="281" t="s">
        <v>24</v>
      </c>
      <c r="J225" s="103">
        <f ca="1">SUM('Asphalt Plant (AP-8)'!T28:T33,'Asphalt Plant (AP-8)'!T36,'Haul Roads'!AO15,'Permitted Diesel Engines'!AB61)</f>
        <v>0</v>
      </c>
    </row>
    <row r="226" spans="2:11" x14ac:dyDescent="0.25">
      <c r="B226" s="2" t="s">
        <v>3</v>
      </c>
      <c r="C226" s="280" t="s">
        <v>25</v>
      </c>
      <c r="D226" s="103">
        <f ca="1">SUM('Asphalt Plant (AP-7)'!T39:T42,'Permitted Diesel Engines'!AE60)</f>
        <v>0</v>
      </c>
      <c r="H226" s="2" t="s">
        <v>3</v>
      </c>
      <c r="I226" s="280" t="s">
        <v>25</v>
      </c>
      <c r="J226" s="103">
        <f ca="1">SUM('Asphalt Plant (AP-8)'!T39:T42,'Permitted Diesel Engines'!AE61)</f>
        <v>0</v>
      </c>
    </row>
    <row r="227" spans="2:11" x14ac:dyDescent="0.25">
      <c r="B227" s="2" t="s">
        <v>26</v>
      </c>
      <c r="C227" s="280" t="s">
        <v>26</v>
      </c>
      <c r="D227" s="103">
        <f ca="1">SUM('Asphalt Plant (AP-7)'!T43:T45,'Permitted Diesel Engines'!AF60)</f>
        <v>0</v>
      </c>
      <c r="H227" s="2" t="s">
        <v>26</v>
      </c>
      <c r="I227" s="280" t="s">
        <v>26</v>
      </c>
      <c r="J227" s="103">
        <f ca="1">SUM('Asphalt Plant (AP-8)'!T43:T45,'Permitted Diesel Engines'!AF61)</f>
        <v>0</v>
      </c>
    </row>
    <row r="228" spans="2:11" x14ac:dyDescent="0.25">
      <c r="B228" s="2" t="s">
        <v>5</v>
      </c>
      <c r="C228" s="280" t="s">
        <v>5</v>
      </c>
      <c r="D228" s="103">
        <f ca="1">SUM('Asphalt Plant (AP-7)'!T47:T49,'Permitted Diesel Engines'!AI60)</f>
        <v>0</v>
      </c>
      <c r="H228" s="2" t="s">
        <v>5</v>
      </c>
      <c r="I228" s="280" t="s">
        <v>5</v>
      </c>
      <c r="J228" s="103">
        <f ca="1">SUM('Asphalt Plant (AP-8)'!T47:T49,'Permitted Diesel Engines'!AI61)</f>
        <v>0</v>
      </c>
    </row>
    <row r="229" spans="2:11" x14ac:dyDescent="0.25">
      <c r="B229" s="2" t="s">
        <v>6</v>
      </c>
      <c r="C229" s="280" t="s">
        <v>27</v>
      </c>
      <c r="D229" s="103">
        <f ca="1">SUM('Asphalt Plant (AP-7)'!T51:T54,'Permitted Diesel Engines'!AJ60)</f>
        <v>0</v>
      </c>
      <c r="H229" s="2" t="s">
        <v>6</v>
      </c>
      <c r="I229" s="280" t="s">
        <v>27</v>
      </c>
      <c r="J229" s="103">
        <f ca="1">SUM('Asphalt Plant (AP-8)'!T51:T54,'Permitted Diesel Engines'!AJ61)</f>
        <v>0</v>
      </c>
    </row>
    <row r="230" spans="2:11" x14ac:dyDescent="0.25">
      <c r="B230" s="2" t="s">
        <v>211</v>
      </c>
      <c r="C230" s="280" t="s">
        <v>285</v>
      </c>
      <c r="D230" s="103">
        <f ca="1">SUM('Asphalt Plant (AP-7)'!$T$56)</f>
        <v>0</v>
      </c>
      <c r="E230" s="219"/>
      <c r="H230" s="2" t="s">
        <v>211</v>
      </c>
      <c r="I230" s="280" t="s">
        <v>285</v>
      </c>
      <c r="J230" s="103">
        <f ca="1">SUM('Asphalt Plant (AP-8)'!$T$56)</f>
        <v>0</v>
      </c>
      <c r="K230" s="107"/>
    </row>
    <row r="231" spans="2:11" x14ac:dyDescent="0.25">
      <c r="B231" s="2" t="s">
        <v>212</v>
      </c>
      <c r="C231" s="280" t="s">
        <v>286</v>
      </c>
      <c r="D231" s="103">
        <f ca="1">'Asphalt Plant (AP-7)'!$T$58</f>
        <v>0</v>
      </c>
      <c r="E231" s="219"/>
      <c r="H231" s="2" t="s">
        <v>212</v>
      </c>
      <c r="I231" s="280" t="s">
        <v>286</v>
      </c>
      <c r="J231" s="103">
        <f ca="1">'Asphalt Plant (AP-8)'!$T$58</f>
        <v>0</v>
      </c>
      <c r="K231" s="107"/>
    </row>
    <row r="232" spans="2:11" x14ac:dyDescent="0.25">
      <c r="B232" s="32" t="s">
        <v>52</v>
      </c>
      <c r="C232" s="285" t="s">
        <v>72</v>
      </c>
      <c r="D232" s="103">
        <f ca="1">SUM('Asphalt Plant (AP-7)'!$T$60,'Permitted Diesel Engines'!$AN$60)</f>
        <v>0</v>
      </c>
      <c r="E232" s="219"/>
      <c r="H232" s="32" t="s">
        <v>52</v>
      </c>
      <c r="I232" s="285" t="s">
        <v>72</v>
      </c>
      <c r="J232" s="103">
        <f ca="1">SUM('Asphalt Plant (AP-8)'!$T$60,'Permitted Diesel Engines'!$AN$61)</f>
        <v>0</v>
      </c>
      <c r="K232" s="107"/>
    </row>
    <row r="233" spans="2:11" x14ac:dyDescent="0.25">
      <c r="B233" s="218" t="s">
        <v>213</v>
      </c>
      <c r="C233" s="285" t="s">
        <v>287</v>
      </c>
      <c r="D233" s="103">
        <f ca="1">SUM('Asphalt Plant (AP-7)'!$T$62)</f>
        <v>0</v>
      </c>
      <c r="E233" s="219"/>
      <c r="H233" s="218" t="s">
        <v>213</v>
      </c>
      <c r="I233" s="285" t="s">
        <v>287</v>
      </c>
      <c r="J233" s="103">
        <f ca="1">SUM('Asphalt Plant (AP-8)'!$T$62)</f>
        <v>0</v>
      </c>
    </row>
    <row r="234" spans="2:11" x14ac:dyDescent="0.25">
      <c r="B234" s="2" t="s">
        <v>7</v>
      </c>
      <c r="C234" s="280" t="s">
        <v>28</v>
      </c>
      <c r="D234" s="103">
        <f ca="1">SUM('Asphalt Plant (AP-7)'!$T$64:$T$65,'Permitted Diesel Engines'!$AM$60)</f>
        <v>0</v>
      </c>
      <c r="E234" s="219"/>
      <c r="H234" s="2" t="s">
        <v>7</v>
      </c>
      <c r="I234" s="280" t="s">
        <v>28</v>
      </c>
      <c r="J234" s="103">
        <f ca="1">SUM('Asphalt Plant (AP-8)'!$T$64:$T$65,'Permitted Diesel Engines'!$AM$61)</f>
        <v>0</v>
      </c>
    </row>
    <row r="235" spans="2:11" x14ac:dyDescent="0.25">
      <c r="B235" s="2" t="s">
        <v>214</v>
      </c>
      <c r="C235" s="280" t="s">
        <v>288</v>
      </c>
      <c r="D235" s="103">
        <f>('Asphalt Plant (AP-7)'!$T$67)</f>
        <v>0</v>
      </c>
      <c r="E235" s="219"/>
      <c r="H235" s="2" t="s">
        <v>214</v>
      </c>
      <c r="I235" s="280" t="s">
        <v>288</v>
      </c>
      <c r="J235" s="103">
        <f>('Asphalt Plant (AP-8)'!$T$67)</f>
        <v>0</v>
      </c>
    </row>
    <row r="236" spans="2:11" x14ac:dyDescent="0.25">
      <c r="B236" s="2" t="s">
        <v>258</v>
      </c>
      <c r="C236" s="280" t="s">
        <v>289</v>
      </c>
      <c r="D236" s="103">
        <f>'Asphalt Plant (AP-7)'!$T$69</f>
        <v>0</v>
      </c>
      <c r="E236" s="219"/>
      <c r="H236" s="2" t="s">
        <v>258</v>
      </c>
      <c r="I236" s="280" t="s">
        <v>289</v>
      </c>
      <c r="J236" s="103">
        <f>'Asphalt Plant (AP-8)'!$T$69</f>
        <v>0</v>
      </c>
    </row>
    <row r="237" spans="2:11" x14ac:dyDescent="0.25">
      <c r="B237" s="2" t="s">
        <v>216</v>
      </c>
      <c r="C237" s="280" t="s">
        <v>290</v>
      </c>
      <c r="D237" s="103">
        <f>'Asphalt Plant (AP-7)'!$T$71</f>
        <v>0</v>
      </c>
      <c r="E237" s="219"/>
      <c r="H237" s="2" t="s">
        <v>216</v>
      </c>
      <c r="I237" s="280" t="s">
        <v>290</v>
      </c>
      <c r="J237" s="103">
        <f>'Asphalt Plant (AP-8)'!$T$71</f>
        <v>0</v>
      </c>
    </row>
    <row r="238" spans="2:11" x14ac:dyDescent="0.25">
      <c r="B238" s="2" t="s">
        <v>217</v>
      </c>
      <c r="C238" s="280" t="s">
        <v>291</v>
      </c>
      <c r="D238" s="103">
        <f>'Asphalt Plant (AP-7)'!$T$73</f>
        <v>0</v>
      </c>
      <c r="E238" s="219"/>
      <c r="H238" s="2" t="s">
        <v>217</v>
      </c>
      <c r="I238" s="280" t="s">
        <v>291</v>
      </c>
      <c r="J238" s="103">
        <f>'Asphalt Plant (AP-8)'!$T$73</f>
        <v>0</v>
      </c>
    </row>
    <row r="239" spans="2:11" x14ac:dyDescent="0.25">
      <c r="B239" s="2" t="s">
        <v>218</v>
      </c>
      <c r="C239" s="280" t="s">
        <v>292</v>
      </c>
      <c r="D239" s="103">
        <f ca="1">'Asphalt Plant (AP-7)'!$T$75</f>
        <v>0</v>
      </c>
      <c r="E239" s="219"/>
      <c r="H239" s="2" t="s">
        <v>218</v>
      </c>
      <c r="I239" s="280" t="s">
        <v>292</v>
      </c>
      <c r="J239" s="103">
        <f ca="1">'Asphalt Plant (AP-8)'!$T$75</f>
        <v>0</v>
      </c>
    </row>
    <row r="240" spans="2:11" x14ac:dyDescent="0.25">
      <c r="B240" s="2" t="s">
        <v>219</v>
      </c>
      <c r="C240" s="280" t="s">
        <v>293</v>
      </c>
      <c r="D240" s="103">
        <f ca="1">SUM('Asphalt Plant (AP-7)'!$T$77:$T$79)</f>
        <v>0</v>
      </c>
      <c r="E240" s="219"/>
      <c r="H240" s="2" t="s">
        <v>219</v>
      </c>
      <c r="I240" s="280" t="s">
        <v>293</v>
      </c>
      <c r="J240" s="103">
        <f ca="1">SUM('Asphalt Plant (AP-8)'!$T$77:$T$79)</f>
        <v>0</v>
      </c>
    </row>
    <row r="241" spans="1:11" x14ac:dyDescent="0.25">
      <c r="B241" s="2" t="s">
        <v>220</v>
      </c>
      <c r="C241" s="280" t="s">
        <v>294</v>
      </c>
      <c r="D241" s="103">
        <f ca="1">'Asphalt Plant (AP-7)'!$T$81</f>
        <v>0</v>
      </c>
      <c r="E241" s="219"/>
      <c r="H241" s="2" t="s">
        <v>220</v>
      </c>
      <c r="I241" s="280" t="s">
        <v>294</v>
      </c>
      <c r="J241" s="103">
        <f ca="1">'Asphalt Plant (AP-8)'!$T$81</f>
        <v>0</v>
      </c>
    </row>
    <row r="242" spans="1:11" x14ac:dyDescent="0.25">
      <c r="B242" s="2" t="s">
        <v>221</v>
      </c>
      <c r="C242" s="280" t="s">
        <v>295</v>
      </c>
      <c r="D242" s="103">
        <f>'Asphalt Plant (AP-7)'!$T$83</f>
        <v>0</v>
      </c>
      <c r="E242" s="219"/>
      <c r="H242" s="2" t="s">
        <v>221</v>
      </c>
      <c r="I242" s="280" t="s">
        <v>295</v>
      </c>
      <c r="J242" s="103">
        <f>'Asphalt Plant (AP-8)'!$T$83</f>
        <v>0</v>
      </c>
    </row>
    <row r="243" spans="1:11" x14ac:dyDescent="0.25">
      <c r="B243" s="2" t="s">
        <v>223</v>
      </c>
      <c r="C243" s="280"/>
      <c r="D243" s="103">
        <f>'Asphalt Plant (AP-7)'!$T$85</f>
        <v>0</v>
      </c>
      <c r="E243" s="219"/>
      <c r="H243" s="2" t="s">
        <v>223</v>
      </c>
      <c r="I243" s="280"/>
      <c r="J243" s="103">
        <f>'Asphalt Plant (AP-8)'!$T$85</f>
        <v>0</v>
      </c>
    </row>
    <row r="244" spans="1:11" x14ac:dyDescent="0.25">
      <c r="B244" s="2" t="s">
        <v>224</v>
      </c>
      <c r="C244" s="280"/>
      <c r="D244" s="103">
        <f>'Asphalt Plant (AP-7)'!$T$87</f>
        <v>0</v>
      </c>
      <c r="E244" s="219"/>
      <c r="H244" s="2" t="s">
        <v>224</v>
      </c>
      <c r="I244" s="280"/>
      <c r="J244" s="103">
        <f>'Asphalt Plant (AP-8)'!$T$87</f>
        <v>0</v>
      </c>
    </row>
    <row r="245" spans="1:11" x14ac:dyDescent="0.25">
      <c r="B245" s="2" t="s">
        <v>225</v>
      </c>
      <c r="C245" s="280"/>
      <c r="D245" s="103">
        <f>'Asphalt Plant (AP-7)'!$T$89</f>
        <v>0</v>
      </c>
      <c r="E245" s="219"/>
      <c r="H245" s="2" t="s">
        <v>225</v>
      </c>
      <c r="I245" s="280"/>
      <c r="J245" s="103">
        <f>'Asphalt Plant (AP-8)'!$T$89</f>
        <v>0</v>
      </c>
    </row>
    <row r="246" spans="1:11" x14ac:dyDescent="0.25">
      <c r="B246" s="2" t="s">
        <v>222</v>
      </c>
      <c r="C246" s="280"/>
      <c r="D246" s="103">
        <f>SUM('Asphalt Plant (AP-7)'!$T$91:$T$93)</f>
        <v>0</v>
      </c>
      <c r="E246" s="219"/>
      <c r="H246" s="2" t="s">
        <v>222</v>
      </c>
      <c r="I246" s="280"/>
      <c r="J246" s="103">
        <f>SUM('Asphalt Plant (AP-8)'!$T$91:$T$93)</f>
        <v>0</v>
      </c>
    </row>
    <row r="247" spans="1:11" ht="15.75" thickBot="1" x14ac:dyDescent="0.3">
      <c r="B247" s="3" t="s">
        <v>29</v>
      </c>
      <c r="C247" s="284"/>
      <c r="D247" s="105">
        <f ca="1">SUM(D230:D246)</f>
        <v>0</v>
      </c>
      <c r="H247" s="3" t="s">
        <v>29</v>
      </c>
      <c r="I247" s="284"/>
      <c r="J247" s="105">
        <f ca="1">SUM(J230:J246)</f>
        <v>0</v>
      </c>
    </row>
    <row r="248" spans="1:11" ht="15.75" thickBot="1" x14ac:dyDescent="0.3"/>
    <row r="249" spans="1:11" ht="16.5" hidden="1" thickBot="1" x14ac:dyDescent="0.3">
      <c r="A249" s="106" t="s">
        <v>267</v>
      </c>
      <c r="B249" s="290" t="s">
        <v>163</v>
      </c>
      <c r="C249" s="283"/>
      <c r="D249" s="292"/>
      <c r="G249" s="106" t="s">
        <v>268</v>
      </c>
      <c r="H249" s="290" t="s">
        <v>163</v>
      </c>
      <c r="I249" s="283"/>
      <c r="J249" s="292"/>
    </row>
    <row r="250" spans="1:11" hidden="1" x14ac:dyDescent="0.25">
      <c r="B250" s="4" t="s">
        <v>20</v>
      </c>
      <c r="C250" s="288" t="s">
        <v>21</v>
      </c>
      <c r="D250" s="5" t="s">
        <v>22</v>
      </c>
      <c r="H250" s="4" t="s">
        <v>20</v>
      </c>
      <c r="I250" s="288" t="s">
        <v>21</v>
      </c>
      <c r="J250" s="5" t="s">
        <v>22</v>
      </c>
    </row>
    <row r="251" spans="1:11" hidden="1" x14ac:dyDescent="0.25">
      <c r="B251" s="1" t="s">
        <v>23</v>
      </c>
      <c r="C251" s="282" t="s">
        <v>23</v>
      </c>
      <c r="D251" s="103">
        <f ca="1">SUM('Asphalt Plant (AP-9)'!S21:S26,'Asphalt Plant (AP-9)'!S36,'Haul Roads'!AL16,'Permitted Diesel Engines'!Z62)</f>
        <v>0</v>
      </c>
      <c r="H251" s="1" t="s">
        <v>23</v>
      </c>
      <c r="I251" s="282" t="s">
        <v>23</v>
      </c>
      <c r="J251" s="103">
        <f ca="1">SUM('Asphalt Plant (AP-10)'!S21:S26,'Asphalt Plant (AP-10)'!S36,'Haul Roads'!AL17,'Permitted Diesel Engines'!Z63)</f>
        <v>0</v>
      </c>
    </row>
    <row r="252" spans="1:11" hidden="1" x14ac:dyDescent="0.25">
      <c r="B252" s="2" t="s">
        <v>24</v>
      </c>
      <c r="C252" s="281" t="s">
        <v>24</v>
      </c>
      <c r="D252" s="103">
        <f ca="1">SUM('Asphalt Plant (AP-9)'!S28:S33,'Asphalt Plant (AP-9)'!S36,'Haul Roads'!AN16,'Permitted Diesel Engines'!AC62)</f>
        <v>0</v>
      </c>
      <c r="H252" s="2" t="s">
        <v>24</v>
      </c>
      <c r="I252" s="281" t="s">
        <v>24</v>
      </c>
      <c r="J252" s="103">
        <f ca="1">SUM('Asphalt Plant (AP-10)'!S28:S33,'Asphalt Plant (AP-10)'!S36,'Haul Roads'!AN17,'Permitted Diesel Engines'!AC63)</f>
        <v>0</v>
      </c>
    </row>
    <row r="253" spans="1:11" hidden="1" x14ac:dyDescent="0.25">
      <c r="B253" s="2" t="s">
        <v>3</v>
      </c>
      <c r="C253" s="280" t="s">
        <v>25</v>
      </c>
      <c r="D253" s="103">
        <f ca="1">SUM('Asphalt Plant (AP-9)'!S39:S41,'Permitted Diesel Engines'!AD62)</f>
        <v>0</v>
      </c>
      <c r="E253" s="107" t="str">
        <f ca="1">IF(D253&gt;100,"Thresholds exceeded, contact DNR for assistance.","")</f>
        <v/>
      </c>
      <c r="H253" s="2" t="s">
        <v>3</v>
      </c>
      <c r="I253" s="280" t="s">
        <v>25</v>
      </c>
      <c r="J253" s="103">
        <f ca="1">SUM('Asphalt Plant (AP-10)'!S39:S41,,'Permitted Diesel Engines'!AD63)</f>
        <v>0</v>
      </c>
      <c r="K253" s="107" t="str">
        <f ca="1">IF(J253&gt;100,"Thresholds exceeded, contact DNR for assistance.","")</f>
        <v/>
      </c>
    </row>
    <row r="254" spans="1:11" hidden="1" x14ac:dyDescent="0.25">
      <c r="B254" s="2" t="s">
        <v>26</v>
      </c>
      <c r="C254" s="280" t="s">
        <v>26</v>
      </c>
      <c r="D254" s="103">
        <f ca="1">SUM('Asphalt Plant (AP-9)'!S43:S45,'Permitted Diesel Engines'!AG62)</f>
        <v>0</v>
      </c>
      <c r="E254" s="107" t="str">
        <f ca="1">IF(D254&gt;100,"Thresholds exceeded, contact DNR for assistance.","")</f>
        <v/>
      </c>
      <c r="H254" s="2" t="s">
        <v>26</v>
      </c>
      <c r="I254" s="280" t="s">
        <v>26</v>
      </c>
      <c r="J254" s="103">
        <f ca="1">SUM('Asphalt Plant (AP-10)'!S43:S45,'Permitted Diesel Engines'!AG63)</f>
        <v>0</v>
      </c>
      <c r="K254" s="107" t="str">
        <f ca="1">IF(J254&gt;100,"Thresholds exceeded, contact DNR for assistance.","")</f>
        <v/>
      </c>
    </row>
    <row r="255" spans="1:11" hidden="1" x14ac:dyDescent="0.25">
      <c r="B255" s="2" t="s">
        <v>5</v>
      </c>
      <c r="C255" s="280" t="s">
        <v>5</v>
      </c>
      <c r="D255" s="103">
        <f ca="1">SUM('Asphalt Plant (AP-9)'!S47:S49,'Permitted Diesel Engines'!AH62)</f>
        <v>0</v>
      </c>
      <c r="E255" s="107" t="str">
        <f ca="1">IF(D255&gt;100,"Thresholds exceeded, contact DNR for assistance.","")</f>
        <v/>
      </c>
      <c r="H255" s="2" t="s">
        <v>5</v>
      </c>
      <c r="I255" s="280" t="s">
        <v>5</v>
      </c>
      <c r="J255" s="103">
        <f ca="1">SUM('Asphalt Plant (AP-10)'!S47:S49,'Permitted Diesel Engines'!AH63)</f>
        <v>0</v>
      </c>
      <c r="K255" s="107" t="str">
        <f ca="1">IF(J255&gt;100,"Thresholds exceeded, contact DNR for assistance.","")</f>
        <v/>
      </c>
    </row>
    <row r="256" spans="1:11" hidden="1" x14ac:dyDescent="0.25">
      <c r="B256" s="2" t="s">
        <v>6</v>
      </c>
      <c r="C256" s="280" t="s">
        <v>27</v>
      </c>
      <c r="D256" s="103">
        <f ca="1">SUM('Asphalt Plant (AP-9)'!S51:S54,'Permitted Diesel Engines'!AK62)</f>
        <v>0</v>
      </c>
      <c r="E256" s="107" t="str">
        <f ca="1">IF(D256&gt;100,"Thresholds exceeded, contact DNR for assistance.","")</f>
        <v/>
      </c>
      <c r="H256" s="2" t="s">
        <v>6</v>
      </c>
      <c r="I256" s="280" t="s">
        <v>27</v>
      </c>
      <c r="J256" s="103">
        <f ca="1">SUM('Asphalt Plant (AP-10)'!S51:S54,'Permitted Diesel Engines'!AK63)</f>
        <v>0</v>
      </c>
      <c r="K256" s="107" t="str">
        <f ca="1">IF(J256&gt;100,"Thresholds exceeded, contact DNR for assistance.","")</f>
        <v/>
      </c>
    </row>
    <row r="257" spans="2:11" hidden="1" x14ac:dyDescent="0.25">
      <c r="B257" s="2" t="s">
        <v>211</v>
      </c>
      <c r="C257" s="280" t="s">
        <v>285</v>
      </c>
      <c r="D257" s="103">
        <f ca="1">SUM('Asphalt Plant (AP-9)'!$S$56)</f>
        <v>0</v>
      </c>
      <c r="E257" s="107" t="str">
        <f ca="1">IF(D257&gt;10,"Thresholds exceeded, contact DNR for assistance.","")</f>
        <v/>
      </c>
      <c r="H257" s="2" t="s">
        <v>211</v>
      </c>
      <c r="I257" s="280" t="s">
        <v>285</v>
      </c>
      <c r="J257" s="103">
        <f ca="1">SUM('Asphalt Plant (AP-10)'!$S$56)</f>
        <v>0</v>
      </c>
      <c r="K257" s="107" t="str">
        <f ca="1">IF(J257&gt;10,"Thresholds exceeded, contact DNR for assistance.","")</f>
        <v/>
      </c>
    </row>
    <row r="258" spans="2:11" hidden="1" x14ac:dyDescent="0.25">
      <c r="B258" s="2" t="s">
        <v>212</v>
      </c>
      <c r="C258" s="280" t="s">
        <v>286</v>
      </c>
      <c r="D258" s="103">
        <f>'Asphalt Plant (AP-9)'!$S$58</f>
        <v>0</v>
      </c>
      <c r="E258" s="107" t="str">
        <f>IF(D258&gt;10,"Thresholds exceeded, contact DNR for assistance.","")</f>
        <v/>
      </c>
      <c r="H258" s="2" t="s">
        <v>212</v>
      </c>
      <c r="I258" s="280" t="s">
        <v>286</v>
      </c>
      <c r="J258" s="103">
        <f>'Asphalt Plant (AP-10)'!$S$58</f>
        <v>0</v>
      </c>
      <c r="K258" s="107" t="str">
        <f>IF(J258&gt;10,"Thresholds exceeded, contact DNR for assistance.","")</f>
        <v/>
      </c>
    </row>
    <row r="259" spans="2:11" hidden="1" x14ac:dyDescent="0.25">
      <c r="B259" s="32" t="s">
        <v>52</v>
      </c>
      <c r="C259" s="285" t="s">
        <v>72</v>
      </c>
      <c r="D259" s="103">
        <f ca="1">SUM('Asphalt Plant (AP-9)'!$S$60,'Permitted Diesel Engines'!$AO$62)</f>
        <v>0</v>
      </c>
      <c r="E259" s="107" t="str">
        <f t="shared" ref="E259:E273" ca="1" si="8">IF(D259&gt;10,"Thresholds exceeded, contact DNR for assistance.","")</f>
        <v/>
      </c>
      <c r="H259" s="32" t="s">
        <v>52</v>
      </c>
      <c r="I259" s="285" t="s">
        <v>72</v>
      </c>
      <c r="J259" s="103">
        <f ca="1">SUM('Asphalt Plant (AP-10)'!$S$60,'Permitted Diesel Engines'!$AO$61)</f>
        <v>0</v>
      </c>
      <c r="K259" s="107" t="str">
        <f t="shared" ref="K259:K273" ca="1" si="9">IF(J259&gt;10,"Thresholds exceeded, contact DNR for assistance.","")</f>
        <v/>
      </c>
    </row>
    <row r="260" spans="2:11" hidden="1" x14ac:dyDescent="0.25">
      <c r="B260" s="218" t="s">
        <v>213</v>
      </c>
      <c r="C260" s="285" t="s">
        <v>287</v>
      </c>
      <c r="D260" s="103">
        <f ca="1">SUM('Asphalt Plant (AP-9)'!$S$62)</f>
        <v>0</v>
      </c>
      <c r="E260" s="107" t="str">
        <f t="shared" ca="1" si="8"/>
        <v/>
      </c>
      <c r="H260" s="218" t="s">
        <v>213</v>
      </c>
      <c r="I260" s="285" t="s">
        <v>287</v>
      </c>
      <c r="J260" s="103">
        <f ca="1">SUM('Asphalt Plant (AP-10)'!$S$62)</f>
        <v>0</v>
      </c>
      <c r="K260" s="107" t="str">
        <f t="shared" ca="1" si="9"/>
        <v/>
      </c>
    </row>
    <row r="261" spans="2:11" hidden="1" x14ac:dyDescent="0.25">
      <c r="B261" s="2" t="s">
        <v>7</v>
      </c>
      <c r="C261" s="280" t="s">
        <v>28</v>
      </c>
      <c r="D261" s="103">
        <f ca="1">SUM('Asphalt Plant (AP-9)'!$S$64:$S$65,'Permitted Diesel Engines'!$AL$62)</f>
        <v>0</v>
      </c>
      <c r="E261" s="107" t="str">
        <f t="shared" ca="1" si="8"/>
        <v/>
      </c>
      <c r="H261" s="2" t="s">
        <v>7</v>
      </c>
      <c r="I261" s="280" t="s">
        <v>28</v>
      </c>
      <c r="J261" s="103">
        <f ca="1">SUM('Asphalt Plant (AP-10)'!$S$64:$S$65,'Permitted Diesel Engines'!$AL$61)</f>
        <v>0</v>
      </c>
      <c r="K261" s="107" t="str">
        <f t="shared" ca="1" si="9"/>
        <v/>
      </c>
    </row>
    <row r="262" spans="2:11" hidden="1" x14ac:dyDescent="0.25">
      <c r="B262" s="2" t="s">
        <v>214</v>
      </c>
      <c r="C262" s="280" t="s">
        <v>288</v>
      </c>
      <c r="D262" s="103">
        <f>('Asphalt Plant (AP-9)'!$S$67)</f>
        <v>0</v>
      </c>
      <c r="E262" s="107" t="str">
        <f t="shared" si="8"/>
        <v/>
      </c>
      <c r="H262" s="2" t="s">
        <v>214</v>
      </c>
      <c r="I262" s="280" t="s">
        <v>288</v>
      </c>
      <c r="J262" s="103">
        <f>('Asphalt Plant (AP-10)'!$S$67)</f>
        <v>0</v>
      </c>
      <c r="K262" s="107" t="str">
        <f t="shared" si="9"/>
        <v/>
      </c>
    </row>
    <row r="263" spans="2:11" hidden="1" x14ac:dyDescent="0.25">
      <c r="B263" s="2" t="s">
        <v>258</v>
      </c>
      <c r="C263" s="280" t="s">
        <v>289</v>
      </c>
      <c r="D263" s="103">
        <f>'Asphalt Plant (AP-9)'!$S$69</f>
        <v>0</v>
      </c>
      <c r="E263" s="107" t="str">
        <f t="shared" si="8"/>
        <v/>
      </c>
      <c r="H263" s="2" t="s">
        <v>258</v>
      </c>
      <c r="I263" s="280" t="s">
        <v>289</v>
      </c>
      <c r="J263" s="103">
        <f>'Asphalt Plant (AP-10)'!$S$69</f>
        <v>0</v>
      </c>
      <c r="K263" s="107" t="str">
        <f t="shared" si="9"/>
        <v/>
      </c>
    </row>
    <row r="264" spans="2:11" hidden="1" x14ac:dyDescent="0.25">
      <c r="B264" s="2" t="s">
        <v>216</v>
      </c>
      <c r="C264" s="280" t="s">
        <v>290</v>
      </c>
      <c r="D264" s="103">
        <f>'Asphalt Plant (AP-9)'!$S$71</f>
        <v>0</v>
      </c>
      <c r="E264" s="107" t="str">
        <f t="shared" si="8"/>
        <v/>
      </c>
      <c r="H264" s="2" t="s">
        <v>216</v>
      </c>
      <c r="I264" s="280" t="s">
        <v>290</v>
      </c>
      <c r="J264" s="103">
        <f>'Asphalt Plant (AP-10)'!$S$71</f>
        <v>0</v>
      </c>
      <c r="K264" s="107" t="str">
        <f t="shared" si="9"/>
        <v/>
      </c>
    </row>
    <row r="265" spans="2:11" hidden="1" x14ac:dyDescent="0.25">
      <c r="B265" s="2" t="s">
        <v>217</v>
      </c>
      <c r="C265" s="280" t="s">
        <v>291</v>
      </c>
      <c r="D265" s="103">
        <f>'Asphalt Plant (AP-9)'!$S$73</f>
        <v>0</v>
      </c>
      <c r="E265" s="107" t="str">
        <f t="shared" si="8"/>
        <v/>
      </c>
      <c r="H265" s="2" t="s">
        <v>217</v>
      </c>
      <c r="I265" s="280" t="s">
        <v>291</v>
      </c>
      <c r="J265" s="103">
        <f>'Asphalt Plant (AP-10)'!$S$73</f>
        <v>0</v>
      </c>
      <c r="K265" s="107" t="str">
        <f t="shared" si="9"/>
        <v/>
      </c>
    </row>
    <row r="266" spans="2:11" hidden="1" x14ac:dyDescent="0.25">
      <c r="B266" s="2" t="s">
        <v>218</v>
      </c>
      <c r="C266" s="280" t="s">
        <v>292</v>
      </c>
      <c r="D266" s="103">
        <f ca="1">'Asphalt Plant (AP-9)'!$S$75</f>
        <v>0</v>
      </c>
      <c r="E266" s="107" t="str">
        <f t="shared" ca="1" si="8"/>
        <v/>
      </c>
      <c r="H266" s="2" t="s">
        <v>218</v>
      </c>
      <c r="I266" s="280" t="s">
        <v>292</v>
      </c>
      <c r="J266" s="103">
        <f ca="1">'Asphalt Plant (AP-10)'!$S$75</f>
        <v>0</v>
      </c>
      <c r="K266" s="107" t="str">
        <f t="shared" ca="1" si="9"/>
        <v/>
      </c>
    </row>
    <row r="267" spans="2:11" hidden="1" x14ac:dyDescent="0.25">
      <c r="B267" s="2" t="s">
        <v>219</v>
      </c>
      <c r="C267" s="280" t="s">
        <v>293</v>
      </c>
      <c r="D267" s="103">
        <f ca="1">SUM('Asphalt Plant (AP-9)'!$S$77:$S$79)</f>
        <v>0</v>
      </c>
      <c r="E267" s="107" t="str">
        <f t="shared" ca="1" si="8"/>
        <v/>
      </c>
      <c r="H267" s="2" t="s">
        <v>219</v>
      </c>
      <c r="I267" s="280" t="s">
        <v>293</v>
      </c>
      <c r="J267" s="103">
        <f ca="1">SUM('Asphalt Plant (AP-10)'!$S$77:$S$79)</f>
        <v>0</v>
      </c>
      <c r="K267" s="107" t="str">
        <f t="shared" ca="1" si="9"/>
        <v/>
      </c>
    </row>
    <row r="268" spans="2:11" hidden="1" x14ac:dyDescent="0.25">
      <c r="B268" s="2" t="s">
        <v>220</v>
      </c>
      <c r="C268" s="280" t="s">
        <v>294</v>
      </c>
      <c r="D268" s="103">
        <f ca="1">'Asphalt Plant (AP-9)'!$S$81</f>
        <v>0</v>
      </c>
      <c r="E268" s="107" t="str">
        <f t="shared" ca="1" si="8"/>
        <v/>
      </c>
      <c r="H268" s="2" t="s">
        <v>220</v>
      </c>
      <c r="I268" s="280" t="s">
        <v>294</v>
      </c>
      <c r="J268" s="103">
        <f ca="1">'Asphalt Plant (AP-10)'!$S$81</f>
        <v>0</v>
      </c>
      <c r="K268" s="107" t="str">
        <f t="shared" ca="1" si="9"/>
        <v/>
      </c>
    </row>
    <row r="269" spans="2:11" hidden="1" x14ac:dyDescent="0.25">
      <c r="B269" s="2" t="s">
        <v>221</v>
      </c>
      <c r="C269" s="280" t="s">
        <v>295</v>
      </c>
      <c r="D269" s="103">
        <f>'Asphalt Plant (AP-9)'!$S$83</f>
        <v>0</v>
      </c>
      <c r="E269" s="107" t="str">
        <f t="shared" si="8"/>
        <v/>
      </c>
      <c r="H269" s="2" t="s">
        <v>221</v>
      </c>
      <c r="I269" s="280" t="s">
        <v>295</v>
      </c>
      <c r="J269" s="103">
        <f>'Asphalt Plant (AP-10)'!$S$83</f>
        <v>0</v>
      </c>
      <c r="K269" s="107" t="str">
        <f t="shared" si="9"/>
        <v/>
      </c>
    </row>
    <row r="270" spans="2:11" hidden="1" x14ac:dyDescent="0.25">
      <c r="B270" s="2" t="s">
        <v>223</v>
      </c>
      <c r="C270" s="280"/>
      <c r="D270" s="103">
        <f>'Asphalt Plant (AP-9)'!$S$85</f>
        <v>0</v>
      </c>
      <c r="E270" s="107" t="str">
        <f t="shared" si="8"/>
        <v/>
      </c>
      <c r="H270" s="2" t="s">
        <v>223</v>
      </c>
      <c r="I270" s="280"/>
      <c r="J270" s="103">
        <f>'Asphalt Plant (AP-10)'!$S$85</f>
        <v>0</v>
      </c>
      <c r="K270" s="107" t="str">
        <f t="shared" si="9"/>
        <v/>
      </c>
    </row>
    <row r="271" spans="2:11" hidden="1" x14ac:dyDescent="0.25">
      <c r="B271" s="2" t="s">
        <v>224</v>
      </c>
      <c r="C271" s="280"/>
      <c r="D271" s="103">
        <f>'Asphalt Plant (AP-9)'!$S$87</f>
        <v>0</v>
      </c>
      <c r="E271" s="107" t="str">
        <f t="shared" si="8"/>
        <v/>
      </c>
      <c r="H271" s="2" t="s">
        <v>224</v>
      </c>
      <c r="I271" s="280"/>
      <c r="J271" s="103">
        <f>'Asphalt Plant (AP-10)'!$S$87</f>
        <v>0</v>
      </c>
      <c r="K271" s="107" t="str">
        <f t="shared" si="9"/>
        <v/>
      </c>
    </row>
    <row r="272" spans="2:11" hidden="1" x14ac:dyDescent="0.25">
      <c r="B272" s="2" t="s">
        <v>225</v>
      </c>
      <c r="C272" s="280"/>
      <c r="D272" s="103">
        <f>'Asphalt Plant (AP-9)'!$S$89</f>
        <v>0</v>
      </c>
      <c r="E272" s="107" t="str">
        <f t="shared" si="8"/>
        <v/>
      </c>
      <c r="H272" s="2" t="s">
        <v>225</v>
      </c>
      <c r="I272" s="280"/>
      <c r="J272" s="103">
        <f>'Asphalt Plant (AP-10)'!$S$89</f>
        <v>0</v>
      </c>
      <c r="K272" s="107" t="str">
        <f t="shared" si="9"/>
        <v/>
      </c>
    </row>
    <row r="273" spans="1:11" hidden="1" x14ac:dyDescent="0.25">
      <c r="B273" s="2" t="s">
        <v>222</v>
      </c>
      <c r="C273" s="280"/>
      <c r="D273" s="103">
        <f>SUM('Asphalt Plant (AP-9)'!$S$91:$S$93)</f>
        <v>0</v>
      </c>
      <c r="E273" s="107" t="str">
        <f t="shared" si="8"/>
        <v/>
      </c>
      <c r="H273" s="2" t="s">
        <v>222</v>
      </c>
      <c r="I273" s="280"/>
      <c r="J273" s="103">
        <f>SUM('Asphalt Plant (AP-10)'!$S$91:$S$93)</f>
        <v>0</v>
      </c>
      <c r="K273" s="107" t="str">
        <f t="shared" si="9"/>
        <v/>
      </c>
    </row>
    <row r="274" spans="1:11" ht="15.75" hidden="1" thickBot="1" x14ac:dyDescent="0.3">
      <c r="B274" s="3" t="s">
        <v>29</v>
      </c>
      <c r="C274" s="284"/>
      <c r="D274" s="105">
        <f ca="1">SUM(D257:D273)</f>
        <v>0</v>
      </c>
      <c r="E274" s="107" t="str">
        <f ca="1">IF(D274&gt;25,"Thresholds exceeded, contact DNR for assistance.","")</f>
        <v/>
      </c>
      <c r="H274" s="3" t="s">
        <v>29</v>
      </c>
      <c r="I274" s="284"/>
      <c r="J274" s="105">
        <f ca="1">SUM(J257:J273)</f>
        <v>0</v>
      </c>
      <c r="K274" s="107" t="str">
        <f ca="1">IF(J274&gt;25,"Thresholds exceeded, contact DNR for assistance.","")</f>
        <v/>
      </c>
    </row>
    <row r="275" spans="1:11" ht="15.75" hidden="1" thickBot="1" x14ac:dyDescent="0.3"/>
    <row r="276" spans="1:11" ht="16.5" thickBot="1" x14ac:dyDescent="0.3">
      <c r="A276" s="106" t="s">
        <v>267</v>
      </c>
      <c r="B276" s="290" t="s">
        <v>164</v>
      </c>
      <c r="C276" s="283"/>
      <c r="D276" s="292"/>
      <c r="G276" s="106" t="s">
        <v>268</v>
      </c>
      <c r="H276" s="290" t="s">
        <v>164</v>
      </c>
      <c r="I276" s="283"/>
      <c r="J276" s="292"/>
    </row>
    <row r="277" spans="1:11" x14ac:dyDescent="0.25">
      <c r="B277" s="4" t="s">
        <v>20</v>
      </c>
      <c r="C277" s="288" t="s">
        <v>21</v>
      </c>
      <c r="D277" s="5" t="s">
        <v>22</v>
      </c>
      <c r="H277" s="4" t="s">
        <v>20</v>
      </c>
      <c r="I277" s="288" t="s">
        <v>21</v>
      </c>
      <c r="J277" s="5" t="s">
        <v>22</v>
      </c>
    </row>
    <row r="278" spans="1:11" x14ac:dyDescent="0.25">
      <c r="B278" s="2" t="s">
        <v>23</v>
      </c>
      <c r="C278" s="282" t="s">
        <v>23</v>
      </c>
      <c r="D278" s="103">
        <f ca="1">SUM('Asphalt Plant (AP-9)'!T21:T26,'Asphalt Plant (AP-9)'!T36,'Haul Roads'!AM16,'Permitted Diesel Engines'!AA62)</f>
        <v>0</v>
      </c>
      <c r="H278" s="2" t="s">
        <v>23</v>
      </c>
      <c r="I278" s="282" t="s">
        <v>23</v>
      </c>
      <c r="J278" s="103">
        <f ca="1">SUM('Asphalt Plant (AP-10)'!T21:T26,'Asphalt Plant (AP-10)'!T36,'Haul Roads'!AM17,'Permitted Diesel Engines'!AA63)</f>
        <v>0</v>
      </c>
    </row>
    <row r="279" spans="1:11" x14ac:dyDescent="0.25">
      <c r="B279" s="2" t="s">
        <v>24</v>
      </c>
      <c r="C279" s="281" t="s">
        <v>24</v>
      </c>
      <c r="D279" s="103">
        <f ca="1">SUM('Asphalt Plant (AP-9)'!T28:T33,'Asphalt Plant (AP-9)'!T36,'Haul Roads'!AO16,'Permitted Diesel Engines'!AB62)</f>
        <v>0</v>
      </c>
      <c r="H279" s="2" t="s">
        <v>24</v>
      </c>
      <c r="I279" s="281" t="s">
        <v>24</v>
      </c>
      <c r="J279" s="103">
        <f ca="1">SUM('Asphalt Plant (AP-10)'!T28:T33,'Asphalt Plant (AP-10)'!T36,'Haul Roads'!AO17,'Permitted Diesel Engines'!AB63)</f>
        <v>0</v>
      </c>
    </row>
    <row r="280" spans="1:11" x14ac:dyDescent="0.25">
      <c r="B280" s="2" t="s">
        <v>3</v>
      </c>
      <c r="C280" s="280" t="s">
        <v>25</v>
      </c>
      <c r="D280" s="103">
        <f ca="1">SUM('Asphalt Plant (AP-9)'!T39:T42,'Permitted Diesel Engines'!AE62)</f>
        <v>0</v>
      </c>
      <c r="H280" s="2" t="s">
        <v>3</v>
      </c>
      <c r="I280" s="280" t="s">
        <v>25</v>
      </c>
      <c r="J280" s="103">
        <f ca="1">SUM('Asphalt Plant (AP-10)'!T39:T42,'Permitted Diesel Engines'!AE63)</f>
        <v>0</v>
      </c>
    </row>
    <row r="281" spans="1:11" x14ac:dyDescent="0.25">
      <c r="B281" s="2" t="s">
        <v>26</v>
      </c>
      <c r="C281" s="280" t="s">
        <v>26</v>
      </c>
      <c r="D281" s="103">
        <f ca="1">SUM('Asphalt Plant (AP-9)'!T43:T45,'Permitted Diesel Engines'!AF62)</f>
        <v>0</v>
      </c>
      <c r="H281" s="2" t="s">
        <v>26</v>
      </c>
      <c r="I281" s="280" t="s">
        <v>26</v>
      </c>
      <c r="J281" s="103">
        <f ca="1">SUM('Asphalt Plant (AP-10)'!T43:T45,'Permitted Diesel Engines'!AF63)</f>
        <v>0</v>
      </c>
    </row>
    <row r="282" spans="1:11" x14ac:dyDescent="0.25">
      <c r="B282" s="2" t="s">
        <v>5</v>
      </c>
      <c r="C282" s="280" t="s">
        <v>5</v>
      </c>
      <c r="D282" s="103">
        <f ca="1">SUM('Asphalt Plant (AP-9)'!T47:T49,'Permitted Diesel Engines'!AI62)</f>
        <v>0</v>
      </c>
      <c r="H282" s="2" t="s">
        <v>5</v>
      </c>
      <c r="I282" s="280" t="s">
        <v>5</v>
      </c>
      <c r="J282" s="103">
        <f ca="1">SUM('Asphalt Plant (AP-10)'!T47:T49,'Permitted Diesel Engines'!AI63)</f>
        <v>0</v>
      </c>
    </row>
    <row r="283" spans="1:11" x14ac:dyDescent="0.25">
      <c r="B283" s="2" t="s">
        <v>6</v>
      </c>
      <c r="C283" s="280" t="s">
        <v>27</v>
      </c>
      <c r="D283" s="103">
        <f ca="1">SUM('Asphalt Plant (AP-9)'!T51:T54,'Permitted Diesel Engines'!AJ62)</f>
        <v>0</v>
      </c>
      <c r="H283" s="2" t="s">
        <v>6</v>
      </c>
      <c r="I283" s="280" t="s">
        <v>27</v>
      </c>
      <c r="J283" s="103">
        <f ca="1">SUM('Asphalt Plant (AP-10)'!T51:T54,'Permitted Diesel Engines'!AJ63)</f>
        <v>0</v>
      </c>
    </row>
    <row r="284" spans="1:11" x14ac:dyDescent="0.25">
      <c r="B284" s="2" t="s">
        <v>211</v>
      </c>
      <c r="C284" s="280" t="s">
        <v>285</v>
      </c>
      <c r="D284" s="103">
        <f ca="1">SUM('Asphalt Plant (AP-9)'!$T$56)</f>
        <v>0</v>
      </c>
      <c r="E284" s="219"/>
      <c r="H284" s="2" t="s">
        <v>211</v>
      </c>
      <c r="I284" s="280" t="s">
        <v>285</v>
      </c>
      <c r="J284" s="103">
        <f ca="1">SUM('Asphalt Plant (AP-10)'!$T$56)</f>
        <v>0</v>
      </c>
      <c r="K284" s="107"/>
    </row>
    <row r="285" spans="1:11" x14ac:dyDescent="0.25">
      <c r="B285" s="2" t="s">
        <v>212</v>
      </c>
      <c r="C285" s="280" t="s">
        <v>286</v>
      </c>
      <c r="D285" s="103">
        <f ca="1">'Asphalt Plant (AP-9)'!$T$58</f>
        <v>0</v>
      </c>
      <c r="E285" s="219"/>
      <c r="H285" s="2" t="s">
        <v>212</v>
      </c>
      <c r="I285" s="280" t="s">
        <v>286</v>
      </c>
      <c r="J285" s="103">
        <f ca="1">'Asphalt Plant (AP-10)'!$T$58</f>
        <v>0</v>
      </c>
      <c r="K285" s="107"/>
    </row>
    <row r="286" spans="1:11" x14ac:dyDescent="0.25">
      <c r="B286" s="32" t="s">
        <v>52</v>
      </c>
      <c r="C286" s="285" t="s">
        <v>72</v>
      </c>
      <c r="D286" s="103">
        <f ca="1">SUM('Asphalt Plant (AP-9)'!$T$60,'Permitted Diesel Engines'!$AN$62)</f>
        <v>0</v>
      </c>
      <c r="E286" s="219"/>
      <c r="H286" s="32" t="s">
        <v>52</v>
      </c>
      <c r="I286" s="285" t="s">
        <v>72</v>
      </c>
      <c r="J286" s="103">
        <f ca="1">SUM('Asphalt Plant (AP-10)'!$T$60,'Permitted Diesel Engines'!$AN$63)</f>
        <v>0</v>
      </c>
      <c r="K286" s="107"/>
    </row>
    <row r="287" spans="1:11" x14ac:dyDescent="0.25">
      <c r="B287" s="218" t="s">
        <v>213</v>
      </c>
      <c r="C287" s="285" t="s">
        <v>287</v>
      </c>
      <c r="D287" s="103">
        <f ca="1">SUM('Asphalt Plant (AP-9)'!$T$62)</f>
        <v>0</v>
      </c>
      <c r="E287" s="219"/>
      <c r="H287" s="218" t="s">
        <v>213</v>
      </c>
      <c r="I287" s="285" t="s">
        <v>287</v>
      </c>
      <c r="J287" s="103">
        <f ca="1">SUM('Asphalt Plant (AP-10)'!$T$62)</f>
        <v>0</v>
      </c>
    </row>
    <row r="288" spans="1:11" x14ac:dyDescent="0.25">
      <c r="B288" s="2" t="s">
        <v>7</v>
      </c>
      <c r="C288" s="280" t="s">
        <v>28</v>
      </c>
      <c r="D288" s="103">
        <f ca="1">SUM('Asphalt Plant (AP-9)'!$T$64:$T$65,'Permitted Diesel Engines'!$AM$62)</f>
        <v>0</v>
      </c>
      <c r="E288" s="219"/>
      <c r="H288" s="2" t="s">
        <v>7</v>
      </c>
      <c r="I288" s="280" t="s">
        <v>28</v>
      </c>
      <c r="J288" s="103">
        <f ca="1">SUM('Asphalt Plant (AP-10)'!$T$64:$T$65,'Permitted Diesel Engines'!$AM$63)</f>
        <v>0</v>
      </c>
    </row>
    <row r="289" spans="2:10" x14ac:dyDescent="0.25">
      <c r="B289" s="2" t="s">
        <v>214</v>
      </c>
      <c r="C289" s="280" t="s">
        <v>288</v>
      </c>
      <c r="D289" s="103">
        <f>('Asphalt Plant (AP-9)'!$T$67)</f>
        <v>0</v>
      </c>
      <c r="E289" s="219"/>
      <c r="H289" s="2" t="s">
        <v>214</v>
      </c>
      <c r="I289" s="280" t="s">
        <v>288</v>
      </c>
      <c r="J289" s="103">
        <f>('Asphalt Plant (AP-10)'!$T$67)</f>
        <v>0</v>
      </c>
    </row>
    <row r="290" spans="2:10" x14ac:dyDescent="0.25">
      <c r="B290" s="2" t="s">
        <v>258</v>
      </c>
      <c r="C290" s="280" t="s">
        <v>289</v>
      </c>
      <c r="D290" s="103">
        <f>'Asphalt Plant (AP-9)'!$T$69</f>
        <v>0</v>
      </c>
      <c r="E290" s="219"/>
      <c r="H290" s="2" t="s">
        <v>258</v>
      </c>
      <c r="I290" s="280" t="s">
        <v>289</v>
      </c>
      <c r="J290" s="103">
        <f>'Asphalt Plant (AP-10)'!$T$69</f>
        <v>0</v>
      </c>
    </row>
    <row r="291" spans="2:10" x14ac:dyDescent="0.25">
      <c r="B291" s="2" t="s">
        <v>216</v>
      </c>
      <c r="C291" s="280" t="s">
        <v>290</v>
      </c>
      <c r="D291" s="103">
        <f>'Asphalt Plant (AP-9)'!$T$71</f>
        <v>0</v>
      </c>
      <c r="E291" s="219"/>
      <c r="H291" s="2" t="s">
        <v>216</v>
      </c>
      <c r="I291" s="280" t="s">
        <v>290</v>
      </c>
      <c r="J291" s="103">
        <f>'Asphalt Plant (AP-10)'!$T$71</f>
        <v>0</v>
      </c>
    </row>
    <row r="292" spans="2:10" x14ac:dyDescent="0.25">
      <c r="B292" s="2" t="s">
        <v>217</v>
      </c>
      <c r="C292" s="280" t="s">
        <v>291</v>
      </c>
      <c r="D292" s="103">
        <f>'Asphalt Plant (AP-9)'!$T$73</f>
        <v>0</v>
      </c>
      <c r="E292" s="219"/>
      <c r="H292" s="2" t="s">
        <v>217</v>
      </c>
      <c r="I292" s="280" t="s">
        <v>291</v>
      </c>
      <c r="J292" s="103">
        <f>'Asphalt Plant (AP-10)'!$T$73</f>
        <v>0</v>
      </c>
    </row>
    <row r="293" spans="2:10" x14ac:dyDescent="0.25">
      <c r="B293" s="2" t="s">
        <v>218</v>
      </c>
      <c r="C293" s="280" t="s">
        <v>292</v>
      </c>
      <c r="D293" s="103">
        <f ca="1">'Asphalt Plant (AP-9)'!$T$75</f>
        <v>0</v>
      </c>
      <c r="E293" s="219"/>
      <c r="H293" s="2" t="s">
        <v>218</v>
      </c>
      <c r="I293" s="280" t="s">
        <v>292</v>
      </c>
      <c r="J293" s="103">
        <f ca="1">'Asphalt Plant (AP-10)'!$T$75</f>
        <v>0</v>
      </c>
    </row>
    <row r="294" spans="2:10" x14ac:dyDescent="0.25">
      <c r="B294" s="2" t="s">
        <v>219</v>
      </c>
      <c r="C294" s="280" t="s">
        <v>293</v>
      </c>
      <c r="D294" s="103">
        <f ca="1">SUM('Asphalt Plant (AP-9)'!$T$77:$T$79)</f>
        <v>0</v>
      </c>
      <c r="E294" s="219"/>
      <c r="H294" s="2" t="s">
        <v>219</v>
      </c>
      <c r="I294" s="280" t="s">
        <v>293</v>
      </c>
      <c r="J294" s="103">
        <f ca="1">SUM('Asphalt Plant (AP-10)'!$T$77:$T$79)</f>
        <v>0</v>
      </c>
    </row>
    <row r="295" spans="2:10" x14ac:dyDescent="0.25">
      <c r="B295" s="2" t="s">
        <v>220</v>
      </c>
      <c r="C295" s="280" t="s">
        <v>294</v>
      </c>
      <c r="D295" s="103">
        <f ca="1">'Asphalt Plant (AP-9)'!$T$81</f>
        <v>0</v>
      </c>
      <c r="E295" s="219"/>
      <c r="H295" s="2" t="s">
        <v>220</v>
      </c>
      <c r="I295" s="280" t="s">
        <v>294</v>
      </c>
      <c r="J295" s="103">
        <f ca="1">'Asphalt Plant (AP-10)'!$T$81</f>
        <v>0</v>
      </c>
    </row>
    <row r="296" spans="2:10" x14ac:dyDescent="0.25">
      <c r="B296" s="2" t="s">
        <v>221</v>
      </c>
      <c r="C296" s="280" t="s">
        <v>295</v>
      </c>
      <c r="D296" s="103">
        <f>'Asphalt Plant (AP-9)'!$T$83</f>
        <v>0</v>
      </c>
      <c r="E296" s="219"/>
      <c r="H296" s="2" t="s">
        <v>221</v>
      </c>
      <c r="I296" s="280" t="s">
        <v>295</v>
      </c>
      <c r="J296" s="103">
        <f>'Asphalt Plant (AP-10)'!$T$83</f>
        <v>0</v>
      </c>
    </row>
    <row r="297" spans="2:10" x14ac:dyDescent="0.25">
      <c r="B297" s="2" t="s">
        <v>223</v>
      </c>
      <c r="C297" s="280"/>
      <c r="D297" s="103">
        <f>'Asphalt Plant (AP-9)'!$T$85</f>
        <v>0</v>
      </c>
      <c r="E297" s="219"/>
      <c r="H297" s="2" t="s">
        <v>223</v>
      </c>
      <c r="I297" s="280"/>
      <c r="J297" s="103">
        <f>'Asphalt Plant (AP-10)'!$T$85</f>
        <v>0</v>
      </c>
    </row>
    <row r="298" spans="2:10" x14ac:dyDescent="0.25">
      <c r="B298" s="2" t="s">
        <v>224</v>
      </c>
      <c r="C298" s="280"/>
      <c r="D298" s="103">
        <f>'Asphalt Plant (AP-9)'!$T$87</f>
        <v>0</v>
      </c>
      <c r="E298" s="219"/>
      <c r="H298" s="2" t="s">
        <v>224</v>
      </c>
      <c r="I298" s="280"/>
      <c r="J298" s="103">
        <f>'Asphalt Plant (AP-10)'!$T$87</f>
        <v>0</v>
      </c>
    </row>
    <row r="299" spans="2:10" x14ac:dyDescent="0.25">
      <c r="B299" s="2" t="s">
        <v>225</v>
      </c>
      <c r="C299" s="280"/>
      <c r="D299" s="103">
        <f>'Asphalt Plant (AP-9)'!$T$89</f>
        <v>0</v>
      </c>
      <c r="E299" s="219"/>
      <c r="H299" s="2" t="s">
        <v>225</v>
      </c>
      <c r="I299" s="280"/>
      <c r="J299" s="103">
        <f>'Asphalt Plant (AP-10)'!$T$89</f>
        <v>0</v>
      </c>
    </row>
    <row r="300" spans="2:10" x14ac:dyDescent="0.25">
      <c r="B300" s="2" t="s">
        <v>222</v>
      </c>
      <c r="C300" s="280"/>
      <c r="D300" s="103">
        <f>SUM('Asphalt Plant (AP-9)'!$T$91:$T$93)</f>
        <v>0</v>
      </c>
      <c r="E300" s="219"/>
      <c r="H300" s="2" t="s">
        <v>222</v>
      </c>
      <c r="I300" s="280"/>
      <c r="J300" s="103">
        <f>SUM('Asphalt Plant (AP-10)'!$T$91:$T$93)</f>
        <v>0</v>
      </c>
    </row>
    <row r="301" spans="2:10" ht="15.75" thickBot="1" x14ac:dyDescent="0.3">
      <c r="B301" s="3" t="s">
        <v>29</v>
      </c>
      <c r="C301" s="284"/>
      <c r="D301" s="105">
        <f ca="1">SUM(D284:D300)</f>
        <v>0</v>
      </c>
      <c r="H301" s="3" t="s">
        <v>29</v>
      </c>
      <c r="I301" s="284"/>
      <c r="J301" s="105">
        <f ca="1">SUM(J284:J300)</f>
        <v>0</v>
      </c>
    </row>
  </sheetData>
  <sheetProtection algorithmName="SHA-512" hashValue="PnOFu2hm26X2oieUtggLAUccohPR9ydebawTrkXkn4DVL2upwovYcha88h4JAZE1DtqsxxN6mIeyAL2zVZF1ZQ==" saltValue="o/weegiUpq2IXruRlJXuFg==" spinCount="100000" sheet="1" objects="1" scenarios="1"/>
  <pageMargins left="0.7" right="0.7" top="0.75" bottom="0.75" header="0.3" footer="0.3"/>
  <pageSetup scale="71" fitToHeight="0" orientation="portrait"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AW45"/>
  <sheetViews>
    <sheetView workbookViewId="0">
      <pane xSplit="1" topLeftCell="B1" activePane="topRight" state="frozen"/>
      <selection pane="topRight"/>
    </sheetView>
  </sheetViews>
  <sheetFormatPr defaultRowHeight="15" x14ac:dyDescent="0.25"/>
  <cols>
    <col min="1" max="1" width="36.140625" style="17" bestFit="1" customWidth="1"/>
    <col min="2" max="2" width="9.42578125" style="17" customWidth="1"/>
    <col min="3" max="3" width="33.28515625" style="17" customWidth="1"/>
    <col min="4" max="4" width="9.140625" style="17"/>
    <col min="5" max="5" width="16.28515625" style="17" bestFit="1" customWidth="1"/>
    <col min="6" max="6" width="11.7109375" style="17" customWidth="1"/>
    <col min="7" max="7" width="16.140625" style="17" customWidth="1"/>
    <col min="8" max="8" width="9.85546875" style="17" customWidth="1"/>
    <col min="9" max="9" width="16.42578125" style="17" customWidth="1"/>
    <col min="10" max="10" width="9.140625" style="17"/>
    <col min="11" max="11" width="16.28515625" style="17" bestFit="1" customWidth="1"/>
    <col min="12" max="12" width="9.140625" style="17"/>
    <col min="13" max="13" width="16.28515625" style="17" bestFit="1" customWidth="1"/>
    <col min="14" max="14" width="9.140625" style="17"/>
    <col min="15" max="15" width="16.28515625" style="17" bestFit="1" customWidth="1"/>
    <col min="16" max="16" width="14" style="17" bestFit="1" customWidth="1"/>
    <col min="17" max="17" width="16.28515625" style="17" bestFit="1" customWidth="1"/>
    <col min="18" max="18" width="9.140625" style="17"/>
    <col min="19" max="19" width="16.28515625" style="17" bestFit="1" customWidth="1"/>
    <col min="20" max="43" width="9.140625" style="17"/>
    <col min="44" max="44" width="10" style="17" bestFit="1" customWidth="1"/>
    <col min="45" max="47" width="9.140625" style="17"/>
    <col min="48" max="48" width="10" style="17" bestFit="1" customWidth="1"/>
    <col min="49" max="16384" width="9.140625" style="17"/>
  </cols>
  <sheetData>
    <row r="1" spans="1:49" ht="18.75" x14ac:dyDescent="0.3">
      <c r="A1" s="33" t="s">
        <v>74</v>
      </c>
      <c r="B1" s="33"/>
    </row>
    <row r="2" spans="1:49" ht="8.25" customHeight="1" x14ac:dyDescent="0.25">
      <c r="C2" s="18"/>
    </row>
    <row r="3" spans="1:49" ht="14.25" customHeight="1" x14ac:dyDescent="0.25">
      <c r="A3" s="16" t="s">
        <v>0</v>
      </c>
      <c r="B3" s="16" t="s">
        <v>8</v>
      </c>
      <c r="C3" s="16" t="s">
        <v>46</v>
      </c>
      <c r="D3" s="16" t="s">
        <v>40</v>
      </c>
      <c r="E3" s="16" t="s">
        <v>2</v>
      </c>
      <c r="F3" s="16" t="s">
        <v>41</v>
      </c>
      <c r="G3" s="16" t="s">
        <v>2</v>
      </c>
      <c r="H3" s="16" t="s">
        <v>3</v>
      </c>
      <c r="J3" s="16" t="s">
        <v>26</v>
      </c>
      <c r="L3" s="16" t="s">
        <v>5</v>
      </c>
      <c r="N3" s="17" t="s">
        <v>6</v>
      </c>
      <c r="P3" s="17" t="s">
        <v>211</v>
      </c>
      <c r="R3" s="17" t="s">
        <v>212</v>
      </c>
      <c r="T3" s="17" t="s">
        <v>52</v>
      </c>
      <c r="V3" s="17" t="s">
        <v>213</v>
      </c>
      <c r="X3" s="17" t="s">
        <v>7</v>
      </c>
      <c r="Z3" s="17" t="s">
        <v>214</v>
      </c>
      <c r="AB3" s="17" t="s">
        <v>215</v>
      </c>
      <c r="AD3" s="17" t="s">
        <v>216</v>
      </c>
      <c r="AF3" s="17" t="s">
        <v>217</v>
      </c>
      <c r="AH3" s="17" t="s">
        <v>218</v>
      </c>
      <c r="AJ3" s="17" t="s">
        <v>219</v>
      </c>
      <c r="AL3" s="17" t="s">
        <v>220</v>
      </c>
      <c r="AN3" s="17" t="s">
        <v>221</v>
      </c>
      <c r="AP3" s="17" t="s">
        <v>222</v>
      </c>
      <c r="AR3" s="293" t="s">
        <v>223</v>
      </c>
      <c r="AS3" s="293"/>
      <c r="AT3" s="293" t="s">
        <v>224</v>
      </c>
      <c r="AU3" s="293"/>
      <c r="AV3" s="293" t="s">
        <v>225</v>
      </c>
      <c r="AW3" s="293"/>
    </row>
    <row r="4" spans="1:49" ht="14.25" customHeight="1" x14ac:dyDescent="0.25">
      <c r="A4" s="22" t="s">
        <v>226</v>
      </c>
      <c r="B4" s="145"/>
      <c r="C4" s="145"/>
      <c r="D4" s="145"/>
      <c r="E4" s="145"/>
      <c r="F4" s="145"/>
      <c r="G4" s="145"/>
    </row>
    <row r="5" spans="1:49" ht="14.25" customHeight="1" x14ac:dyDescent="0.25">
      <c r="A5" s="17" t="s">
        <v>227</v>
      </c>
      <c r="B5" s="17">
        <v>30500246</v>
      </c>
      <c r="C5" s="157" t="s">
        <v>228</v>
      </c>
      <c r="D5" s="17">
        <v>0.27</v>
      </c>
      <c r="E5" s="17" t="s">
        <v>229</v>
      </c>
      <c r="F5" s="17">
        <v>4.5</v>
      </c>
      <c r="G5" s="17" t="s">
        <v>229</v>
      </c>
      <c r="H5" s="17">
        <v>8.7999999999999995E-2</v>
      </c>
      <c r="I5" s="17" t="s">
        <v>229</v>
      </c>
      <c r="J5" s="17">
        <v>0.12</v>
      </c>
      <c r="K5" s="17" t="s">
        <v>229</v>
      </c>
      <c r="L5" s="17">
        <v>8.2000000000000007E-3</v>
      </c>
      <c r="M5" s="17" t="s">
        <v>229</v>
      </c>
      <c r="N5" s="17">
        <v>0.4</v>
      </c>
      <c r="O5" s="17" t="s">
        <v>229</v>
      </c>
      <c r="P5" s="17">
        <v>3.2000000000000003E-4</v>
      </c>
      <c r="Q5" s="17" t="s">
        <v>229</v>
      </c>
      <c r="T5" s="17">
        <v>2.7999999999999998E-4</v>
      </c>
      <c r="U5" s="17" t="s">
        <v>229</v>
      </c>
      <c r="V5" s="17">
        <v>2.2000000000000001E-3</v>
      </c>
      <c r="W5" s="17" t="s">
        <v>229</v>
      </c>
      <c r="X5" s="17">
        <v>7.3999999999999999E-4</v>
      </c>
      <c r="Y5" s="17" t="s">
        <v>229</v>
      </c>
      <c r="AH5" s="17">
        <v>2.7E-4</v>
      </c>
      <c r="AI5" s="17" t="s">
        <v>229</v>
      </c>
      <c r="AJ5" s="17">
        <v>1E-3</v>
      </c>
      <c r="AK5" s="17" t="s">
        <v>229</v>
      </c>
      <c r="AL5" s="17">
        <v>2.7000000000000001E-3</v>
      </c>
      <c r="AM5" s="17" t="s">
        <v>229</v>
      </c>
    </row>
    <row r="6" spans="1:49" ht="14.25" customHeight="1" x14ac:dyDescent="0.25">
      <c r="A6" s="17" t="s">
        <v>230</v>
      </c>
      <c r="B6" s="17">
        <v>30500245</v>
      </c>
      <c r="C6" s="157" t="s">
        <v>228</v>
      </c>
      <c r="D6" s="17">
        <v>0.27</v>
      </c>
      <c r="E6" s="17" t="s">
        <v>229</v>
      </c>
      <c r="F6" s="17">
        <v>4.5</v>
      </c>
      <c r="G6" s="17" t="s">
        <v>229</v>
      </c>
      <c r="H6" s="17">
        <v>4.5999999999999999E-3</v>
      </c>
      <c r="I6" s="17" t="s">
        <v>229</v>
      </c>
      <c r="J6" s="17">
        <v>2.5000000000000001E-2</v>
      </c>
      <c r="K6" s="17" t="s">
        <v>229</v>
      </c>
      <c r="L6" s="17">
        <v>8.2000000000000007E-3</v>
      </c>
      <c r="M6" s="17" t="s">
        <v>229</v>
      </c>
      <c r="N6" s="17">
        <v>0.4</v>
      </c>
      <c r="O6" s="17" t="s">
        <v>229</v>
      </c>
      <c r="P6" s="17">
        <v>3.2000000000000003E-4</v>
      </c>
      <c r="Q6" s="17" t="s">
        <v>229</v>
      </c>
      <c r="T6" s="17">
        <v>2.7999999999999998E-4</v>
      </c>
      <c r="U6" s="17" t="s">
        <v>229</v>
      </c>
      <c r="V6" s="17">
        <v>2.2000000000000001E-3</v>
      </c>
      <c r="W6" s="17" t="s">
        <v>229</v>
      </c>
      <c r="X6" s="17">
        <v>7.3999999999999999E-4</v>
      </c>
      <c r="Y6" s="17" t="s">
        <v>229</v>
      </c>
      <c r="AH6" s="17">
        <v>2.7E-4</v>
      </c>
      <c r="AI6" s="17" t="s">
        <v>229</v>
      </c>
      <c r="AJ6" s="17">
        <v>1E-3</v>
      </c>
      <c r="AK6" s="17" t="s">
        <v>229</v>
      </c>
      <c r="AL6" s="17">
        <v>2.7000000000000001E-3</v>
      </c>
      <c r="AM6" s="17" t="s">
        <v>229</v>
      </c>
    </row>
    <row r="7" spans="1:49" ht="14.25" customHeight="1" x14ac:dyDescent="0.25">
      <c r="A7" s="17" t="s">
        <v>231</v>
      </c>
      <c r="B7" s="17">
        <v>30500247</v>
      </c>
      <c r="C7" s="157" t="s">
        <v>228</v>
      </c>
      <c r="D7" s="17">
        <v>0.27</v>
      </c>
      <c r="E7" s="17" t="s">
        <v>229</v>
      </c>
      <c r="F7" s="17">
        <v>4.5</v>
      </c>
      <c r="G7" s="17" t="s">
        <v>229</v>
      </c>
      <c r="H7" s="17">
        <v>8.7999999999999995E-2</v>
      </c>
      <c r="I7" s="17" t="s">
        <v>229</v>
      </c>
      <c r="J7" s="17">
        <v>0.12</v>
      </c>
      <c r="K7" s="17" t="s">
        <v>229</v>
      </c>
      <c r="L7" s="17">
        <v>3.5999999999999997E-2</v>
      </c>
      <c r="M7" s="17" t="s">
        <v>229</v>
      </c>
      <c r="N7" s="17">
        <v>0.4</v>
      </c>
      <c r="O7" s="17" t="s">
        <v>229</v>
      </c>
      <c r="P7" s="17">
        <v>3.2000000000000003E-4</v>
      </c>
      <c r="Q7" s="17" t="s">
        <v>229</v>
      </c>
      <c r="T7" s="17">
        <v>2.7999999999999998E-4</v>
      </c>
      <c r="U7" s="17" t="s">
        <v>229</v>
      </c>
      <c r="V7" s="17">
        <v>2.2000000000000001E-3</v>
      </c>
      <c r="W7" s="17" t="s">
        <v>229</v>
      </c>
      <c r="X7" s="17">
        <v>7.3999999999999999E-4</v>
      </c>
      <c r="Y7" s="17" t="s">
        <v>229</v>
      </c>
      <c r="AH7" s="17">
        <v>2.7E-4</v>
      </c>
      <c r="AI7" s="17" t="s">
        <v>229</v>
      </c>
      <c r="AJ7" s="17">
        <v>1E-3</v>
      </c>
      <c r="AK7" s="17" t="s">
        <v>229</v>
      </c>
      <c r="AL7" s="17">
        <v>2.7000000000000001E-3</v>
      </c>
      <c r="AM7" s="17" t="s">
        <v>229</v>
      </c>
    </row>
    <row r="8" spans="1:49" ht="14.25" customHeight="1" x14ac:dyDescent="0.25">
      <c r="A8" s="17" t="s">
        <v>237</v>
      </c>
      <c r="B8" s="17">
        <v>30500258</v>
      </c>
      <c r="C8" s="157" t="s">
        <v>232</v>
      </c>
      <c r="D8" s="17">
        <v>1.54</v>
      </c>
      <c r="E8" s="17" t="s">
        <v>229</v>
      </c>
      <c r="F8" s="17">
        <v>6.5</v>
      </c>
      <c r="G8" s="17" t="s">
        <v>229</v>
      </c>
      <c r="H8" s="17">
        <v>1.0999999999999999E-2</v>
      </c>
      <c r="I8" s="17" t="s">
        <v>229</v>
      </c>
      <c r="J8" s="17">
        <v>5.5E-2</v>
      </c>
      <c r="K8" s="17" t="s">
        <v>229</v>
      </c>
      <c r="L8" s="17">
        <v>3.2000000000000001E-2</v>
      </c>
      <c r="M8" s="17" t="s">
        <v>229</v>
      </c>
      <c r="N8" s="17">
        <v>0.13</v>
      </c>
      <c r="O8" s="17" t="s">
        <v>229</v>
      </c>
      <c r="P8" s="17">
        <v>1.2999999999999999E-3</v>
      </c>
      <c r="Q8" s="17" t="s">
        <v>229</v>
      </c>
      <c r="R8" s="17">
        <v>2.5999999999999998E-5</v>
      </c>
      <c r="S8" s="17" t="s">
        <v>229</v>
      </c>
      <c r="T8" s="17">
        <v>3.8999999999999999E-4</v>
      </c>
      <c r="U8" s="17" t="s">
        <v>229</v>
      </c>
      <c r="V8" s="17">
        <v>2.4000000000000001E-4</v>
      </c>
      <c r="W8" s="17" t="s">
        <v>229</v>
      </c>
      <c r="X8" s="17">
        <v>3.0999999999999999E-3</v>
      </c>
      <c r="Y8" s="17" t="s">
        <v>229</v>
      </c>
      <c r="Z8" s="17">
        <v>9.2000000000000003E-4</v>
      </c>
      <c r="AA8" s="17" t="s">
        <v>229</v>
      </c>
      <c r="AB8" s="17">
        <v>2.1000000000000001E-4</v>
      </c>
      <c r="AC8" s="17" t="s">
        <v>229</v>
      </c>
      <c r="AD8" s="17">
        <v>4.8000000000000001E-5</v>
      </c>
      <c r="AE8" s="17" t="s">
        <v>229</v>
      </c>
      <c r="AF8" s="17">
        <v>1.2999999999999999E-4</v>
      </c>
      <c r="AG8" s="17" t="s">
        <v>229</v>
      </c>
      <c r="AH8" s="17">
        <v>1.6000000000000001E-4</v>
      </c>
      <c r="AI8" s="17" t="s">
        <v>229</v>
      </c>
      <c r="AJ8" s="17">
        <v>2.8999999999999998E-3</v>
      </c>
      <c r="AK8" s="17" t="s">
        <v>229</v>
      </c>
      <c r="AL8" s="17">
        <v>2.0000000000000001E-4</v>
      </c>
      <c r="AM8" s="17" t="s">
        <v>229</v>
      </c>
      <c r="AN8" s="17">
        <v>4.0000000000000003E-5</v>
      </c>
      <c r="AO8" s="17" t="s">
        <v>229</v>
      </c>
      <c r="AP8" s="17">
        <v>1.2999999999999999E-3</v>
      </c>
      <c r="AQ8" s="17" t="s">
        <v>229</v>
      </c>
      <c r="AR8" s="17">
        <v>2.4000000000000001E-5</v>
      </c>
      <c r="AS8" s="17" t="s">
        <v>229</v>
      </c>
      <c r="AT8" s="17">
        <v>5.4000000000000001E-4</v>
      </c>
      <c r="AU8" s="17" t="s">
        <v>229</v>
      </c>
      <c r="AV8" s="17">
        <v>6.4999999999999997E-4</v>
      </c>
      <c r="AW8" s="17" t="s">
        <v>229</v>
      </c>
    </row>
    <row r="9" spans="1:49" ht="14.25" customHeight="1" x14ac:dyDescent="0.25">
      <c r="A9" s="17" t="s">
        <v>233</v>
      </c>
      <c r="B9" s="17">
        <v>30500255</v>
      </c>
      <c r="C9" s="157" t="s">
        <v>234</v>
      </c>
      <c r="D9" s="17">
        <v>1.54</v>
      </c>
      <c r="E9" s="17" t="s">
        <v>229</v>
      </c>
      <c r="F9" s="17">
        <v>6.5</v>
      </c>
      <c r="G9" s="17" t="s">
        <v>229</v>
      </c>
      <c r="H9" s="17">
        <v>3.3999999999999998E-3</v>
      </c>
      <c r="I9" s="17" t="s">
        <v>229</v>
      </c>
      <c r="J9" s="17">
        <v>2.5999999999999999E-2</v>
      </c>
      <c r="K9" s="17" t="s">
        <v>229</v>
      </c>
      <c r="L9" s="17">
        <v>3.2000000000000001E-2</v>
      </c>
      <c r="M9" s="17" t="s">
        <v>229</v>
      </c>
      <c r="N9" s="17">
        <v>0.13</v>
      </c>
      <c r="O9" s="17" t="s">
        <v>229</v>
      </c>
      <c r="T9" s="17">
        <v>3.8999999999999999E-4</v>
      </c>
      <c r="U9" s="17" t="s">
        <v>229</v>
      </c>
      <c r="V9" s="17">
        <v>2.4000000000000001E-4</v>
      </c>
      <c r="W9" s="17" t="s">
        <v>229</v>
      </c>
      <c r="X9" s="17">
        <v>3.0999999999999999E-3</v>
      </c>
      <c r="Y9" s="17" t="s">
        <v>229</v>
      </c>
      <c r="Z9" s="17">
        <v>9.2000000000000003E-4</v>
      </c>
      <c r="AA9" s="17" t="s">
        <v>229</v>
      </c>
      <c r="AD9" s="17">
        <v>4.8000000000000001E-5</v>
      </c>
      <c r="AE9" s="17" t="s">
        <v>229</v>
      </c>
      <c r="AJ9" s="17">
        <v>1.4999999999999999E-4</v>
      </c>
      <c r="AK9" s="17" t="s">
        <v>229</v>
      </c>
      <c r="AL9" s="17">
        <v>2.0000000000000001E-4</v>
      </c>
      <c r="AM9" s="17" t="s">
        <v>229</v>
      </c>
      <c r="AN9" s="17">
        <v>4.0000000000000003E-5</v>
      </c>
      <c r="AO9" s="17" t="s">
        <v>229</v>
      </c>
    </row>
    <row r="10" spans="1:49" ht="14.25" customHeight="1" x14ac:dyDescent="0.25">
      <c r="A10" s="17" t="s">
        <v>235</v>
      </c>
      <c r="B10" s="17">
        <v>30500261</v>
      </c>
      <c r="C10" s="157" t="s">
        <v>232</v>
      </c>
      <c r="D10" s="17">
        <v>1.54</v>
      </c>
      <c r="E10" s="17" t="s">
        <v>229</v>
      </c>
      <c r="F10" s="17">
        <v>6.5</v>
      </c>
      <c r="G10" s="17" t="s">
        <v>229</v>
      </c>
      <c r="H10" s="17">
        <v>5.8000000000000003E-2</v>
      </c>
      <c r="I10" s="17" t="s">
        <v>229</v>
      </c>
      <c r="J10" s="17">
        <v>5.5E-2</v>
      </c>
      <c r="K10" s="17" t="s">
        <v>229</v>
      </c>
      <c r="L10" s="17">
        <v>3.2000000000000001E-2</v>
      </c>
      <c r="M10" s="17" t="s">
        <v>229</v>
      </c>
      <c r="N10" s="17">
        <v>0.13</v>
      </c>
      <c r="O10" s="17" t="s">
        <v>229</v>
      </c>
      <c r="P10" s="17">
        <v>1.2999999999999999E-3</v>
      </c>
      <c r="Q10" s="17" t="s">
        <v>229</v>
      </c>
      <c r="R10" s="17">
        <v>2.5999999999999998E-5</v>
      </c>
      <c r="S10" s="17" t="s">
        <v>229</v>
      </c>
      <c r="T10" s="17">
        <v>3.8999999999999999E-4</v>
      </c>
      <c r="U10" s="17" t="s">
        <v>229</v>
      </c>
      <c r="V10" s="17">
        <v>2.4000000000000001E-4</v>
      </c>
      <c r="W10" s="17" t="s">
        <v>229</v>
      </c>
      <c r="X10" s="17">
        <v>3.0999999999999999E-3</v>
      </c>
      <c r="Y10" s="17" t="s">
        <v>229</v>
      </c>
      <c r="Z10" s="17">
        <v>9.2000000000000003E-4</v>
      </c>
      <c r="AA10" s="17" t="s">
        <v>229</v>
      </c>
      <c r="AB10" s="17">
        <v>2.1000000000000001E-4</v>
      </c>
      <c r="AC10" s="17" t="s">
        <v>229</v>
      </c>
      <c r="AD10" s="17">
        <v>4.8000000000000001E-5</v>
      </c>
      <c r="AE10" s="17" t="s">
        <v>229</v>
      </c>
      <c r="AF10" s="17">
        <v>1.2999999999999999E-4</v>
      </c>
      <c r="AG10" s="17" t="s">
        <v>229</v>
      </c>
      <c r="AH10" s="17">
        <v>1.6000000000000001E-4</v>
      </c>
      <c r="AI10" s="17" t="s">
        <v>229</v>
      </c>
      <c r="AJ10" s="17">
        <v>2.8999999999999998E-3</v>
      </c>
      <c r="AK10" s="17" t="s">
        <v>229</v>
      </c>
      <c r="AL10" s="17">
        <v>2.0000000000000001E-4</v>
      </c>
      <c r="AM10" s="17" t="s">
        <v>229</v>
      </c>
      <c r="AN10" s="17">
        <v>4.0000000000000003E-5</v>
      </c>
      <c r="AO10" s="17" t="s">
        <v>229</v>
      </c>
      <c r="AP10" s="17">
        <v>1.2999999999999999E-3</v>
      </c>
      <c r="AQ10" s="17" t="s">
        <v>229</v>
      </c>
      <c r="AR10" s="17">
        <v>2.4000000000000001E-5</v>
      </c>
      <c r="AS10" s="17" t="s">
        <v>229</v>
      </c>
      <c r="AT10" s="17">
        <v>5.4000000000000001E-4</v>
      </c>
      <c r="AU10" s="17" t="s">
        <v>229</v>
      </c>
      <c r="AV10" s="17">
        <v>6.4999999999999997E-4</v>
      </c>
      <c r="AW10" s="17" t="s">
        <v>229</v>
      </c>
    </row>
    <row r="11" spans="1:49" ht="14.25" customHeight="1" x14ac:dyDescent="0.25">
      <c r="A11" s="18" t="s">
        <v>236</v>
      </c>
      <c r="C11" s="157"/>
    </row>
    <row r="12" spans="1:49" ht="14.25" customHeight="1" x14ac:dyDescent="0.25">
      <c r="A12" s="17" t="s">
        <v>227</v>
      </c>
      <c r="B12" s="17">
        <v>30500246</v>
      </c>
      <c r="C12" s="157" t="s">
        <v>228</v>
      </c>
      <c r="D12" s="17">
        <v>8.3000000000000001E-3</v>
      </c>
      <c r="E12" s="17" t="s">
        <v>229</v>
      </c>
      <c r="F12" s="17">
        <v>9.7999999999999997E-3</v>
      </c>
      <c r="G12" s="17" t="s">
        <v>229</v>
      </c>
      <c r="H12" s="17">
        <v>8.7999999999999995E-2</v>
      </c>
      <c r="I12" s="17" t="s">
        <v>229</v>
      </c>
      <c r="J12" s="17">
        <v>0.12</v>
      </c>
      <c r="K12" s="17" t="s">
        <v>229</v>
      </c>
      <c r="L12" s="17">
        <v>8.2000000000000007E-3</v>
      </c>
      <c r="M12" s="17" t="s">
        <v>229</v>
      </c>
      <c r="N12" s="17">
        <v>0.4</v>
      </c>
      <c r="O12" s="17" t="s">
        <v>229</v>
      </c>
      <c r="P12" s="17">
        <v>3.2000000000000003E-4</v>
      </c>
      <c r="Q12" s="17" t="s">
        <v>229</v>
      </c>
      <c r="T12" s="17">
        <v>2.7999999999999998E-4</v>
      </c>
      <c r="U12" s="17" t="s">
        <v>229</v>
      </c>
      <c r="V12" s="17">
        <v>2.2000000000000001E-3</v>
      </c>
      <c r="W12" s="17" t="s">
        <v>229</v>
      </c>
      <c r="X12" s="17">
        <v>7.3999999999999999E-4</v>
      </c>
      <c r="Y12" s="17" t="s">
        <v>229</v>
      </c>
      <c r="AH12" s="17">
        <v>2.7E-4</v>
      </c>
      <c r="AI12" s="17" t="s">
        <v>229</v>
      </c>
      <c r="AJ12" s="17">
        <v>1E-3</v>
      </c>
      <c r="AK12" s="17" t="s">
        <v>229</v>
      </c>
      <c r="AL12" s="17">
        <v>2.7000000000000001E-3</v>
      </c>
      <c r="AM12" s="17" t="s">
        <v>229</v>
      </c>
    </row>
    <row r="13" spans="1:49" ht="14.25" customHeight="1" x14ac:dyDescent="0.25">
      <c r="A13" s="17" t="s">
        <v>230</v>
      </c>
      <c r="B13" s="17">
        <v>30500245</v>
      </c>
      <c r="C13" s="157" t="s">
        <v>228</v>
      </c>
      <c r="D13" s="17">
        <v>8.3000000000000001E-3</v>
      </c>
      <c r="E13" s="17" t="s">
        <v>229</v>
      </c>
      <c r="F13" s="17">
        <v>9.7999999999999997E-3</v>
      </c>
      <c r="G13" s="17" t="s">
        <v>229</v>
      </c>
      <c r="H13" s="17">
        <v>4.5999999999999999E-3</v>
      </c>
      <c r="I13" s="17" t="s">
        <v>229</v>
      </c>
      <c r="J13" s="17">
        <v>2.5000000000000001E-2</v>
      </c>
      <c r="K13" s="17" t="s">
        <v>229</v>
      </c>
      <c r="L13" s="17">
        <v>8.2000000000000007E-3</v>
      </c>
      <c r="M13" s="17" t="s">
        <v>229</v>
      </c>
      <c r="N13" s="17">
        <v>0.4</v>
      </c>
      <c r="O13" s="17" t="s">
        <v>229</v>
      </c>
      <c r="P13" s="17">
        <v>3.2000000000000003E-4</v>
      </c>
      <c r="Q13" s="17" t="s">
        <v>229</v>
      </c>
      <c r="T13" s="17">
        <v>2.7999999999999998E-4</v>
      </c>
      <c r="U13" s="17" t="s">
        <v>229</v>
      </c>
      <c r="V13" s="17">
        <v>2.2000000000000001E-3</v>
      </c>
      <c r="W13" s="17" t="s">
        <v>229</v>
      </c>
      <c r="X13" s="17">
        <v>7.3999999999999999E-4</v>
      </c>
      <c r="Y13" s="17" t="s">
        <v>229</v>
      </c>
      <c r="AH13" s="17">
        <v>2.7E-4</v>
      </c>
      <c r="AI13" s="17" t="s">
        <v>229</v>
      </c>
      <c r="AJ13" s="17">
        <v>1E-3</v>
      </c>
      <c r="AK13" s="17" t="s">
        <v>229</v>
      </c>
      <c r="AL13" s="17">
        <v>2.7000000000000001E-3</v>
      </c>
      <c r="AM13" s="17" t="s">
        <v>229</v>
      </c>
    </row>
    <row r="14" spans="1:49" ht="14.25" customHeight="1" x14ac:dyDescent="0.25">
      <c r="A14" s="17" t="s">
        <v>231</v>
      </c>
      <c r="B14" s="17">
        <v>30500246</v>
      </c>
      <c r="C14" s="157" t="s">
        <v>228</v>
      </c>
      <c r="D14" s="17">
        <v>8.3000000000000001E-3</v>
      </c>
      <c r="E14" s="17" t="s">
        <v>229</v>
      </c>
      <c r="F14" s="17">
        <v>9.7999999999999997E-3</v>
      </c>
      <c r="G14" s="17" t="s">
        <v>229</v>
      </c>
      <c r="H14" s="17">
        <v>8.7999999999999995E-2</v>
      </c>
      <c r="I14" s="17" t="s">
        <v>229</v>
      </c>
      <c r="J14" s="17">
        <v>0.12</v>
      </c>
      <c r="K14" s="17" t="s">
        <v>229</v>
      </c>
      <c r="L14" s="17">
        <v>3.5999999999999997E-2</v>
      </c>
      <c r="M14" s="17" t="s">
        <v>229</v>
      </c>
      <c r="N14" s="17">
        <v>0.4</v>
      </c>
      <c r="O14" s="17" t="s">
        <v>229</v>
      </c>
      <c r="P14" s="17">
        <v>3.2000000000000003E-4</v>
      </c>
      <c r="Q14" s="17" t="s">
        <v>229</v>
      </c>
      <c r="T14" s="17">
        <v>2.7999999999999998E-4</v>
      </c>
      <c r="U14" s="17" t="s">
        <v>229</v>
      </c>
      <c r="V14" s="17">
        <v>2.2000000000000001E-3</v>
      </c>
      <c r="W14" s="17" t="s">
        <v>229</v>
      </c>
      <c r="X14" s="17">
        <v>7.3999999999999999E-4</v>
      </c>
      <c r="Y14" s="17" t="s">
        <v>229</v>
      </c>
      <c r="AH14" s="17">
        <v>2.7E-4</v>
      </c>
      <c r="AI14" s="17" t="s">
        <v>229</v>
      </c>
      <c r="AJ14" s="17">
        <v>1E-3</v>
      </c>
      <c r="AK14" s="17" t="s">
        <v>229</v>
      </c>
      <c r="AL14" s="17">
        <v>2.7000000000000001E-3</v>
      </c>
      <c r="AM14" s="17" t="s">
        <v>229</v>
      </c>
    </row>
    <row r="15" spans="1:49" ht="14.25" customHeight="1" x14ac:dyDescent="0.25">
      <c r="A15" s="17" t="s">
        <v>237</v>
      </c>
      <c r="B15" s="17">
        <v>30500258</v>
      </c>
      <c r="C15" s="157" t="s">
        <v>232</v>
      </c>
      <c r="D15" s="17">
        <v>7.0000000000000001E-3</v>
      </c>
      <c r="E15" s="17" t="s">
        <v>229</v>
      </c>
      <c r="F15" s="17">
        <v>2.3E-2</v>
      </c>
      <c r="G15" s="17" t="s">
        <v>229</v>
      </c>
      <c r="H15" s="17">
        <v>1.0999999999999999E-2</v>
      </c>
      <c r="I15" s="17" t="s">
        <v>229</v>
      </c>
      <c r="J15" s="17">
        <v>5.5E-2</v>
      </c>
      <c r="K15" s="17" t="s">
        <v>229</v>
      </c>
      <c r="L15" s="17">
        <v>3.2000000000000001E-2</v>
      </c>
      <c r="M15" s="17" t="s">
        <v>229</v>
      </c>
      <c r="N15" s="17">
        <v>0.13</v>
      </c>
      <c r="O15" s="17" t="s">
        <v>229</v>
      </c>
      <c r="P15" s="17">
        <v>1.2999999999999999E-3</v>
      </c>
      <c r="Q15" s="17" t="s">
        <v>229</v>
      </c>
      <c r="R15" s="17">
        <v>2.5999999999999998E-5</v>
      </c>
      <c r="S15" s="17" t="s">
        <v>229</v>
      </c>
      <c r="T15" s="17">
        <v>3.8999999999999999E-4</v>
      </c>
      <c r="U15" s="17" t="s">
        <v>229</v>
      </c>
      <c r="V15" s="17">
        <v>2.4000000000000001E-4</v>
      </c>
      <c r="W15" s="17" t="s">
        <v>229</v>
      </c>
      <c r="X15" s="17">
        <v>3.0999999999999999E-3</v>
      </c>
      <c r="Y15" s="17" t="s">
        <v>229</v>
      </c>
      <c r="Z15" s="17">
        <v>9.2000000000000003E-4</v>
      </c>
      <c r="AA15" s="17" t="s">
        <v>229</v>
      </c>
      <c r="AB15" s="17">
        <v>2.1000000000000001E-4</v>
      </c>
      <c r="AC15" s="17" t="s">
        <v>229</v>
      </c>
      <c r="AD15" s="17">
        <v>4.8000000000000001E-5</v>
      </c>
      <c r="AE15" s="17" t="s">
        <v>229</v>
      </c>
      <c r="AF15" s="17">
        <v>1.2999999999999999E-4</v>
      </c>
      <c r="AG15" s="17" t="s">
        <v>229</v>
      </c>
      <c r="AH15" s="17">
        <v>1.4999999999999999E-4</v>
      </c>
      <c r="AI15" s="17" t="s">
        <v>229</v>
      </c>
      <c r="AJ15" s="17">
        <v>2.8999999999999998E-3</v>
      </c>
      <c r="AK15" s="17" t="s">
        <v>229</v>
      </c>
      <c r="AL15" s="17">
        <v>2.0000000000000001E-4</v>
      </c>
      <c r="AM15" s="17" t="s">
        <v>229</v>
      </c>
      <c r="AN15" s="17">
        <v>4.0000000000000003E-5</v>
      </c>
      <c r="AO15" s="17" t="s">
        <v>229</v>
      </c>
      <c r="AP15" s="17">
        <v>1.5E-5</v>
      </c>
      <c r="AQ15" s="17" t="s">
        <v>229</v>
      </c>
      <c r="AR15" s="17">
        <v>5.4999999999999999E-6</v>
      </c>
      <c r="AS15" s="17" t="s">
        <v>229</v>
      </c>
      <c r="AT15" s="17">
        <v>1.5E-5</v>
      </c>
      <c r="AU15" s="17" t="s">
        <v>229</v>
      </c>
      <c r="AV15" s="17">
        <v>7.7000000000000008E-6</v>
      </c>
      <c r="AW15" s="17" t="s">
        <v>229</v>
      </c>
    </row>
    <row r="16" spans="1:49" ht="14.25" customHeight="1" x14ac:dyDescent="0.25">
      <c r="A16" s="17" t="s">
        <v>233</v>
      </c>
      <c r="B16" s="17">
        <v>30500255</v>
      </c>
      <c r="C16" s="157" t="s">
        <v>234</v>
      </c>
      <c r="D16" s="17">
        <v>7.0000000000000001E-3</v>
      </c>
      <c r="E16" s="17" t="s">
        <v>229</v>
      </c>
      <c r="F16" s="17">
        <v>2.3E-2</v>
      </c>
      <c r="G16" s="17" t="s">
        <v>229</v>
      </c>
      <c r="H16" s="17">
        <v>3.3999999999999998E-3</v>
      </c>
      <c r="I16" s="17" t="s">
        <v>229</v>
      </c>
      <c r="J16" s="17">
        <v>2.5999999999999999E-2</v>
      </c>
      <c r="K16" s="17" t="s">
        <v>229</v>
      </c>
      <c r="L16" s="17">
        <v>3.2000000000000001E-2</v>
      </c>
      <c r="M16" s="17" t="s">
        <v>229</v>
      </c>
      <c r="N16" s="17">
        <v>0.13</v>
      </c>
      <c r="O16" s="17" t="s">
        <v>229</v>
      </c>
      <c r="T16" s="17">
        <v>3.8999999999999999E-4</v>
      </c>
      <c r="U16" s="17" t="s">
        <v>229</v>
      </c>
      <c r="V16" s="17">
        <v>2.4000000000000001E-4</v>
      </c>
      <c r="W16" s="17" t="s">
        <v>229</v>
      </c>
      <c r="X16" s="17">
        <v>3.0999999999999999E-3</v>
      </c>
      <c r="Y16" s="17" t="s">
        <v>229</v>
      </c>
      <c r="Z16" s="17">
        <v>9.2000000000000003E-4</v>
      </c>
      <c r="AA16" s="17" t="s">
        <v>229</v>
      </c>
      <c r="AD16" s="17">
        <v>4.8000000000000001E-5</v>
      </c>
      <c r="AE16" s="17" t="s">
        <v>229</v>
      </c>
      <c r="AJ16" s="17">
        <v>1.4999999999999999E-4</v>
      </c>
      <c r="AK16" s="17" t="s">
        <v>229</v>
      </c>
      <c r="AL16" s="17">
        <v>2.0000000000000001E-4</v>
      </c>
      <c r="AM16" s="17" t="s">
        <v>229</v>
      </c>
      <c r="AN16" s="17">
        <v>4.0000000000000003E-5</v>
      </c>
      <c r="AO16" s="17" t="s">
        <v>229</v>
      </c>
      <c r="AP16" s="17">
        <v>6.3E-5</v>
      </c>
      <c r="AQ16" s="17" t="s">
        <v>229</v>
      </c>
    </row>
    <row r="17" spans="1:49" ht="14.25" customHeight="1" x14ac:dyDescent="0.25">
      <c r="A17" s="17" t="s">
        <v>238</v>
      </c>
      <c r="B17" s="17">
        <v>30500261</v>
      </c>
      <c r="C17" s="157" t="s">
        <v>232</v>
      </c>
      <c r="D17" s="17">
        <v>7.0000000000000001E-3</v>
      </c>
      <c r="E17" s="17" t="s">
        <v>229</v>
      </c>
      <c r="F17" s="17">
        <v>2.3E-2</v>
      </c>
      <c r="G17" s="17" t="s">
        <v>229</v>
      </c>
      <c r="H17" s="17">
        <v>5.8000000000000003E-2</v>
      </c>
      <c r="I17" s="17" t="s">
        <v>229</v>
      </c>
      <c r="J17" s="17">
        <v>5.5E-2</v>
      </c>
      <c r="K17" s="17" t="s">
        <v>229</v>
      </c>
      <c r="L17" s="17">
        <v>3.2000000000000001E-2</v>
      </c>
      <c r="M17" s="17" t="s">
        <v>229</v>
      </c>
      <c r="N17" s="17">
        <v>0.13</v>
      </c>
      <c r="O17" s="17" t="s">
        <v>229</v>
      </c>
      <c r="P17" s="17">
        <v>1.2999999999999999E-3</v>
      </c>
      <c r="Q17" s="17" t="s">
        <v>229</v>
      </c>
      <c r="R17" s="17">
        <v>2.5999999999999998E-5</v>
      </c>
      <c r="S17" s="17" t="s">
        <v>229</v>
      </c>
      <c r="T17" s="17">
        <v>3.8999999999999999E-4</v>
      </c>
      <c r="U17" s="17" t="s">
        <v>229</v>
      </c>
      <c r="V17" s="17">
        <v>2.4000000000000001E-4</v>
      </c>
      <c r="W17" s="17" t="s">
        <v>229</v>
      </c>
      <c r="X17" s="17">
        <v>3.0999999999999999E-3</v>
      </c>
      <c r="Y17" s="17" t="s">
        <v>229</v>
      </c>
      <c r="Z17" s="17">
        <v>9.2000000000000003E-4</v>
      </c>
      <c r="AA17" s="17" t="s">
        <v>229</v>
      </c>
      <c r="AB17" s="17">
        <v>2.1000000000000001E-4</v>
      </c>
      <c r="AC17" s="17" t="s">
        <v>229</v>
      </c>
      <c r="AD17" s="17">
        <v>4.8000000000000001E-5</v>
      </c>
      <c r="AE17" s="17" t="s">
        <v>229</v>
      </c>
      <c r="AF17" s="17">
        <v>1.2999999999999999E-4</v>
      </c>
      <c r="AG17" s="17" t="s">
        <v>229</v>
      </c>
      <c r="AH17" s="17">
        <v>1.6000000000000001E-4</v>
      </c>
      <c r="AI17" s="17" t="s">
        <v>229</v>
      </c>
      <c r="AJ17" s="17">
        <v>2.8999999999999998E-3</v>
      </c>
      <c r="AK17" s="17" t="s">
        <v>229</v>
      </c>
      <c r="AL17" s="17">
        <v>2.0000000000000001E-4</v>
      </c>
      <c r="AM17" s="17" t="s">
        <v>229</v>
      </c>
      <c r="AN17" s="17">
        <v>4.0000000000000003E-5</v>
      </c>
      <c r="AO17" s="17" t="s">
        <v>229</v>
      </c>
      <c r="AP17" s="17">
        <v>1.5E-5</v>
      </c>
      <c r="AQ17" s="17" t="s">
        <v>229</v>
      </c>
      <c r="AR17" s="17">
        <v>5.4999999999999999E-6</v>
      </c>
      <c r="AS17" s="17" t="s">
        <v>229</v>
      </c>
      <c r="AT17" s="17">
        <v>1.5E-5</v>
      </c>
      <c r="AU17" s="17" t="s">
        <v>229</v>
      </c>
      <c r="AV17" s="17">
        <v>7.7000000000000008E-6</v>
      </c>
      <c r="AW17" s="17" t="s">
        <v>229</v>
      </c>
    </row>
    <row r="18" spans="1:49" ht="14.25" customHeight="1" x14ac:dyDescent="0.25">
      <c r="A18" s="18" t="s">
        <v>239</v>
      </c>
      <c r="C18" s="157"/>
    </row>
    <row r="19" spans="1:49" ht="14.25" customHeight="1" x14ac:dyDescent="0.25">
      <c r="A19" s="17" t="s">
        <v>240</v>
      </c>
      <c r="B19" s="17">
        <v>30500208</v>
      </c>
      <c r="C19" s="157" t="s">
        <v>241</v>
      </c>
      <c r="N19" s="17">
        <v>1.1999999999999999E-3</v>
      </c>
      <c r="O19" s="17" t="s">
        <v>242</v>
      </c>
    </row>
    <row r="20" spans="1:49" ht="14.25" customHeight="1" x14ac:dyDescent="0.25">
      <c r="A20" s="17" t="s">
        <v>243</v>
      </c>
      <c r="B20" s="17">
        <v>30500206</v>
      </c>
      <c r="C20" s="157" t="s">
        <v>241</v>
      </c>
      <c r="N20" s="17">
        <v>8.9</v>
      </c>
      <c r="O20" s="17" t="s">
        <v>245</v>
      </c>
      <c r="X20" s="17">
        <v>2.5999999999999999E-2</v>
      </c>
      <c r="Y20" s="17" t="s">
        <v>245</v>
      </c>
    </row>
    <row r="21" spans="1:49" ht="14.25" customHeight="1" x14ac:dyDescent="0.25">
      <c r="A21" s="17" t="s">
        <v>246</v>
      </c>
      <c r="B21" s="17">
        <v>30500208</v>
      </c>
      <c r="C21" s="157" t="s">
        <v>241</v>
      </c>
      <c r="N21" s="17">
        <v>1.1999999999999999E-3</v>
      </c>
      <c r="O21" s="17" t="s">
        <v>242</v>
      </c>
    </row>
    <row r="22" spans="1:49" ht="14.25" customHeight="1" x14ac:dyDescent="0.25">
      <c r="C22" s="157"/>
    </row>
    <row r="23" spans="1:49" ht="14.25" customHeight="1" x14ac:dyDescent="0.25">
      <c r="A23" s="17" t="s">
        <v>251</v>
      </c>
      <c r="B23" s="17">
        <v>30500204</v>
      </c>
      <c r="C23" s="157" t="s">
        <v>250</v>
      </c>
      <c r="D23" s="17">
        <v>4.4999999999999999E-4</v>
      </c>
      <c r="E23" s="17" t="s">
        <v>229</v>
      </c>
      <c r="F23" s="17">
        <v>1.1000000000000001E-3</v>
      </c>
      <c r="G23" s="17" t="s">
        <v>229</v>
      </c>
      <c r="L23" s="17">
        <v>1.2200000000000001E-2</v>
      </c>
      <c r="M23" s="17" t="s">
        <v>229</v>
      </c>
      <c r="N23" s="17">
        <v>1.1800000000000001E-3</v>
      </c>
      <c r="O23" s="17" t="s">
        <v>229</v>
      </c>
    </row>
    <row r="24" spans="1:49" ht="14.25" customHeight="1" x14ac:dyDescent="0.25">
      <c r="A24" s="17" t="s">
        <v>247</v>
      </c>
      <c r="B24" s="17">
        <v>30500213</v>
      </c>
      <c r="C24" s="157" t="s">
        <v>248</v>
      </c>
      <c r="D24" s="17">
        <v>5.8600000000000004E-4</v>
      </c>
      <c r="E24" s="17" t="s">
        <v>229</v>
      </c>
      <c r="F24" s="17">
        <v>5.8600000000000004E-4</v>
      </c>
      <c r="G24" s="17" t="s">
        <v>229</v>
      </c>
      <c r="L24" s="17">
        <v>4.1599999999999996E-3</v>
      </c>
      <c r="M24" s="17" t="s">
        <v>229</v>
      </c>
      <c r="N24" s="17">
        <v>1.3500000000000001E-3</v>
      </c>
      <c r="O24" s="17" t="s">
        <v>229</v>
      </c>
    </row>
    <row r="25" spans="1:49" ht="14.25" customHeight="1" x14ac:dyDescent="0.25">
      <c r="A25" s="17" t="s">
        <v>249</v>
      </c>
      <c r="B25" s="17">
        <v>30500214</v>
      </c>
      <c r="C25" s="157" t="s">
        <v>248</v>
      </c>
      <c r="D25" s="17">
        <v>5.22E-4</v>
      </c>
      <c r="E25" s="17" t="s">
        <v>229</v>
      </c>
      <c r="F25" s="17">
        <v>5.22E-4</v>
      </c>
      <c r="G25" s="17" t="s">
        <v>229</v>
      </c>
    </row>
    <row r="26" spans="1:49" ht="14.25" customHeight="1" x14ac:dyDescent="0.25">
      <c r="A26" s="17" t="s">
        <v>39</v>
      </c>
      <c r="B26" s="17">
        <v>30500203</v>
      </c>
      <c r="C26" s="157" t="s">
        <v>185</v>
      </c>
      <c r="D26" s="17">
        <v>3.64</v>
      </c>
      <c r="E26" s="17" t="s">
        <v>42</v>
      </c>
      <c r="F26" s="17">
        <v>3.64</v>
      </c>
      <c r="G26" s="17" t="s">
        <v>42</v>
      </c>
    </row>
    <row r="27" spans="1:49" ht="14.25" customHeight="1" x14ac:dyDescent="0.25"/>
    <row r="28" spans="1:49" ht="14.25" customHeight="1" x14ac:dyDescent="0.25">
      <c r="A28" s="23" t="s">
        <v>61</v>
      </c>
    </row>
    <row r="29" spans="1:49" ht="14.25" customHeight="1" x14ac:dyDescent="0.25">
      <c r="A29" s="19" t="s">
        <v>32</v>
      </c>
      <c r="B29" s="17">
        <v>30205054</v>
      </c>
      <c r="N29" s="20"/>
      <c r="O29" s="21"/>
      <c r="P29" s="20"/>
      <c r="Q29" s="21"/>
      <c r="R29" s="20"/>
      <c r="S29" s="21"/>
    </row>
    <row r="30" spans="1:49" ht="14.25" customHeight="1" x14ac:dyDescent="0.25">
      <c r="A30" s="11"/>
      <c r="B30" s="11" t="s">
        <v>80</v>
      </c>
      <c r="C30" s="11"/>
      <c r="D30" s="11"/>
      <c r="E30" s="11"/>
      <c r="F30" s="12"/>
      <c r="G30" s="21"/>
      <c r="H30" s="20"/>
      <c r="I30" s="21"/>
      <c r="J30" s="20"/>
      <c r="K30" s="21"/>
      <c r="N30" s="20"/>
      <c r="O30" s="21"/>
      <c r="P30" s="20"/>
      <c r="Q30" s="21"/>
      <c r="R30" s="20"/>
      <c r="S30" s="21"/>
    </row>
    <row r="31" spans="1:49" ht="14.25" customHeight="1" x14ac:dyDescent="0.25">
      <c r="A31" s="11"/>
      <c r="B31" s="11"/>
      <c r="C31" s="11"/>
      <c r="E31" s="11"/>
      <c r="F31" s="11" t="s">
        <v>33</v>
      </c>
      <c r="H31" s="20"/>
      <c r="I31" s="21"/>
      <c r="J31" s="20"/>
      <c r="K31" s="21"/>
      <c r="N31" s="20"/>
      <c r="O31" s="21"/>
      <c r="P31" s="20"/>
      <c r="Q31" s="21"/>
      <c r="R31" s="20"/>
      <c r="S31" s="21"/>
    </row>
    <row r="32" spans="1:49" ht="14.25" customHeight="1" x14ac:dyDescent="0.25">
      <c r="A32" s="11"/>
      <c r="B32" s="11"/>
      <c r="C32" s="11"/>
      <c r="E32" s="11"/>
      <c r="F32" s="11" t="s">
        <v>34</v>
      </c>
      <c r="H32" s="20"/>
      <c r="I32" s="21"/>
      <c r="J32" s="20"/>
      <c r="K32" s="21"/>
    </row>
    <row r="33" spans="1:19" ht="14.25" customHeight="1" x14ac:dyDescent="0.25">
      <c r="A33" s="11"/>
      <c r="B33" s="11"/>
      <c r="C33" s="11"/>
      <c r="E33" s="11"/>
      <c r="F33" s="11" t="s">
        <v>35</v>
      </c>
    </row>
    <row r="34" spans="1:19" ht="14.25" customHeight="1" x14ac:dyDescent="0.25">
      <c r="A34" s="11"/>
      <c r="B34" s="11"/>
      <c r="C34" s="11"/>
      <c r="E34" s="11"/>
      <c r="F34" s="15" t="s">
        <v>67</v>
      </c>
    </row>
    <row r="35" spans="1:19" ht="14.25" customHeight="1" x14ac:dyDescent="0.25">
      <c r="A35" s="11" t="s">
        <v>79</v>
      </c>
      <c r="B35" s="11">
        <v>30205054</v>
      </c>
      <c r="C35" s="11"/>
      <c r="E35" s="11"/>
      <c r="G35" s="15"/>
    </row>
    <row r="36" spans="1:19" ht="14.25" customHeight="1" x14ac:dyDescent="0.25">
      <c r="A36" s="11"/>
      <c r="B36" s="11" t="s">
        <v>81</v>
      </c>
      <c r="C36" s="11"/>
      <c r="E36" s="11"/>
      <c r="G36" s="15"/>
    </row>
    <row r="37" spans="1:19" ht="14.25" customHeight="1" x14ac:dyDescent="0.25">
      <c r="A37" s="11"/>
      <c r="B37" s="11"/>
      <c r="C37" s="11"/>
      <c r="E37" s="11"/>
      <c r="F37" s="11" t="s">
        <v>82</v>
      </c>
    </row>
    <row r="38" spans="1:19" ht="14.25" customHeight="1" x14ac:dyDescent="0.25">
      <c r="A38" s="11"/>
      <c r="B38" s="11"/>
      <c r="C38" s="11"/>
      <c r="E38" s="11"/>
      <c r="F38" s="11" t="s">
        <v>83</v>
      </c>
    </row>
    <row r="39" spans="1:19" ht="14.25" customHeight="1" x14ac:dyDescent="0.25">
      <c r="A39" s="11"/>
      <c r="B39" s="11"/>
      <c r="C39" s="11"/>
      <c r="E39" s="11"/>
      <c r="F39" s="11" t="s">
        <v>35</v>
      </c>
    </row>
    <row r="40" spans="1:19" ht="14.25" customHeight="1" x14ac:dyDescent="0.25">
      <c r="A40" s="11"/>
      <c r="B40" s="11"/>
      <c r="C40" s="11"/>
      <c r="E40" s="11"/>
      <c r="F40" s="15" t="s">
        <v>67</v>
      </c>
    </row>
    <row r="41" spans="1:19" ht="14.25" customHeight="1" x14ac:dyDescent="0.25">
      <c r="A41" s="18" t="s">
        <v>43</v>
      </c>
    </row>
    <row r="42" spans="1:19" ht="14.25" customHeight="1" x14ac:dyDescent="0.25">
      <c r="A42" s="16" t="s">
        <v>0</v>
      </c>
      <c r="B42" s="16" t="s">
        <v>8</v>
      </c>
      <c r="C42" s="16" t="s">
        <v>2</v>
      </c>
      <c r="D42" s="16" t="s">
        <v>40</v>
      </c>
      <c r="E42" s="16" t="s">
        <v>46</v>
      </c>
      <c r="F42" s="16" t="s">
        <v>41</v>
      </c>
      <c r="G42" s="16" t="s">
        <v>46</v>
      </c>
      <c r="H42" s="16" t="s">
        <v>3</v>
      </c>
      <c r="I42" s="16" t="s">
        <v>48</v>
      </c>
      <c r="J42" s="16" t="s">
        <v>4</v>
      </c>
      <c r="K42" s="16" t="s">
        <v>46</v>
      </c>
      <c r="L42" s="16" t="s">
        <v>5</v>
      </c>
      <c r="M42" s="16" t="s">
        <v>46</v>
      </c>
      <c r="N42" s="16" t="s">
        <v>6</v>
      </c>
      <c r="O42" s="16" t="s">
        <v>46</v>
      </c>
      <c r="P42" s="16" t="s">
        <v>7</v>
      </c>
      <c r="Q42" s="16" t="s">
        <v>46</v>
      </c>
      <c r="R42" s="16" t="s">
        <v>52</v>
      </c>
      <c r="S42" s="16" t="s">
        <v>46</v>
      </c>
    </row>
    <row r="43" spans="1:19" ht="14.25" customHeight="1" x14ac:dyDescent="0.25">
      <c r="A43" s="17" t="s">
        <v>69</v>
      </c>
      <c r="B43" s="17">
        <v>20100102</v>
      </c>
      <c r="C43" s="17" t="s">
        <v>44</v>
      </c>
      <c r="D43" s="17">
        <v>0.31</v>
      </c>
      <c r="E43" s="17" t="s">
        <v>47</v>
      </c>
      <c r="F43" s="17">
        <v>0.31</v>
      </c>
      <c r="G43" s="17" t="s">
        <v>47</v>
      </c>
      <c r="H43" s="17">
        <v>0.28999999999999998</v>
      </c>
      <c r="I43" s="17" t="s">
        <v>47</v>
      </c>
      <c r="J43" s="17">
        <v>4.41</v>
      </c>
      <c r="K43" s="17" t="s">
        <v>47</v>
      </c>
      <c r="L43" s="17">
        <v>0.35</v>
      </c>
      <c r="M43" s="17" t="s">
        <v>47</v>
      </c>
      <c r="N43" s="17">
        <v>0.95</v>
      </c>
      <c r="O43" s="17" t="s">
        <v>47</v>
      </c>
      <c r="P43" s="17">
        <v>1.1800000000000001E-3</v>
      </c>
      <c r="Q43" s="17" t="s">
        <v>49</v>
      </c>
      <c r="R43" s="17">
        <v>9.3300000000000002E-4</v>
      </c>
      <c r="S43" s="17" t="s">
        <v>49</v>
      </c>
    </row>
    <row r="44" spans="1:19" ht="14.25" customHeight="1" x14ac:dyDescent="0.25">
      <c r="A44" s="17" t="s">
        <v>70</v>
      </c>
      <c r="B44" s="17">
        <v>20200401</v>
      </c>
      <c r="C44" s="17" t="s">
        <v>44</v>
      </c>
      <c r="D44" s="17">
        <v>5.3900000000000003E-2</v>
      </c>
      <c r="E44" s="17" t="s">
        <v>53</v>
      </c>
      <c r="F44" s="17">
        <v>0.14000000000000001</v>
      </c>
      <c r="G44" s="17" t="s">
        <v>45</v>
      </c>
      <c r="H44" s="17">
        <v>1.01</v>
      </c>
      <c r="I44" s="17" t="s">
        <v>50</v>
      </c>
      <c r="J44" s="17">
        <v>3.2</v>
      </c>
      <c r="K44" s="17" t="s">
        <v>50</v>
      </c>
      <c r="L44" s="17">
        <v>8.2000000000000003E-2</v>
      </c>
      <c r="M44" s="17" t="s">
        <v>50</v>
      </c>
      <c r="N44" s="17">
        <v>0.85</v>
      </c>
      <c r="O44" s="17" t="s">
        <v>50</v>
      </c>
      <c r="P44" s="17">
        <v>7.8899999999999993E-5</v>
      </c>
      <c r="Q44" s="17" t="s">
        <v>51</v>
      </c>
      <c r="R44" s="17">
        <v>7.76E-4</v>
      </c>
      <c r="S44" s="17" t="s">
        <v>51</v>
      </c>
    </row>
    <row r="45" spans="1:19" x14ac:dyDescent="0.25">
      <c r="M45" s="26" t="s">
        <v>68</v>
      </c>
    </row>
  </sheetData>
  <sheetProtection algorithmName="SHA-512" hashValue="Eh5C79Yeorep0pBYX0/tba1I8leikLX95IL22FtHGmNivsv2k78KseBGHYCCsAyoFXqHFla0lMb4wMb5+c5bpg==" saltValue="+Rq8tMP4hQhk4v4EG23tVA==" spinCount="100000" sheet="1" objects="1" scenarios="1"/>
  <sortState ref="A5:AW10">
    <sortCondition ref="A5:A10"/>
  </sortState>
  <pageMargins left="0.7" right="0.7" top="0.75" bottom="0.75" header="0.3" footer="0.3"/>
  <pageSetup scale="82" fitToWidth="4" fitToHeight="0"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63</vt:i4>
      </vt:variant>
    </vt:vector>
  </HeadingPairs>
  <TitlesOfParts>
    <vt:vector size="79" baseType="lpstr">
      <vt:lpstr>Facility Information</vt:lpstr>
      <vt:lpstr>Asphalt Plant (AP-1)</vt:lpstr>
      <vt:lpstr>Asphalt Plant (AP-2)</vt:lpstr>
      <vt:lpstr>Asphalt Plant (AP-3)</vt:lpstr>
      <vt:lpstr>Asphalt Plant (AP-4)</vt:lpstr>
      <vt:lpstr>Asphalt Plant (AP-5)</vt:lpstr>
      <vt:lpstr>Asphalt Plant (AP-6)</vt:lpstr>
      <vt:lpstr>Asphalt Plant (AP-7)</vt:lpstr>
      <vt:lpstr>Asphalt Plant (AP-8)</vt:lpstr>
      <vt:lpstr>Asphalt Plant (AP-9)</vt:lpstr>
      <vt:lpstr>Asphalt Plant (AP-10)</vt:lpstr>
      <vt:lpstr>Haul Roads</vt:lpstr>
      <vt:lpstr>Permitted Diesel Engines</vt:lpstr>
      <vt:lpstr>Emission Calculations</vt:lpstr>
      <vt:lpstr>Facility Wide Emissions</vt:lpstr>
      <vt:lpstr>Emission Factors</vt:lpstr>
      <vt:lpstr>apptype</vt:lpstr>
      <vt:lpstr>aptype</vt:lpstr>
      <vt:lpstr>'Asphalt Plant (AP-10)'!CHECK</vt:lpstr>
      <vt:lpstr>'Asphalt Plant (AP-2)'!CHECK</vt:lpstr>
      <vt:lpstr>'Asphalt Plant (AP-3)'!CHECK</vt:lpstr>
      <vt:lpstr>'Asphalt Plant (AP-4)'!CHECK</vt:lpstr>
      <vt:lpstr>'Asphalt Plant (AP-5)'!CHECK</vt:lpstr>
      <vt:lpstr>'Asphalt Plant (AP-6)'!CHECK</vt:lpstr>
      <vt:lpstr>'Asphalt Plant (AP-7)'!CHECK</vt:lpstr>
      <vt:lpstr>'Asphalt Plant (AP-8)'!CHECK</vt:lpstr>
      <vt:lpstr>'Asphalt Plant (AP-9)'!CHECK</vt:lpstr>
      <vt:lpstr>CHECK</vt:lpstr>
      <vt:lpstr>'Asphalt Plant (AP-10)'!ConcreteProcesses</vt:lpstr>
      <vt:lpstr>'Asphalt Plant (AP-2)'!ConcreteProcesses</vt:lpstr>
      <vt:lpstr>'Asphalt Plant (AP-3)'!ConcreteProcesses</vt:lpstr>
      <vt:lpstr>'Asphalt Plant (AP-4)'!ConcreteProcesses</vt:lpstr>
      <vt:lpstr>'Asphalt Plant (AP-5)'!ConcreteProcesses</vt:lpstr>
      <vt:lpstr>'Asphalt Plant (AP-6)'!ConcreteProcesses</vt:lpstr>
      <vt:lpstr>'Asphalt Plant (AP-7)'!ConcreteProcesses</vt:lpstr>
      <vt:lpstr>'Asphalt Plant (AP-8)'!ConcreteProcesses</vt:lpstr>
      <vt:lpstr>'Asphalt Plant (AP-9)'!ConcreteProcesses</vt:lpstr>
      <vt:lpstr>ConcreteProcesses</vt:lpstr>
      <vt:lpstr>control</vt:lpstr>
      <vt:lpstr>'Asphalt Plant (AP-10)'!Fuel</vt:lpstr>
      <vt:lpstr>'Asphalt Plant (AP-2)'!Fuel</vt:lpstr>
      <vt:lpstr>'Asphalt Plant (AP-3)'!Fuel</vt:lpstr>
      <vt:lpstr>'Asphalt Plant (AP-4)'!Fuel</vt:lpstr>
      <vt:lpstr>'Asphalt Plant (AP-5)'!Fuel</vt:lpstr>
      <vt:lpstr>'Asphalt Plant (AP-6)'!Fuel</vt:lpstr>
      <vt:lpstr>'Asphalt Plant (AP-7)'!Fuel</vt:lpstr>
      <vt:lpstr>'Asphalt Plant (AP-8)'!Fuel</vt:lpstr>
      <vt:lpstr>'Asphalt Plant (AP-9)'!Fuel</vt:lpstr>
      <vt:lpstr>Fuel</vt:lpstr>
      <vt:lpstr>Gen</vt:lpstr>
      <vt:lpstr>Gen_1</vt:lpstr>
      <vt:lpstr>NoEmploy</vt:lpstr>
      <vt:lpstr>'Asphalt Plant (AP-10)'!PlantType</vt:lpstr>
      <vt:lpstr>'Asphalt Plant (AP-2)'!PlantType</vt:lpstr>
      <vt:lpstr>'Asphalt Plant (AP-3)'!PlantType</vt:lpstr>
      <vt:lpstr>'Asphalt Plant (AP-4)'!PlantType</vt:lpstr>
      <vt:lpstr>'Asphalt Plant (AP-5)'!PlantType</vt:lpstr>
      <vt:lpstr>'Asphalt Plant (AP-6)'!PlantType</vt:lpstr>
      <vt:lpstr>'Asphalt Plant (AP-7)'!PlantType</vt:lpstr>
      <vt:lpstr>'Asphalt Plant (AP-8)'!PlantType</vt:lpstr>
      <vt:lpstr>'Asphalt Plant (AP-9)'!PlantType</vt:lpstr>
      <vt:lpstr>PlantType</vt:lpstr>
      <vt:lpstr>'Emission Factors'!Print_Area</vt:lpstr>
      <vt:lpstr>'Facility Information'!Print_Area</vt:lpstr>
      <vt:lpstr>'Facility Wide Emissions'!Print_Area</vt:lpstr>
      <vt:lpstr>'Permitted Diesel Engines'!Print_Area</vt:lpstr>
      <vt:lpstr>'Asphalt Plant (AP-10)'!process</vt:lpstr>
      <vt:lpstr>'Asphalt Plant (AP-2)'!process</vt:lpstr>
      <vt:lpstr>'Asphalt Plant (AP-3)'!process</vt:lpstr>
      <vt:lpstr>'Asphalt Plant (AP-4)'!process</vt:lpstr>
      <vt:lpstr>'Asphalt Plant (AP-5)'!process</vt:lpstr>
      <vt:lpstr>'Asphalt Plant (AP-6)'!process</vt:lpstr>
      <vt:lpstr>'Asphalt Plant (AP-7)'!process</vt:lpstr>
      <vt:lpstr>'Asphalt Plant (AP-8)'!process</vt:lpstr>
      <vt:lpstr>'Asphalt Plant (AP-9)'!process</vt:lpstr>
      <vt:lpstr>process</vt:lpstr>
      <vt:lpstr>RoadType</vt:lpstr>
      <vt:lpstr>stack</vt:lpstr>
      <vt:lpstr>Submit</vt:lpstr>
    </vt:vector>
  </TitlesOfParts>
  <Company>IWRC University of Northern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Wittenburg</dc:creator>
  <cp:lastModifiedBy>Page, Nick [DNR]</cp:lastModifiedBy>
  <cp:lastPrinted>2021-01-20T21:57:05Z</cp:lastPrinted>
  <dcterms:created xsi:type="dcterms:W3CDTF">2011-11-02T19:41:52Z</dcterms:created>
  <dcterms:modified xsi:type="dcterms:W3CDTF">2021-08-10T12:10:16Z</dcterms:modified>
</cp:coreProperties>
</file>