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codeName="{3D1A710C-6663-3D7B-7F91-EC182F24A4BC}"/>
  <workbookPr showInkAnnotation="0" codeName="ThisWorkbook"/>
  <mc:AlternateContent xmlns:mc="http://schemas.openxmlformats.org/markup-compatibility/2006">
    <mc:Choice Requires="x15">
      <x15ac:absPath xmlns:x15ac="http://schemas.microsoft.com/office/spreadsheetml/2010/11/ac" url="\\iowa.gov.state.ia.us\data\DNR_AQ_Shared\Emissions Inventory\Minor Sources\IAEAP\Calculators_ADACompliant_Updated_December2018\"/>
    </mc:Choice>
  </mc:AlternateContent>
  <xr:revisionPtr revIDLastSave="0" documentId="8_{F1069144-D133-418D-9858-98F21589B16B}" xr6:coauthVersionLast="36" xr6:coauthVersionMax="36" xr10:uidLastSave="{00000000-0000-0000-0000-000000000000}"/>
  <bookViews>
    <workbookView xWindow="0" yWindow="0" windowWidth="15150" windowHeight="5565" tabRatio="803" xr2:uid="{00000000-000D-0000-FFFF-FFFF00000000}"/>
  </bookViews>
  <sheets>
    <sheet name="Facility Information" sheetId="1" r:id="rId1"/>
    <sheet name="Concrete Plant (CP-1)" sheetId="8" r:id="rId2"/>
    <sheet name="Concrete Plant (CP-2)" sheetId="19" state="hidden" r:id="rId3"/>
    <sheet name="Concrete Plant (CP-3)" sheetId="21" state="hidden" r:id="rId4"/>
    <sheet name="Concrete Plant (CP-4)" sheetId="22" state="hidden" r:id="rId5"/>
    <sheet name="Concrete Plant (CP-5)" sheetId="23" state="hidden" r:id="rId6"/>
    <sheet name="Concrete Plant (CP-6)" sheetId="24" state="hidden" r:id="rId7"/>
    <sheet name="Concrete Plant (CP-7)" sheetId="25" state="hidden" r:id="rId8"/>
    <sheet name="Concrete Plant (CP-8)" sheetId="26" state="hidden" r:id="rId9"/>
    <sheet name="Concrete Plant (CP-9)" sheetId="27" state="hidden" r:id="rId10"/>
    <sheet name="Concrete Plant (CP-10)" sheetId="28" state="hidden" r:id="rId11"/>
    <sheet name="Haul Roads" sheetId="9" r:id="rId12"/>
    <sheet name="Permitted Diesel Engines" sheetId="7" r:id="rId13"/>
    <sheet name="Emission Calculations" sheetId="4" r:id="rId14"/>
    <sheet name="Facility Wide Emissions" sheetId="5" r:id="rId15"/>
    <sheet name="Emission Factors" sheetId="6" r:id="rId16"/>
  </sheets>
  <definedNames>
    <definedName name="apptype">'Facility Information'!$L$4:$L$5</definedName>
    <definedName name="aptype">'Facility Information'!$L$8:$L$9</definedName>
    <definedName name="CHECK" localSheetId="10">'Concrete Plant (CP-10)'!$A$21:$A$22</definedName>
    <definedName name="CHECK" localSheetId="2">'Concrete Plant (CP-2)'!$A$21:$A$22</definedName>
    <definedName name="CHECK" localSheetId="3">'Concrete Plant (CP-3)'!$A$21:$A$22</definedName>
    <definedName name="CHECK" localSheetId="4">'Concrete Plant (CP-4)'!$A$21:$A$22</definedName>
    <definedName name="CHECK" localSheetId="5">'Concrete Plant (CP-5)'!$A$21:$A$22</definedName>
    <definedName name="CHECK" localSheetId="6">'Concrete Plant (CP-6)'!$A$21:$A$22</definedName>
    <definedName name="CHECK" localSheetId="7">'Concrete Plant (CP-7)'!$A$21:$A$22</definedName>
    <definedName name="CHECK" localSheetId="8">'Concrete Plant (CP-8)'!$A$21:$A$22</definedName>
    <definedName name="CHECK" localSheetId="9">'Concrete Plant (CP-9)'!$A$21:$A$22</definedName>
    <definedName name="CHECK">'Concrete Plant (CP-1)'!$A$21:$A$22</definedName>
    <definedName name="CHS" localSheetId="10">#REF!</definedName>
    <definedName name="CHS" localSheetId="2">#REF!</definedName>
    <definedName name="CHS" localSheetId="3">#REF!</definedName>
    <definedName name="CHS" localSheetId="4">#REF!</definedName>
    <definedName name="CHS" localSheetId="5">#REF!</definedName>
    <definedName name="CHS" localSheetId="6">#REF!</definedName>
    <definedName name="CHS" localSheetId="7">#REF!</definedName>
    <definedName name="CHS" localSheetId="8">#REF!</definedName>
    <definedName name="CHS" localSheetId="9">#REF!</definedName>
    <definedName name="CHS">#REF!</definedName>
    <definedName name="CHSCon" localSheetId="10">#REF!</definedName>
    <definedName name="CHSCon" localSheetId="2">#REF!</definedName>
    <definedName name="CHSCon" localSheetId="3">#REF!</definedName>
    <definedName name="CHSCon" localSheetId="4">#REF!</definedName>
    <definedName name="CHSCon" localSheetId="5">#REF!</definedName>
    <definedName name="CHSCon" localSheetId="6">#REF!</definedName>
    <definedName name="CHSCon" localSheetId="7">#REF!</definedName>
    <definedName name="CHSCon" localSheetId="8">#REF!</definedName>
    <definedName name="CHSCon" localSheetId="9">#REF!</definedName>
    <definedName name="CHSCon">#REF!</definedName>
    <definedName name="CHSControl" localSheetId="10">#REF!</definedName>
    <definedName name="CHSControl" localSheetId="2">#REF!</definedName>
    <definedName name="CHSControl" localSheetId="3">#REF!</definedName>
    <definedName name="CHSControl" localSheetId="4">#REF!</definedName>
    <definedName name="CHSControl" localSheetId="5">#REF!</definedName>
    <definedName name="CHSControl" localSheetId="6">#REF!</definedName>
    <definedName name="CHSControl" localSheetId="7">#REF!</definedName>
    <definedName name="CHSControl" localSheetId="8">#REF!</definedName>
    <definedName name="CHSControl" localSheetId="9">#REF!</definedName>
    <definedName name="CHSControl">#REF!</definedName>
    <definedName name="CleanHandleStore" localSheetId="10">#REF!</definedName>
    <definedName name="CleanHandleStore" localSheetId="2">#REF!</definedName>
    <definedName name="CleanHandleStore" localSheetId="3">#REF!</definedName>
    <definedName name="CleanHandleStore" localSheetId="4">#REF!</definedName>
    <definedName name="CleanHandleStore" localSheetId="5">#REF!</definedName>
    <definedName name="CleanHandleStore" localSheetId="6">#REF!</definedName>
    <definedName name="CleanHandleStore" localSheetId="7">#REF!</definedName>
    <definedName name="CleanHandleStore" localSheetId="8">#REF!</definedName>
    <definedName name="CleanHandleStore" localSheetId="9">#REF!</definedName>
    <definedName name="CleanHandleStore">#REF!</definedName>
    <definedName name="Combust" localSheetId="10">#REF!</definedName>
    <definedName name="Combust" localSheetId="2">#REF!</definedName>
    <definedName name="Combust" localSheetId="3">#REF!</definedName>
    <definedName name="Combust" localSheetId="4">#REF!</definedName>
    <definedName name="Combust" localSheetId="5">#REF!</definedName>
    <definedName name="Combust" localSheetId="6">#REF!</definedName>
    <definedName name="Combust" localSheetId="7">#REF!</definedName>
    <definedName name="Combust" localSheetId="8">#REF!</definedName>
    <definedName name="Combust" localSheetId="9">#REF!</definedName>
    <definedName name="Combust">#REF!</definedName>
    <definedName name="Combustion" localSheetId="10">#REF!</definedName>
    <definedName name="Combustion" localSheetId="2">#REF!</definedName>
    <definedName name="Combustion" localSheetId="3">#REF!</definedName>
    <definedName name="Combustion" localSheetId="4">#REF!</definedName>
    <definedName name="Combustion" localSheetId="5">#REF!</definedName>
    <definedName name="Combustion" localSheetId="6">#REF!</definedName>
    <definedName name="Combustion" localSheetId="7">#REF!</definedName>
    <definedName name="Combustion" localSheetId="8">#REF!</definedName>
    <definedName name="Combustion" localSheetId="9">#REF!</definedName>
    <definedName name="Combustion">#REF!</definedName>
    <definedName name="ConcreteProcesses" localSheetId="10">'Concrete Plant (CP-10)'!$A$24:$A$34</definedName>
    <definedName name="ConcreteProcesses" localSheetId="2">'Concrete Plant (CP-2)'!$A$24:$A$34</definedName>
    <definedName name="ConcreteProcesses" localSheetId="3">'Concrete Plant (CP-3)'!$A$24:$A$34</definedName>
    <definedName name="ConcreteProcesses" localSheetId="4">'Concrete Plant (CP-4)'!$A$24:$A$34</definedName>
    <definedName name="ConcreteProcesses" localSheetId="5">'Concrete Plant (CP-5)'!$A$24:$A$34</definedName>
    <definedName name="ConcreteProcesses" localSheetId="6">'Concrete Plant (CP-6)'!$A$24:$A$34</definedName>
    <definedName name="ConcreteProcesses" localSheetId="7">'Concrete Plant (CP-7)'!$A$24:$A$34</definedName>
    <definedName name="ConcreteProcesses" localSheetId="8">'Concrete Plant (CP-8)'!$A$24:$A$34</definedName>
    <definedName name="ConcreteProcesses" localSheetId="9">'Concrete Plant (CP-9)'!$A$24:$A$34</definedName>
    <definedName name="ConcreteProcesses">'Concrete Plant (CP-1)'!$A$24:$A$34</definedName>
    <definedName name="control">'Haul Roads'!$A$10:$A$11</definedName>
    <definedName name="Crushing" localSheetId="10">#REF!</definedName>
    <definedName name="Crushing" localSheetId="2">#REF!</definedName>
    <definedName name="Crushing" localSheetId="3">#REF!</definedName>
    <definedName name="Crushing" localSheetId="4">#REF!</definedName>
    <definedName name="Crushing" localSheetId="5">#REF!</definedName>
    <definedName name="Crushing" localSheetId="6">#REF!</definedName>
    <definedName name="Crushing" localSheetId="7">#REF!</definedName>
    <definedName name="Crushing" localSheetId="8">#REF!</definedName>
    <definedName name="Crushing" localSheetId="9">#REF!</definedName>
    <definedName name="Crushing">#REF!</definedName>
    <definedName name="Dryer" localSheetId="10">#REF!</definedName>
    <definedName name="Dryer" localSheetId="2">#REF!</definedName>
    <definedName name="Dryer" localSheetId="3">#REF!</definedName>
    <definedName name="Dryer" localSheetId="4">#REF!</definedName>
    <definedName name="Dryer" localSheetId="5">#REF!</definedName>
    <definedName name="Dryer" localSheetId="6">#REF!</definedName>
    <definedName name="Dryer" localSheetId="7">#REF!</definedName>
    <definedName name="Dryer" localSheetId="8">#REF!</definedName>
    <definedName name="Dryer" localSheetId="9">#REF!</definedName>
    <definedName name="Dryer">#REF!</definedName>
    <definedName name="Drying" localSheetId="10">#REF!</definedName>
    <definedName name="Drying" localSheetId="2">#REF!</definedName>
    <definedName name="Drying" localSheetId="3">#REF!</definedName>
    <definedName name="Drying" localSheetId="4">#REF!</definedName>
    <definedName name="Drying" localSheetId="5">#REF!</definedName>
    <definedName name="Drying" localSheetId="6">#REF!</definedName>
    <definedName name="Drying" localSheetId="7">#REF!</definedName>
    <definedName name="Drying" localSheetId="8">#REF!</definedName>
    <definedName name="Drying" localSheetId="9">#REF!</definedName>
    <definedName name="Drying">#REF!</definedName>
    <definedName name="DynPrint10" localSheetId="10">OFFSET('Concrete Plant (CP-10)'!$B$1,0,0,SUM('Concrete Plant (CP-10)'!$D$4*16+19),12)</definedName>
    <definedName name="DynPrint2">OFFSET('Concrete Plant (CP-2)'!$B$1,0,0,SUM('Concrete Plant (CP-2)'!$D$4*16+18),12)</definedName>
    <definedName name="DynPrint3" localSheetId="3">OFFSET('Concrete Plant (CP-3)'!$B$1,0,0,SUM('Concrete Plant (CP-3)'!$D$4*16+19),12)</definedName>
    <definedName name="DynPrint4" localSheetId="4">OFFSET('Concrete Plant (CP-4)'!$B$1,0,0,SUM('Concrete Plant (CP-4)'!$D$4*16+19),12)</definedName>
    <definedName name="DynPrint5" localSheetId="5">OFFSET('Concrete Plant (CP-5)'!$B$1,0,0,SUM('Concrete Plant (CP-5)'!$D$4*16+19),12)</definedName>
    <definedName name="DynPrint6" localSheetId="6">OFFSET('Concrete Plant (CP-6)'!$B$1,0,0,SUM('Concrete Plant (CP-6)'!$D$4*16+19),12)</definedName>
    <definedName name="DynPrint7" localSheetId="7">OFFSET('Concrete Plant (CP-7)'!$B$1,0,0,SUM('Concrete Plant (CP-7)'!$D$4*16+19),12)</definedName>
    <definedName name="DynPrint8" localSheetId="8">OFFSET('Concrete Plant (CP-8)'!$B$1,0,0,SUM('Concrete Plant (CP-8)'!$D$4*16+19),12)</definedName>
    <definedName name="DynPrint9" localSheetId="9">OFFSET('Concrete Plant (CP-9)'!$B$1,0,0,SUM('Concrete Plant (CP-9)'!$D$4*16+18),12)</definedName>
    <definedName name="DynPrt1" localSheetId="1">OFFSET('Concrete Plant (CP-1)'!$B$1,0,0,SUM('Concrete Plant (CP-1)'!$D$4*16+18),12)</definedName>
    <definedName name="Employ" localSheetId="10">'Facility Information'!#REF!</definedName>
    <definedName name="Employ" localSheetId="2">'Facility Information'!#REF!</definedName>
    <definedName name="Employ" localSheetId="3">'Facility Information'!#REF!</definedName>
    <definedName name="Employ" localSheetId="4">'Facility Information'!#REF!</definedName>
    <definedName name="Employ" localSheetId="5">'Facility Information'!#REF!</definedName>
    <definedName name="Employ" localSheetId="6">'Facility Information'!#REF!</definedName>
    <definedName name="Employ" localSheetId="7">'Facility Information'!#REF!</definedName>
    <definedName name="Employ" localSheetId="8">'Facility Information'!#REF!</definedName>
    <definedName name="Employ" localSheetId="9">'Facility Information'!#REF!</definedName>
    <definedName name="Employ">'Facility Information'!#REF!</definedName>
    <definedName name="Gen">'Permitted Diesel Engines'!$U$7:$U$7</definedName>
    <definedName name="Generator" localSheetId="10">#REF!</definedName>
    <definedName name="Generator" localSheetId="2">#REF!</definedName>
    <definedName name="Generator" localSheetId="3">#REF!</definedName>
    <definedName name="Generator" localSheetId="4">#REF!</definedName>
    <definedName name="Generator" localSheetId="5">#REF!</definedName>
    <definedName name="Generator" localSheetId="6">#REF!</definedName>
    <definedName name="Generator" localSheetId="7">#REF!</definedName>
    <definedName name="Generator" localSheetId="8">#REF!</definedName>
    <definedName name="Generator" localSheetId="9">#REF!</definedName>
    <definedName name="Generator">#REF!</definedName>
    <definedName name="idontknow" localSheetId="10">#REF!</definedName>
    <definedName name="idontknow" localSheetId="3">#REF!</definedName>
    <definedName name="idontknow" localSheetId="4">#REF!</definedName>
    <definedName name="idontknow" localSheetId="5">#REF!</definedName>
    <definedName name="idontknow" localSheetId="6">#REF!</definedName>
    <definedName name="idontknow" localSheetId="7">#REF!</definedName>
    <definedName name="idontknow" localSheetId="8">#REF!</definedName>
    <definedName name="idontknow" localSheetId="9">#REF!</definedName>
    <definedName name="idontknow">#REF!</definedName>
    <definedName name="Load" localSheetId="10">#REF!</definedName>
    <definedName name="Load" localSheetId="2">#REF!</definedName>
    <definedName name="Load" localSheetId="3">#REF!</definedName>
    <definedName name="Load" localSheetId="4">#REF!</definedName>
    <definedName name="Load" localSheetId="5">#REF!</definedName>
    <definedName name="Load" localSheetId="6">#REF!</definedName>
    <definedName name="Load" localSheetId="7">#REF!</definedName>
    <definedName name="Load" localSheetId="8">#REF!</definedName>
    <definedName name="Load" localSheetId="9">#REF!</definedName>
    <definedName name="Load">#REF!</definedName>
    <definedName name="LoadCon" localSheetId="10">#REF!</definedName>
    <definedName name="LoadCon" localSheetId="2">#REF!</definedName>
    <definedName name="LoadCon" localSheetId="3">#REF!</definedName>
    <definedName name="LoadCon" localSheetId="4">#REF!</definedName>
    <definedName name="LoadCon" localSheetId="5">#REF!</definedName>
    <definedName name="LoadCon" localSheetId="6">#REF!</definedName>
    <definedName name="LoadCon" localSheetId="7">#REF!</definedName>
    <definedName name="LoadCon" localSheetId="8">#REF!</definedName>
    <definedName name="LoadCon" localSheetId="9">#REF!</definedName>
    <definedName name="LoadCon">#REF!</definedName>
    <definedName name="Loading" localSheetId="10">#REF!</definedName>
    <definedName name="Loading" localSheetId="2">#REF!</definedName>
    <definedName name="Loading" localSheetId="3">#REF!</definedName>
    <definedName name="Loading" localSheetId="4">#REF!</definedName>
    <definedName name="Loading" localSheetId="5">#REF!</definedName>
    <definedName name="Loading" localSheetId="6">#REF!</definedName>
    <definedName name="Loading" localSheetId="7">#REF!</definedName>
    <definedName name="Loading" localSheetId="8">#REF!</definedName>
    <definedName name="Loading" localSheetId="9">#REF!</definedName>
    <definedName name="Loading">#REF!</definedName>
    <definedName name="Loadout" localSheetId="10">#REF!</definedName>
    <definedName name="Loadout" localSheetId="2">#REF!</definedName>
    <definedName name="Loadout" localSheetId="3">#REF!</definedName>
    <definedName name="Loadout" localSheetId="4">#REF!</definedName>
    <definedName name="Loadout" localSheetId="5">#REF!</definedName>
    <definedName name="Loadout" localSheetId="6">#REF!</definedName>
    <definedName name="Loadout" localSheetId="7">#REF!</definedName>
    <definedName name="Loadout" localSheetId="8">#REF!</definedName>
    <definedName name="Loadout" localSheetId="9">#REF!</definedName>
    <definedName name="Loadout">#REF!</definedName>
    <definedName name="LoadoutControl" localSheetId="10">#REF!</definedName>
    <definedName name="LoadoutControl" localSheetId="2">#REF!</definedName>
    <definedName name="LoadoutControl" localSheetId="3">#REF!</definedName>
    <definedName name="LoadoutControl" localSheetId="4">#REF!</definedName>
    <definedName name="LoadoutControl" localSheetId="5">#REF!</definedName>
    <definedName name="LoadoutControl" localSheetId="6">#REF!</definedName>
    <definedName name="LoadoutControl" localSheetId="7">#REF!</definedName>
    <definedName name="LoadoutControl" localSheetId="8">#REF!</definedName>
    <definedName name="LoadoutControl" localSheetId="9">#REF!</definedName>
    <definedName name="LoadoutControl">#REF!</definedName>
    <definedName name="LP_1">OFFSET('Haul Roads'!$A$13,0,0,MATCH("x",'Haul Roads'!$A$13:$A$22,-1),1)</definedName>
    <definedName name="NoEmploy">'Facility Information'!$K$13:$K$14</definedName>
    <definedName name="plantnames">OFFSET('Permitted Diesel Engines'!$A$9,0,0,MATCH("*",'Permitted Diesel Engines'!$A$9:$A$18,-1),1)</definedName>
    <definedName name="PlantNumber">OFFSET('Haul Roads'!$A$13,0,0,MATCH("*",'Haul Roads'!$A$13:$A$22,-1),1)</definedName>
    <definedName name="_xlnm.Print_Area" localSheetId="1">'Concrete Plant (CP-1)'!DynPrt1,'Concrete Plant (CP-1)'!$P$1:$V$49</definedName>
    <definedName name="_xlnm.Print_Area" localSheetId="10">'Concrete Plant (CP-10)'!DynPrint10,'Concrete Plant (CP-10)'!$P$1:$V$49</definedName>
    <definedName name="_xlnm.Print_Area" localSheetId="2">[0]!DynPrint2,'Concrete Plant (CP-2)'!$P$1:$V$49</definedName>
    <definedName name="_xlnm.Print_Area" localSheetId="3">'Concrete Plant (CP-3)'!DynPrint3,'Concrete Plant (CP-3)'!$P$1:$V$50</definedName>
    <definedName name="_xlnm.Print_Area" localSheetId="4">'Concrete Plant (CP-4)'!DynPrint4,'Concrete Plant (CP-4)'!$P$1:$V$51</definedName>
    <definedName name="_xlnm.Print_Area" localSheetId="5">'Concrete Plant (CP-5)'!DynPrint5,'Concrete Plant (CP-5)'!$P$1:$V$50</definedName>
    <definedName name="_xlnm.Print_Area" localSheetId="6">'Concrete Plant (CP-6)'!DynPrint6,'Concrete Plant (CP-6)'!$P$1:$V$51</definedName>
    <definedName name="_xlnm.Print_Area" localSheetId="7">'Concrete Plant (CP-7)'!DynPrint7,'Concrete Plant (CP-7)'!$P$1:$V$50</definedName>
    <definedName name="_xlnm.Print_Area" localSheetId="8">'Concrete Plant (CP-8)'!DynPrint8,'Concrete Plant (CP-8)'!$P$1:$V$51</definedName>
    <definedName name="_xlnm.Print_Area" localSheetId="9">'Concrete Plant (CP-9)'!DynPrint9,'Concrete Plant (CP-9)'!$P$1:$V$49</definedName>
    <definedName name="_xlnm.Print_Area" localSheetId="13">'Emission Calculations'!$A$1:$M$41,'Emission Calculations'!$A$43:$M$68</definedName>
    <definedName name="_xlnm.Print_Area" localSheetId="0">'Facility Information'!$A$1:$G$21</definedName>
    <definedName name="_xlnm.Print_Area" localSheetId="14">'Facility Wide Emissions'!$A$1:$J$68,'Facility Wide Emissions'!$A$83:$J$146</definedName>
    <definedName name="_xlnm.Print_Area" localSheetId="12">'Permitted Diesel Engines'!$C$1:$BC$50,'Permitted Diesel Engines'!$Z$51:$AN$62</definedName>
    <definedName name="_xlnm.Print_Titles" localSheetId="13">'Emission Calculations'!$A:$A</definedName>
    <definedName name="_xlnm.Print_Titles" localSheetId="15">'Emission Factors'!$A:$A</definedName>
    <definedName name="_xlnm.Print_Titles" localSheetId="11">'Haul Roads'!$B:$F</definedName>
    <definedName name="process" localSheetId="10">'Concrete Plant (CP-10)'!$A$24:$A$31</definedName>
    <definedName name="process" localSheetId="2">'Concrete Plant (CP-2)'!$A$24:$A$31</definedName>
    <definedName name="process" localSheetId="3">'Concrete Plant (CP-3)'!$A$24:$A$31</definedName>
    <definedName name="process" localSheetId="4">'Concrete Plant (CP-4)'!$A$24:$A$31</definedName>
    <definedName name="process" localSheetId="5">'Concrete Plant (CP-5)'!$A$24:$A$31</definedName>
    <definedName name="process" localSheetId="6">'Concrete Plant (CP-6)'!$A$24:$A$31</definedName>
    <definedName name="process" localSheetId="7">'Concrete Plant (CP-7)'!$A$24:$A$31</definedName>
    <definedName name="process" localSheetId="8">'Concrete Plant (CP-8)'!$A$24:$A$31</definedName>
    <definedName name="process" localSheetId="9">'Concrete Plant (CP-9)'!$A$24:$A$31</definedName>
    <definedName name="process">'Concrete Plant (CP-1)'!$A$24:$A$31</definedName>
    <definedName name="Receive" localSheetId="10">#REF!</definedName>
    <definedName name="Receive" localSheetId="2">#REF!</definedName>
    <definedName name="Receive" localSheetId="3">#REF!</definedName>
    <definedName name="Receive" localSheetId="4">#REF!</definedName>
    <definedName name="Receive" localSheetId="5">#REF!</definedName>
    <definedName name="Receive" localSheetId="6">#REF!</definedName>
    <definedName name="Receive" localSheetId="7">#REF!</definedName>
    <definedName name="Receive" localSheetId="8">#REF!</definedName>
    <definedName name="Receive" localSheetId="9">#REF!</definedName>
    <definedName name="Receive">#REF!</definedName>
    <definedName name="ReceiveCon" localSheetId="10">#REF!</definedName>
    <definedName name="ReceiveCon" localSheetId="2">#REF!</definedName>
    <definedName name="ReceiveCon" localSheetId="3">#REF!</definedName>
    <definedName name="ReceiveCon" localSheetId="4">#REF!</definedName>
    <definedName name="ReceiveCon" localSheetId="5">#REF!</definedName>
    <definedName name="ReceiveCon" localSheetId="6">#REF!</definedName>
    <definedName name="ReceiveCon" localSheetId="7">#REF!</definedName>
    <definedName name="ReceiveCon" localSheetId="8">#REF!</definedName>
    <definedName name="ReceiveCon" localSheetId="9">#REF!</definedName>
    <definedName name="ReceiveCon">#REF!</definedName>
    <definedName name="ReceiveControl" localSheetId="10">#REF!</definedName>
    <definedName name="ReceiveControl" localSheetId="2">#REF!</definedName>
    <definedName name="ReceiveControl" localSheetId="3">#REF!</definedName>
    <definedName name="ReceiveControl" localSheetId="4">#REF!</definedName>
    <definedName name="ReceiveControl" localSheetId="5">#REF!</definedName>
    <definedName name="ReceiveControl" localSheetId="6">#REF!</definedName>
    <definedName name="ReceiveControl" localSheetId="7">#REF!</definedName>
    <definedName name="ReceiveControl" localSheetId="8">#REF!</definedName>
    <definedName name="ReceiveControl" localSheetId="9">#REF!</definedName>
    <definedName name="ReceiveControl">#REF!</definedName>
    <definedName name="Receiving" localSheetId="10">#REF!</definedName>
    <definedName name="Receiving" localSheetId="2">#REF!</definedName>
    <definedName name="Receiving" localSheetId="3">#REF!</definedName>
    <definedName name="Receiving" localSheetId="4">#REF!</definedName>
    <definedName name="Receiving" localSheetId="5">#REF!</definedName>
    <definedName name="Receiving" localSheetId="6">#REF!</definedName>
    <definedName name="Receiving" localSheetId="7">#REF!</definedName>
    <definedName name="Receiving" localSheetId="8">#REF!</definedName>
    <definedName name="Receiving" localSheetId="9">#REF!</definedName>
    <definedName name="Receiving">#REF!</definedName>
    <definedName name="RoadCon" localSheetId="10">#REF!</definedName>
    <definedName name="RoadCon" localSheetId="2">#REF!</definedName>
    <definedName name="RoadCon" localSheetId="3">#REF!</definedName>
    <definedName name="RoadCon" localSheetId="4">#REF!</definedName>
    <definedName name="RoadCon" localSheetId="5">#REF!</definedName>
    <definedName name="RoadCon" localSheetId="6">#REF!</definedName>
    <definedName name="RoadCon" localSheetId="7">#REF!</definedName>
    <definedName name="RoadCon" localSheetId="8">#REF!</definedName>
    <definedName name="RoadCon" localSheetId="9">#REF!</definedName>
    <definedName name="RoadCon">#REF!</definedName>
    <definedName name="RoadType">'Haul Roads'!$A$7:$A$8</definedName>
    <definedName name="stack">'Permitted Diesel Engines'!$A$61:$A$64</definedName>
    <definedName name="Submit">'Facility Information'!$K$9:$K$10</definedName>
    <definedName name="YesNO" localSheetId="10">#REF!</definedName>
    <definedName name="YesNO" localSheetId="2">#REF!</definedName>
    <definedName name="YesNO" localSheetId="3">#REF!</definedName>
    <definedName name="YesNO" localSheetId="4">#REF!</definedName>
    <definedName name="YesNO" localSheetId="5">#REF!</definedName>
    <definedName name="YesNO" localSheetId="6">#REF!</definedName>
    <definedName name="YesNO" localSheetId="7">#REF!</definedName>
    <definedName name="YesNO" localSheetId="8">#REF!</definedName>
    <definedName name="YesNO" localSheetId="9">#REF!</definedName>
    <definedName name="YesNO">#REF!</definedName>
    <definedName name="yn" localSheetId="10">'Facility Information'!#REF!</definedName>
    <definedName name="yn" localSheetId="2">'Facility Information'!#REF!</definedName>
    <definedName name="yn" localSheetId="3">'Facility Information'!#REF!</definedName>
    <definedName name="yn" localSheetId="4">'Facility Information'!#REF!</definedName>
    <definedName name="yn" localSheetId="5">'Facility Information'!#REF!</definedName>
    <definedName name="yn" localSheetId="6">'Facility Information'!#REF!</definedName>
    <definedName name="yn" localSheetId="7">'Facility Information'!#REF!</definedName>
    <definedName name="yn" localSheetId="8">'Facility Information'!#REF!</definedName>
    <definedName name="yn" localSheetId="9">'Facility Information'!#REF!</definedName>
    <definedName name="yn">'Facility Information'!#REF!</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R4" i="19" l="1"/>
  <c r="Q4" i="19"/>
  <c r="R14" i="25" l="1"/>
  <c r="Q14" i="25"/>
  <c r="R13" i="25"/>
  <c r="Q13" i="25"/>
  <c r="R12" i="25"/>
  <c r="Q12" i="25"/>
  <c r="R11" i="25"/>
  <c r="Q11" i="25"/>
  <c r="R10" i="25"/>
  <c r="Q10" i="25"/>
  <c r="R9" i="25"/>
  <c r="Q9" i="25"/>
  <c r="R8" i="25"/>
  <c r="Q8" i="25"/>
  <c r="R7" i="25"/>
  <c r="Q7" i="25"/>
  <c r="R6" i="25"/>
  <c r="Q6" i="25"/>
  <c r="R5" i="25"/>
  <c r="Q5" i="25"/>
  <c r="R4" i="25"/>
  <c r="Q4" i="25"/>
  <c r="Q4" i="26"/>
  <c r="R14" i="26"/>
  <c r="Q14" i="26"/>
  <c r="R13" i="26"/>
  <c r="Q13" i="26"/>
  <c r="R12" i="26"/>
  <c r="Q12" i="26"/>
  <c r="R11" i="26"/>
  <c r="Q11" i="26"/>
  <c r="R10" i="26"/>
  <c r="Q10" i="26"/>
  <c r="R9" i="26"/>
  <c r="Q9" i="26"/>
  <c r="R8" i="26"/>
  <c r="Q8" i="26"/>
  <c r="R7" i="26"/>
  <c r="Q7" i="26"/>
  <c r="R6" i="26"/>
  <c r="Q6" i="26"/>
  <c r="R5" i="26"/>
  <c r="Q5" i="26"/>
  <c r="R4" i="26"/>
  <c r="Q4" i="27"/>
  <c r="R14" i="27"/>
  <c r="Q14" i="27"/>
  <c r="R13" i="27"/>
  <c r="Q13" i="27"/>
  <c r="R12" i="27"/>
  <c r="Q12" i="27"/>
  <c r="R11" i="27"/>
  <c r="Q11" i="27"/>
  <c r="R10" i="27"/>
  <c r="Q10" i="27"/>
  <c r="R9" i="27"/>
  <c r="Q9" i="27"/>
  <c r="R8" i="27"/>
  <c r="Q8" i="27"/>
  <c r="R7" i="27"/>
  <c r="Q7" i="27"/>
  <c r="R6" i="27"/>
  <c r="Q6" i="27"/>
  <c r="R5" i="27"/>
  <c r="Q5" i="27"/>
  <c r="R4" i="27"/>
  <c r="Q4" i="22"/>
  <c r="Q4" i="23"/>
  <c r="Q4" i="24"/>
  <c r="R14" i="24"/>
  <c r="Q14" i="24"/>
  <c r="R13" i="24"/>
  <c r="Q13" i="24"/>
  <c r="R12" i="24"/>
  <c r="Q12" i="24"/>
  <c r="R11" i="24"/>
  <c r="Q11" i="24"/>
  <c r="R10" i="24"/>
  <c r="Q10" i="24"/>
  <c r="R9" i="24"/>
  <c r="Q9" i="24"/>
  <c r="R8" i="24"/>
  <c r="Q8" i="24"/>
  <c r="R7" i="24"/>
  <c r="Q7" i="24"/>
  <c r="R6" i="24"/>
  <c r="Q6" i="24"/>
  <c r="R5" i="24"/>
  <c r="Q5" i="24"/>
  <c r="R4" i="24"/>
  <c r="Q11" i="23"/>
  <c r="R10" i="23"/>
  <c r="Q10" i="23"/>
  <c r="R9" i="23"/>
  <c r="Q9" i="23"/>
  <c r="R8" i="23"/>
  <c r="Q8" i="23"/>
  <c r="R7" i="23"/>
  <c r="Q7" i="23"/>
  <c r="R6" i="23"/>
  <c r="Q6" i="23"/>
  <c r="R5" i="23"/>
  <c r="Q5" i="23"/>
  <c r="R4" i="23"/>
  <c r="R14" i="23"/>
  <c r="Q14" i="23"/>
  <c r="R13" i="23"/>
  <c r="Q13" i="23"/>
  <c r="R12" i="23"/>
  <c r="Q12" i="23"/>
  <c r="R11" i="23"/>
  <c r="R4" i="22"/>
  <c r="R14" i="22"/>
  <c r="Q14" i="22"/>
  <c r="R13" i="22"/>
  <c r="Q13" i="22"/>
  <c r="R12" i="22"/>
  <c r="Q12" i="22"/>
  <c r="R11" i="22"/>
  <c r="Q11" i="22"/>
  <c r="R10" i="22"/>
  <c r="Q10" i="22"/>
  <c r="R9" i="22"/>
  <c r="Q9" i="22"/>
  <c r="R8" i="22"/>
  <c r="Q8" i="22"/>
  <c r="R7" i="22"/>
  <c r="Q7" i="22"/>
  <c r="R6" i="22"/>
  <c r="Q6" i="22"/>
  <c r="R5" i="22"/>
  <c r="Q5" i="22"/>
  <c r="Q4" i="21"/>
  <c r="R14" i="21"/>
  <c r="R13" i="21"/>
  <c r="R12" i="21"/>
  <c r="R11" i="21"/>
  <c r="R10" i="21"/>
  <c r="R9" i="21"/>
  <c r="R8" i="21"/>
  <c r="R7" i="21"/>
  <c r="R6" i="21"/>
  <c r="R5" i="21"/>
  <c r="R4" i="21"/>
  <c r="Q14" i="21"/>
  <c r="Q13" i="21"/>
  <c r="Q12" i="21"/>
  <c r="Q11" i="21"/>
  <c r="Q10" i="21"/>
  <c r="Q9" i="21"/>
  <c r="Q8" i="21"/>
  <c r="Q7" i="21"/>
  <c r="Q6" i="21"/>
  <c r="Q5" i="21"/>
  <c r="Q4" i="8"/>
  <c r="Q9" i="19"/>
  <c r="R8" i="19"/>
  <c r="R7" i="19"/>
  <c r="R6" i="19"/>
  <c r="R5" i="19"/>
  <c r="R14" i="19"/>
  <c r="Q14" i="19"/>
  <c r="R13" i="19"/>
  <c r="Q13" i="19"/>
  <c r="R12" i="19"/>
  <c r="Q12" i="19"/>
  <c r="R11" i="19"/>
  <c r="Q11" i="19"/>
  <c r="R10" i="19"/>
  <c r="Q10" i="19"/>
  <c r="R9" i="19"/>
  <c r="Q8" i="19"/>
  <c r="Q7" i="19"/>
  <c r="Q6" i="19"/>
  <c r="Q5" i="19"/>
  <c r="Q14" i="8"/>
  <c r="Q13" i="8"/>
  <c r="Q12" i="8"/>
  <c r="Q11" i="8"/>
  <c r="Q10" i="8"/>
  <c r="R9" i="8"/>
  <c r="Q9" i="8"/>
  <c r="Q8" i="8"/>
  <c r="Q7" i="8"/>
  <c r="Q6" i="8"/>
  <c r="Q5" i="8"/>
  <c r="R14" i="8"/>
  <c r="R13" i="8"/>
  <c r="R12" i="8"/>
  <c r="R11" i="8"/>
  <c r="R10" i="8"/>
  <c r="R8" i="8"/>
  <c r="R7" i="8"/>
  <c r="Q17" i="8"/>
  <c r="R6" i="8"/>
  <c r="R5" i="8"/>
  <c r="R4" i="8"/>
  <c r="Q31" i="19" l="1"/>
  <c r="T31" i="19" s="1"/>
  <c r="Q31" i="21"/>
  <c r="Q45" i="22"/>
  <c r="Q31" i="23"/>
  <c r="Q31" i="24"/>
  <c r="T31" i="24" s="1"/>
  <c r="U31" i="24" s="1"/>
  <c r="Q31" i="25"/>
  <c r="T31" i="25" s="1"/>
  <c r="U31" i="25" s="1"/>
  <c r="Q45" i="26"/>
  <c r="T45" i="26" s="1"/>
  <c r="U45" i="26" s="1"/>
  <c r="Q44" i="8"/>
  <c r="AE7" i="9"/>
  <c r="AH8" i="7"/>
  <c r="AH9" i="7"/>
  <c r="AH10" i="7"/>
  <c r="AH11"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8" i="7"/>
  <c r="AI8"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8" i="7"/>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7" i="9"/>
  <c r="N174" i="28"/>
  <c r="M174" i="28"/>
  <c r="N173" i="28"/>
  <c r="M173" i="28"/>
  <c r="N172" i="28"/>
  <c r="M172" i="28"/>
  <c r="N171" i="28"/>
  <c r="M171" i="28"/>
  <c r="N170" i="28"/>
  <c r="M170" i="28"/>
  <c r="N169" i="28"/>
  <c r="M169" i="28"/>
  <c r="N168" i="28"/>
  <c r="M168" i="28"/>
  <c r="N167" i="28"/>
  <c r="M167" i="28"/>
  <c r="N166" i="28"/>
  <c r="M166" i="28"/>
  <c r="N165" i="28"/>
  <c r="M165" i="28"/>
  <c r="N158" i="28"/>
  <c r="M158" i="28"/>
  <c r="N157" i="28"/>
  <c r="M157" i="28"/>
  <c r="N156" i="28"/>
  <c r="M156" i="28"/>
  <c r="N155" i="28"/>
  <c r="M155" i="28"/>
  <c r="N154" i="28"/>
  <c r="M154" i="28"/>
  <c r="N153" i="28"/>
  <c r="M153" i="28"/>
  <c r="N152" i="28"/>
  <c r="M152" i="28"/>
  <c r="N151" i="28"/>
  <c r="M151" i="28"/>
  <c r="N150" i="28"/>
  <c r="M150" i="28"/>
  <c r="N149" i="28"/>
  <c r="M149" i="28"/>
  <c r="N141" i="28"/>
  <c r="M141" i="28"/>
  <c r="N140" i="28"/>
  <c r="M140" i="28"/>
  <c r="N139" i="28"/>
  <c r="M139" i="28"/>
  <c r="N138" i="28"/>
  <c r="M138" i="28"/>
  <c r="N137" i="28"/>
  <c r="M137" i="28"/>
  <c r="N136" i="28"/>
  <c r="M136" i="28"/>
  <c r="N135" i="28"/>
  <c r="M135" i="28"/>
  <c r="N134" i="28"/>
  <c r="M134" i="28"/>
  <c r="N133" i="28"/>
  <c r="M133" i="28"/>
  <c r="N132" i="28"/>
  <c r="M132" i="28"/>
  <c r="N125" i="28"/>
  <c r="M125" i="28"/>
  <c r="N124" i="28"/>
  <c r="M124" i="28"/>
  <c r="N123" i="28"/>
  <c r="M123" i="28"/>
  <c r="N122" i="28"/>
  <c r="M122" i="28"/>
  <c r="N121" i="28"/>
  <c r="M121" i="28"/>
  <c r="N120" i="28"/>
  <c r="M120" i="28"/>
  <c r="N119" i="28"/>
  <c r="M119" i="28"/>
  <c r="N118" i="28"/>
  <c r="M118" i="28"/>
  <c r="N117" i="28"/>
  <c r="M117" i="28"/>
  <c r="N116" i="28"/>
  <c r="M116" i="28"/>
  <c r="N109" i="28"/>
  <c r="M109" i="28"/>
  <c r="N108" i="28"/>
  <c r="M108" i="28"/>
  <c r="N107" i="28"/>
  <c r="M107" i="28"/>
  <c r="N106" i="28"/>
  <c r="M106" i="28"/>
  <c r="N105" i="28"/>
  <c r="M105" i="28"/>
  <c r="N104" i="28"/>
  <c r="M104" i="28"/>
  <c r="N103" i="28"/>
  <c r="M103" i="28"/>
  <c r="N102" i="28"/>
  <c r="M102" i="28"/>
  <c r="N101" i="28"/>
  <c r="M101" i="28"/>
  <c r="N100" i="28"/>
  <c r="M100" i="28"/>
  <c r="N93" i="28"/>
  <c r="M93" i="28"/>
  <c r="N92" i="28"/>
  <c r="M92" i="28"/>
  <c r="N91" i="28"/>
  <c r="M91" i="28"/>
  <c r="N90" i="28"/>
  <c r="M90" i="28"/>
  <c r="N89" i="28"/>
  <c r="M89" i="28"/>
  <c r="N88" i="28"/>
  <c r="M88" i="28"/>
  <c r="N87" i="28"/>
  <c r="M87" i="28"/>
  <c r="N86" i="28"/>
  <c r="M86" i="28"/>
  <c r="N85" i="28"/>
  <c r="M85" i="28"/>
  <c r="N84" i="28"/>
  <c r="M84" i="28"/>
  <c r="N77" i="28"/>
  <c r="M77" i="28"/>
  <c r="N76" i="28"/>
  <c r="M76" i="28"/>
  <c r="N75" i="28"/>
  <c r="M75" i="28"/>
  <c r="N74" i="28"/>
  <c r="M74" i="28"/>
  <c r="N73" i="28"/>
  <c r="M73" i="28"/>
  <c r="N72" i="28"/>
  <c r="M72" i="28"/>
  <c r="N71" i="28"/>
  <c r="M71" i="28"/>
  <c r="N70" i="28"/>
  <c r="M70" i="28"/>
  <c r="N69" i="28"/>
  <c r="M69" i="28"/>
  <c r="N68" i="28"/>
  <c r="M68" i="28"/>
  <c r="N61" i="28"/>
  <c r="M61" i="28"/>
  <c r="N60" i="28"/>
  <c r="M60" i="28"/>
  <c r="N59" i="28"/>
  <c r="M59" i="28"/>
  <c r="N58" i="28"/>
  <c r="M58" i="28"/>
  <c r="N57" i="28"/>
  <c r="M57" i="28"/>
  <c r="N56" i="28"/>
  <c r="M56" i="28"/>
  <c r="N55" i="28"/>
  <c r="M55" i="28"/>
  <c r="N54" i="28"/>
  <c r="M54" i="28"/>
  <c r="N53" i="28"/>
  <c r="M53" i="28"/>
  <c r="N52" i="28"/>
  <c r="M52" i="28"/>
  <c r="N46" i="28"/>
  <c r="M46" i="28"/>
  <c r="N45" i="28"/>
  <c r="M45" i="28"/>
  <c r="N44" i="28"/>
  <c r="M44" i="28"/>
  <c r="N43" i="28"/>
  <c r="M43" i="28"/>
  <c r="N42" i="28"/>
  <c r="M42" i="28"/>
  <c r="N41" i="28"/>
  <c r="M41" i="28"/>
  <c r="N40" i="28"/>
  <c r="M40" i="28"/>
  <c r="N39" i="28"/>
  <c r="M39" i="28"/>
  <c r="N38" i="28"/>
  <c r="M38" i="28"/>
  <c r="N37" i="28"/>
  <c r="M37" i="28"/>
  <c r="N30" i="28"/>
  <c r="M30" i="28"/>
  <c r="N29" i="28"/>
  <c r="M29" i="28"/>
  <c r="N28" i="28"/>
  <c r="M28" i="28"/>
  <c r="N27" i="28"/>
  <c r="M27" i="28"/>
  <c r="N26" i="28"/>
  <c r="M26" i="28"/>
  <c r="N25" i="28"/>
  <c r="M25" i="28"/>
  <c r="N24" i="28"/>
  <c r="M24" i="28"/>
  <c r="N23" i="28"/>
  <c r="M23" i="28"/>
  <c r="N22" i="28"/>
  <c r="M22" i="28"/>
  <c r="N21" i="28"/>
  <c r="M21" i="28"/>
  <c r="B168" i="28"/>
  <c r="B152" i="28"/>
  <c r="B135" i="28"/>
  <c r="B119" i="28"/>
  <c r="B103" i="28"/>
  <c r="B87" i="28"/>
  <c r="B71" i="28"/>
  <c r="B55" i="28"/>
  <c r="B40" i="28"/>
  <c r="B44" i="28"/>
  <c r="B45" i="28"/>
  <c r="B24" i="28"/>
  <c r="N174" i="27"/>
  <c r="M174" i="27"/>
  <c r="N173" i="27"/>
  <c r="M173" i="27"/>
  <c r="N172" i="27"/>
  <c r="M172" i="27"/>
  <c r="N171" i="27"/>
  <c r="M171" i="27"/>
  <c r="N170" i="27"/>
  <c r="M170" i="27"/>
  <c r="N169" i="27"/>
  <c r="M169" i="27"/>
  <c r="N168" i="27"/>
  <c r="M168" i="27"/>
  <c r="N167" i="27"/>
  <c r="M167" i="27"/>
  <c r="N166" i="27"/>
  <c r="M166" i="27"/>
  <c r="N165" i="27"/>
  <c r="M165" i="27"/>
  <c r="N158" i="27"/>
  <c r="M158" i="27"/>
  <c r="N157" i="27"/>
  <c r="M157" i="27"/>
  <c r="N156" i="27"/>
  <c r="M156" i="27"/>
  <c r="N155" i="27"/>
  <c r="M155" i="27"/>
  <c r="N154" i="27"/>
  <c r="M154" i="27"/>
  <c r="N153" i="27"/>
  <c r="M153" i="27"/>
  <c r="N152" i="27"/>
  <c r="M152" i="27"/>
  <c r="N151" i="27"/>
  <c r="M151" i="27"/>
  <c r="N150" i="27"/>
  <c r="M150" i="27"/>
  <c r="N149" i="27"/>
  <c r="M149" i="27"/>
  <c r="N142" i="27"/>
  <c r="M142" i="27"/>
  <c r="N141" i="27"/>
  <c r="M141" i="27"/>
  <c r="N140" i="27"/>
  <c r="M140" i="27"/>
  <c r="N139" i="27"/>
  <c r="M139" i="27"/>
  <c r="N138" i="27"/>
  <c r="M138" i="27"/>
  <c r="N137" i="27"/>
  <c r="M137" i="27"/>
  <c r="N136" i="27"/>
  <c r="M136" i="27"/>
  <c r="N135" i="27"/>
  <c r="M135" i="27"/>
  <c r="N134" i="27"/>
  <c r="M134" i="27"/>
  <c r="N133" i="27"/>
  <c r="M133" i="27"/>
  <c r="N126" i="27"/>
  <c r="M126" i="27"/>
  <c r="N125" i="27"/>
  <c r="M125" i="27"/>
  <c r="N124" i="27"/>
  <c r="M124" i="27"/>
  <c r="N123" i="27"/>
  <c r="M123" i="27"/>
  <c r="N122" i="27"/>
  <c r="M122" i="27"/>
  <c r="N121" i="27"/>
  <c r="M121" i="27"/>
  <c r="N120" i="27"/>
  <c r="M120" i="27"/>
  <c r="N119" i="27"/>
  <c r="M119" i="27"/>
  <c r="N118" i="27"/>
  <c r="M118" i="27"/>
  <c r="N117" i="27"/>
  <c r="M117" i="27"/>
  <c r="N110" i="27"/>
  <c r="M110" i="27"/>
  <c r="N109" i="27"/>
  <c r="M109" i="27"/>
  <c r="N108" i="27"/>
  <c r="M108" i="27"/>
  <c r="N107" i="27"/>
  <c r="M107" i="27"/>
  <c r="N106" i="27"/>
  <c r="M106" i="27"/>
  <c r="N105" i="27"/>
  <c r="M105" i="27"/>
  <c r="N104" i="27"/>
  <c r="M104" i="27"/>
  <c r="N103" i="27"/>
  <c r="M103" i="27"/>
  <c r="N102" i="27"/>
  <c r="M102" i="27"/>
  <c r="N101" i="27"/>
  <c r="M101" i="27"/>
  <c r="N94" i="27"/>
  <c r="M94" i="27"/>
  <c r="N93" i="27"/>
  <c r="M93" i="27"/>
  <c r="N92" i="27"/>
  <c r="M92" i="27"/>
  <c r="N91" i="27"/>
  <c r="M91" i="27"/>
  <c r="N90" i="27"/>
  <c r="M90" i="27"/>
  <c r="N89" i="27"/>
  <c r="M89" i="27"/>
  <c r="N88" i="27"/>
  <c r="M88" i="27"/>
  <c r="N87" i="27"/>
  <c r="M87" i="27"/>
  <c r="N86" i="27"/>
  <c r="M86" i="27"/>
  <c r="N85" i="27"/>
  <c r="M85" i="27"/>
  <c r="N78" i="27"/>
  <c r="M78" i="27"/>
  <c r="N77" i="27"/>
  <c r="M77" i="27"/>
  <c r="N76" i="27"/>
  <c r="M76" i="27"/>
  <c r="N75" i="27"/>
  <c r="M75" i="27"/>
  <c r="N74" i="27"/>
  <c r="M74" i="27"/>
  <c r="N73" i="27"/>
  <c r="M73" i="27"/>
  <c r="N72" i="27"/>
  <c r="M72" i="27"/>
  <c r="N71" i="27"/>
  <c r="M71" i="27"/>
  <c r="N70" i="27"/>
  <c r="M70" i="27"/>
  <c r="N69" i="27"/>
  <c r="M69" i="27"/>
  <c r="N62" i="27"/>
  <c r="M62" i="27"/>
  <c r="N61" i="27"/>
  <c r="M61" i="27"/>
  <c r="N60" i="27"/>
  <c r="M60" i="27"/>
  <c r="N59" i="27"/>
  <c r="M59" i="27"/>
  <c r="N58" i="27"/>
  <c r="M58" i="27"/>
  <c r="N57" i="27"/>
  <c r="M57" i="27"/>
  <c r="N56" i="27"/>
  <c r="M56" i="27"/>
  <c r="N55" i="27"/>
  <c r="M55" i="27"/>
  <c r="N54" i="27"/>
  <c r="M54" i="27"/>
  <c r="N53" i="27"/>
  <c r="M53" i="27"/>
  <c r="N47" i="27"/>
  <c r="M47" i="27"/>
  <c r="N46" i="27"/>
  <c r="M46" i="27"/>
  <c r="N45" i="27"/>
  <c r="M45" i="27"/>
  <c r="N44" i="27"/>
  <c r="M44" i="27"/>
  <c r="N43" i="27"/>
  <c r="M43" i="27"/>
  <c r="N42" i="27"/>
  <c r="M42" i="27"/>
  <c r="N41" i="27"/>
  <c r="M41" i="27"/>
  <c r="N40" i="27"/>
  <c r="M40" i="27"/>
  <c r="N39" i="27"/>
  <c r="M39" i="27"/>
  <c r="N38" i="27"/>
  <c r="M38" i="27"/>
  <c r="N30" i="27"/>
  <c r="M30" i="27"/>
  <c r="N29" i="27"/>
  <c r="M29" i="27"/>
  <c r="N28" i="27"/>
  <c r="M28" i="27"/>
  <c r="N27" i="27"/>
  <c r="M27" i="27"/>
  <c r="N26" i="27"/>
  <c r="M26" i="27"/>
  <c r="N25" i="27"/>
  <c r="M25" i="27"/>
  <c r="N24" i="27"/>
  <c r="M24" i="27"/>
  <c r="N23" i="27"/>
  <c r="M23" i="27"/>
  <c r="N22" i="27"/>
  <c r="M22" i="27"/>
  <c r="N21" i="27"/>
  <c r="M21" i="27"/>
  <c r="B168" i="27"/>
  <c r="B152" i="27"/>
  <c r="B136" i="27"/>
  <c r="B120" i="27"/>
  <c r="B104" i="27"/>
  <c r="B88" i="27"/>
  <c r="B72" i="27"/>
  <c r="B56" i="27"/>
  <c r="B41" i="27"/>
  <c r="B24" i="27"/>
  <c r="N175" i="26"/>
  <c r="M175" i="26"/>
  <c r="N174" i="26"/>
  <c r="M174" i="26"/>
  <c r="N173" i="26"/>
  <c r="M173" i="26"/>
  <c r="N172" i="26"/>
  <c r="M172" i="26"/>
  <c r="N171" i="26"/>
  <c r="M171" i="26"/>
  <c r="N170" i="26"/>
  <c r="M170" i="26"/>
  <c r="N169" i="26"/>
  <c r="M169" i="26"/>
  <c r="N168" i="26"/>
  <c r="M168" i="26"/>
  <c r="N167" i="26"/>
  <c r="M167" i="26"/>
  <c r="N166" i="26"/>
  <c r="M166" i="26"/>
  <c r="N159" i="26"/>
  <c r="M159" i="26"/>
  <c r="N158" i="26"/>
  <c r="M158" i="26"/>
  <c r="N157" i="26"/>
  <c r="M157" i="26"/>
  <c r="N156" i="26"/>
  <c r="M156" i="26"/>
  <c r="N155" i="26"/>
  <c r="M155" i="26"/>
  <c r="N154" i="26"/>
  <c r="M154" i="26"/>
  <c r="N153" i="26"/>
  <c r="M153" i="26"/>
  <c r="N152" i="26"/>
  <c r="M152" i="26"/>
  <c r="N151" i="26"/>
  <c r="M151" i="26"/>
  <c r="N150" i="26"/>
  <c r="M150" i="26"/>
  <c r="N143" i="26"/>
  <c r="M143" i="26"/>
  <c r="N142" i="26"/>
  <c r="M142" i="26"/>
  <c r="N141" i="26"/>
  <c r="M141" i="26"/>
  <c r="N140" i="26"/>
  <c r="M140" i="26"/>
  <c r="N139" i="26"/>
  <c r="M139" i="26"/>
  <c r="N138" i="26"/>
  <c r="M138" i="26"/>
  <c r="N137" i="26"/>
  <c r="M137" i="26"/>
  <c r="N136" i="26"/>
  <c r="M136" i="26"/>
  <c r="N135" i="26"/>
  <c r="M135" i="26"/>
  <c r="N134" i="26"/>
  <c r="M134" i="26"/>
  <c r="N127" i="26"/>
  <c r="M127" i="26"/>
  <c r="N126" i="26"/>
  <c r="M126" i="26"/>
  <c r="N125" i="26"/>
  <c r="M125" i="26"/>
  <c r="N124" i="26"/>
  <c r="M124" i="26"/>
  <c r="N123" i="26"/>
  <c r="M123" i="26"/>
  <c r="N122" i="26"/>
  <c r="M122" i="26"/>
  <c r="N121" i="26"/>
  <c r="M121" i="26"/>
  <c r="N120" i="26"/>
  <c r="M120" i="26"/>
  <c r="N119" i="26"/>
  <c r="M119" i="26"/>
  <c r="N118" i="26"/>
  <c r="M118" i="26"/>
  <c r="N111" i="26"/>
  <c r="M111" i="26"/>
  <c r="N110" i="26"/>
  <c r="M110" i="26"/>
  <c r="N109" i="26"/>
  <c r="M109" i="26"/>
  <c r="N108" i="26"/>
  <c r="M108" i="26"/>
  <c r="N107" i="26"/>
  <c r="M107" i="26"/>
  <c r="N106" i="26"/>
  <c r="M106" i="26"/>
  <c r="N105" i="26"/>
  <c r="M105" i="26"/>
  <c r="N104" i="26"/>
  <c r="M104" i="26"/>
  <c r="N103" i="26"/>
  <c r="M103" i="26"/>
  <c r="N102" i="26"/>
  <c r="M102" i="26"/>
  <c r="N94" i="26"/>
  <c r="M94" i="26"/>
  <c r="N93" i="26"/>
  <c r="M93" i="26"/>
  <c r="N92" i="26"/>
  <c r="M92" i="26"/>
  <c r="N91" i="26"/>
  <c r="M91" i="26"/>
  <c r="N90" i="26"/>
  <c r="M90" i="26"/>
  <c r="N89" i="26"/>
  <c r="M89" i="26"/>
  <c r="N88" i="26"/>
  <c r="M88" i="26"/>
  <c r="N87" i="26"/>
  <c r="M87" i="26"/>
  <c r="N86" i="26"/>
  <c r="M86" i="26"/>
  <c r="N85" i="26"/>
  <c r="M85" i="26"/>
  <c r="N78" i="26"/>
  <c r="M78" i="26"/>
  <c r="N77" i="26"/>
  <c r="M77" i="26"/>
  <c r="N76" i="26"/>
  <c r="M76" i="26"/>
  <c r="N75" i="26"/>
  <c r="M75" i="26"/>
  <c r="N74" i="26"/>
  <c r="M74" i="26"/>
  <c r="N73" i="26"/>
  <c r="M73" i="26"/>
  <c r="N72" i="26"/>
  <c r="M72" i="26"/>
  <c r="N71" i="26"/>
  <c r="M71" i="26"/>
  <c r="N70" i="26"/>
  <c r="M70" i="26"/>
  <c r="N69" i="26"/>
  <c r="M69" i="26"/>
  <c r="N62" i="26"/>
  <c r="M62" i="26"/>
  <c r="N61" i="26"/>
  <c r="M61" i="26"/>
  <c r="N60" i="26"/>
  <c r="M60" i="26"/>
  <c r="N59" i="26"/>
  <c r="M59" i="26"/>
  <c r="N58" i="26"/>
  <c r="M58" i="26"/>
  <c r="N57" i="26"/>
  <c r="M57" i="26"/>
  <c r="N56" i="26"/>
  <c r="M56" i="26"/>
  <c r="N55" i="26"/>
  <c r="M55" i="26"/>
  <c r="N54" i="26"/>
  <c r="M54" i="26"/>
  <c r="N53" i="26"/>
  <c r="M53" i="26"/>
  <c r="N47" i="26"/>
  <c r="M47" i="26"/>
  <c r="N46" i="26"/>
  <c r="M46" i="26"/>
  <c r="N45" i="26"/>
  <c r="M45" i="26"/>
  <c r="N44" i="26"/>
  <c r="M44" i="26"/>
  <c r="N43" i="26"/>
  <c r="M43" i="26"/>
  <c r="N42" i="26"/>
  <c r="M42" i="26"/>
  <c r="N41" i="26"/>
  <c r="M41" i="26"/>
  <c r="N40" i="26"/>
  <c r="M40" i="26"/>
  <c r="N39" i="26"/>
  <c r="M39" i="26"/>
  <c r="N38" i="26"/>
  <c r="M38" i="26"/>
  <c r="N30" i="26"/>
  <c r="M30" i="26"/>
  <c r="N29" i="26"/>
  <c r="M29" i="26"/>
  <c r="N28" i="26"/>
  <c r="M28" i="26"/>
  <c r="N27" i="26"/>
  <c r="M27" i="26"/>
  <c r="N26" i="26"/>
  <c r="M26" i="26"/>
  <c r="N25" i="26"/>
  <c r="M25" i="26"/>
  <c r="N24" i="26"/>
  <c r="M24" i="26"/>
  <c r="N23" i="26"/>
  <c r="M23" i="26"/>
  <c r="N22" i="26"/>
  <c r="M22" i="26"/>
  <c r="N21" i="26"/>
  <c r="M21" i="26"/>
  <c r="B169" i="26"/>
  <c r="B153" i="26"/>
  <c r="B137" i="26"/>
  <c r="B121" i="26"/>
  <c r="B105" i="26"/>
  <c r="B88" i="26"/>
  <c r="B72" i="26"/>
  <c r="B56" i="26"/>
  <c r="B41" i="26"/>
  <c r="B24" i="26"/>
  <c r="N175" i="25"/>
  <c r="M175" i="25"/>
  <c r="N174" i="25"/>
  <c r="M174" i="25"/>
  <c r="N173" i="25"/>
  <c r="M173" i="25"/>
  <c r="N172" i="25"/>
  <c r="M172" i="25"/>
  <c r="N171" i="25"/>
  <c r="M171" i="25"/>
  <c r="N170" i="25"/>
  <c r="M170" i="25"/>
  <c r="N169" i="25"/>
  <c r="M169" i="25"/>
  <c r="N168" i="25"/>
  <c r="M168" i="25"/>
  <c r="N167" i="25"/>
  <c r="M167" i="25"/>
  <c r="N166" i="25"/>
  <c r="M166" i="25"/>
  <c r="N159" i="25"/>
  <c r="M159" i="25"/>
  <c r="N158" i="25"/>
  <c r="M158" i="25"/>
  <c r="N157" i="25"/>
  <c r="M157" i="25"/>
  <c r="N156" i="25"/>
  <c r="M156" i="25"/>
  <c r="N155" i="25"/>
  <c r="M155" i="25"/>
  <c r="N154" i="25"/>
  <c r="M154" i="25"/>
  <c r="N153" i="25"/>
  <c r="M153" i="25"/>
  <c r="N152" i="25"/>
  <c r="M152" i="25"/>
  <c r="N151" i="25"/>
  <c r="M151" i="25"/>
  <c r="N150" i="25"/>
  <c r="M150" i="25"/>
  <c r="N143" i="25"/>
  <c r="M143" i="25"/>
  <c r="N142" i="25"/>
  <c r="M142" i="25"/>
  <c r="N141" i="25"/>
  <c r="M141" i="25"/>
  <c r="N140" i="25"/>
  <c r="M140" i="25"/>
  <c r="N139" i="25"/>
  <c r="M139" i="25"/>
  <c r="N138" i="25"/>
  <c r="M138" i="25"/>
  <c r="N137" i="25"/>
  <c r="M137" i="25"/>
  <c r="N136" i="25"/>
  <c r="M136" i="25"/>
  <c r="N135" i="25"/>
  <c r="M135" i="25"/>
  <c r="N134" i="25"/>
  <c r="M134" i="25"/>
  <c r="N127" i="25"/>
  <c r="M127" i="25"/>
  <c r="N126" i="25"/>
  <c r="M126" i="25"/>
  <c r="N125" i="25"/>
  <c r="M125" i="25"/>
  <c r="N124" i="25"/>
  <c r="M124" i="25"/>
  <c r="N123" i="25"/>
  <c r="M123" i="25"/>
  <c r="N122" i="25"/>
  <c r="M122" i="25"/>
  <c r="N121" i="25"/>
  <c r="M121" i="25"/>
  <c r="N120" i="25"/>
  <c r="M120" i="25"/>
  <c r="N119" i="25"/>
  <c r="M119" i="25"/>
  <c r="N118" i="25"/>
  <c r="M118" i="25"/>
  <c r="N111" i="25"/>
  <c r="M111" i="25"/>
  <c r="N110" i="25"/>
  <c r="M110" i="25"/>
  <c r="N109" i="25"/>
  <c r="M109" i="25"/>
  <c r="N108" i="25"/>
  <c r="M108" i="25"/>
  <c r="N107" i="25"/>
  <c r="M107" i="25"/>
  <c r="N106" i="25"/>
  <c r="M106" i="25"/>
  <c r="N105" i="25"/>
  <c r="M105" i="25"/>
  <c r="N104" i="25"/>
  <c r="M104" i="25"/>
  <c r="N103" i="25"/>
  <c r="M103" i="25"/>
  <c r="N102" i="25"/>
  <c r="M102" i="25"/>
  <c r="N94" i="25"/>
  <c r="M94" i="25"/>
  <c r="N93" i="25"/>
  <c r="M93" i="25"/>
  <c r="N92" i="25"/>
  <c r="M92" i="25"/>
  <c r="N91" i="25"/>
  <c r="M91" i="25"/>
  <c r="N90" i="25"/>
  <c r="M90" i="25"/>
  <c r="N89" i="25"/>
  <c r="M89" i="25"/>
  <c r="N88" i="25"/>
  <c r="M88" i="25"/>
  <c r="N87" i="25"/>
  <c r="M87" i="25"/>
  <c r="N86" i="25"/>
  <c r="M86" i="25"/>
  <c r="N85" i="25"/>
  <c r="M85" i="25"/>
  <c r="N78" i="25"/>
  <c r="M78" i="25"/>
  <c r="N77" i="25"/>
  <c r="M77" i="25"/>
  <c r="N76" i="25"/>
  <c r="M76" i="25"/>
  <c r="N75" i="25"/>
  <c r="M75" i="25"/>
  <c r="N74" i="25"/>
  <c r="M74" i="25"/>
  <c r="N73" i="25"/>
  <c r="M73" i="25"/>
  <c r="N72" i="25"/>
  <c r="M72" i="25"/>
  <c r="N71" i="25"/>
  <c r="M71" i="25"/>
  <c r="N70" i="25"/>
  <c r="M70" i="25"/>
  <c r="N69" i="25"/>
  <c r="M69" i="25"/>
  <c r="N62" i="25"/>
  <c r="M62" i="25"/>
  <c r="N61" i="25"/>
  <c r="M61" i="25"/>
  <c r="N60" i="25"/>
  <c r="M60" i="25"/>
  <c r="N59" i="25"/>
  <c r="M59" i="25"/>
  <c r="N58" i="25"/>
  <c r="M58" i="25"/>
  <c r="N57" i="25"/>
  <c r="M57" i="25"/>
  <c r="N56" i="25"/>
  <c r="M56" i="25"/>
  <c r="N55" i="25"/>
  <c r="M55" i="25"/>
  <c r="N54" i="25"/>
  <c r="M54" i="25"/>
  <c r="N53" i="25"/>
  <c r="M53" i="25"/>
  <c r="N47" i="25"/>
  <c r="M47" i="25"/>
  <c r="N46" i="25"/>
  <c r="M46" i="25"/>
  <c r="N45" i="25"/>
  <c r="M45" i="25"/>
  <c r="N44" i="25"/>
  <c r="M44" i="25"/>
  <c r="N43" i="25"/>
  <c r="M43" i="25"/>
  <c r="N42" i="25"/>
  <c r="M42" i="25"/>
  <c r="N41" i="25"/>
  <c r="M41" i="25"/>
  <c r="N40" i="25"/>
  <c r="M40" i="25"/>
  <c r="N39" i="25"/>
  <c r="M39" i="25"/>
  <c r="N38" i="25"/>
  <c r="M38" i="25"/>
  <c r="N30" i="25"/>
  <c r="M30" i="25"/>
  <c r="N29" i="25"/>
  <c r="M29" i="25"/>
  <c r="N28" i="25"/>
  <c r="M28" i="25"/>
  <c r="N27" i="25"/>
  <c r="M27" i="25"/>
  <c r="N26" i="25"/>
  <c r="M26" i="25"/>
  <c r="N25" i="25"/>
  <c r="M25" i="25"/>
  <c r="N24" i="25"/>
  <c r="M24" i="25"/>
  <c r="N23" i="25"/>
  <c r="M23" i="25"/>
  <c r="N22" i="25"/>
  <c r="M22" i="25"/>
  <c r="N21" i="25"/>
  <c r="M21" i="25"/>
  <c r="B169" i="25"/>
  <c r="B153" i="25"/>
  <c r="B137" i="25"/>
  <c r="B121" i="25"/>
  <c r="B105" i="25"/>
  <c r="B88" i="25"/>
  <c r="B72" i="25"/>
  <c r="B56" i="25"/>
  <c r="B41" i="25"/>
  <c r="B24" i="25"/>
  <c r="N175" i="24"/>
  <c r="M175" i="24"/>
  <c r="N174" i="24"/>
  <c r="M174" i="24"/>
  <c r="N173" i="24"/>
  <c r="M173" i="24"/>
  <c r="N172" i="24"/>
  <c r="M172" i="24"/>
  <c r="N171" i="24"/>
  <c r="M171" i="24"/>
  <c r="N170" i="24"/>
  <c r="M170" i="24"/>
  <c r="N169" i="24"/>
  <c r="M169" i="24"/>
  <c r="N168" i="24"/>
  <c r="M168" i="24"/>
  <c r="N167" i="24"/>
  <c r="M167" i="24"/>
  <c r="N166" i="24"/>
  <c r="M166" i="24"/>
  <c r="N159" i="24"/>
  <c r="M159" i="24"/>
  <c r="N158" i="24"/>
  <c r="M158" i="24"/>
  <c r="N157" i="24"/>
  <c r="M157" i="24"/>
  <c r="N156" i="24"/>
  <c r="M156" i="24"/>
  <c r="N155" i="24"/>
  <c r="M155" i="24"/>
  <c r="N154" i="24"/>
  <c r="M154" i="24"/>
  <c r="N153" i="24"/>
  <c r="M153" i="24"/>
  <c r="N152" i="24"/>
  <c r="M152" i="24"/>
  <c r="N151" i="24"/>
  <c r="M151" i="24"/>
  <c r="N150" i="24"/>
  <c r="M150" i="24"/>
  <c r="N143" i="24"/>
  <c r="M143" i="24"/>
  <c r="N142" i="24"/>
  <c r="M142" i="24"/>
  <c r="N141" i="24"/>
  <c r="M141" i="24"/>
  <c r="N140" i="24"/>
  <c r="M140" i="24"/>
  <c r="N139" i="24"/>
  <c r="M139" i="24"/>
  <c r="N138" i="24"/>
  <c r="M138" i="24"/>
  <c r="N137" i="24"/>
  <c r="M137" i="24"/>
  <c r="N136" i="24"/>
  <c r="M136" i="24"/>
  <c r="N135" i="24"/>
  <c r="M135" i="24"/>
  <c r="N134" i="24"/>
  <c r="M134" i="24"/>
  <c r="N127" i="24"/>
  <c r="M127" i="24"/>
  <c r="N126" i="24"/>
  <c r="M126" i="24"/>
  <c r="N125" i="24"/>
  <c r="M125" i="24"/>
  <c r="N124" i="24"/>
  <c r="M124" i="24"/>
  <c r="N123" i="24"/>
  <c r="M123" i="24"/>
  <c r="N122" i="24"/>
  <c r="M122" i="24"/>
  <c r="N121" i="24"/>
  <c r="M121" i="24"/>
  <c r="N120" i="24"/>
  <c r="M120" i="24"/>
  <c r="N119" i="24"/>
  <c r="M119" i="24"/>
  <c r="N118" i="24"/>
  <c r="M118" i="24"/>
  <c r="N111" i="24"/>
  <c r="M111" i="24"/>
  <c r="N110" i="24"/>
  <c r="M110" i="24"/>
  <c r="N109" i="24"/>
  <c r="M109" i="24"/>
  <c r="N108" i="24"/>
  <c r="M108" i="24"/>
  <c r="N107" i="24"/>
  <c r="M107" i="24"/>
  <c r="N106" i="24"/>
  <c r="M106" i="24"/>
  <c r="N105" i="24"/>
  <c r="M105" i="24"/>
  <c r="N104" i="24"/>
  <c r="M104" i="24"/>
  <c r="N103" i="24"/>
  <c r="M103" i="24"/>
  <c r="N102" i="24"/>
  <c r="M102" i="24"/>
  <c r="N95" i="24"/>
  <c r="M95" i="24"/>
  <c r="N94" i="24"/>
  <c r="M94" i="24"/>
  <c r="N93" i="24"/>
  <c r="M93" i="24"/>
  <c r="N92" i="24"/>
  <c r="M92" i="24"/>
  <c r="N91" i="24"/>
  <c r="M91" i="24"/>
  <c r="N90" i="24"/>
  <c r="M90" i="24"/>
  <c r="N89" i="24"/>
  <c r="M89" i="24"/>
  <c r="N88" i="24"/>
  <c r="M88" i="24"/>
  <c r="N87" i="24"/>
  <c r="M87" i="24"/>
  <c r="N86" i="24"/>
  <c r="M86" i="24"/>
  <c r="N79" i="24"/>
  <c r="M79" i="24"/>
  <c r="N78" i="24"/>
  <c r="M78" i="24"/>
  <c r="N77" i="24"/>
  <c r="M77" i="24"/>
  <c r="N76" i="24"/>
  <c r="M76" i="24"/>
  <c r="N75" i="24"/>
  <c r="M75" i="24"/>
  <c r="N74" i="24"/>
  <c r="M74" i="24"/>
  <c r="N73" i="24"/>
  <c r="M73" i="24"/>
  <c r="N72" i="24"/>
  <c r="M72" i="24"/>
  <c r="N71" i="24"/>
  <c r="M71" i="24"/>
  <c r="N70" i="24"/>
  <c r="M70" i="24"/>
  <c r="N62" i="24"/>
  <c r="M62" i="24"/>
  <c r="N61" i="24"/>
  <c r="M61" i="24"/>
  <c r="N60" i="24"/>
  <c r="M60" i="24"/>
  <c r="N59" i="24"/>
  <c r="M59" i="24"/>
  <c r="N58" i="24"/>
  <c r="M58" i="24"/>
  <c r="N57" i="24"/>
  <c r="M57" i="24"/>
  <c r="N56" i="24"/>
  <c r="M56" i="24"/>
  <c r="N55" i="24"/>
  <c r="M55" i="24"/>
  <c r="N54" i="24"/>
  <c r="M54" i="24"/>
  <c r="N53" i="24"/>
  <c r="M53" i="24"/>
  <c r="N47" i="24"/>
  <c r="M47" i="24"/>
  <c r="N46" i="24"/>
  <c r="M46" i="24"/>
  <c r="N45" i="24"/>
  <c r="M45" i="24"/>
  <c r="N44" i="24"/>
  <c r="M44" i="24"/>
  <c r="N43" i="24"/>
  <c r="M43" i="24"/>
  <c r="N42" i="24"/>
  <c r="M42" i="24"/>
  <c r="N41" i="24"/>
  <c r="M41" i="24"/>
  <c r="N40" i="24"/>
  <c r="M40" i="24"/>
  <c r="N39" i="24"/>
  <c r="M39" i="24"/>
  <c r="N38" i="24"/>
  <c r="M38" i="24"/>
  <c r="N30" i="24"/>
  <c r="M30" i="24"/>
  <c r="N29" i="24"/>
  <c r="M29" i="24"/>
  <c r="N28" i="24"/>
  <c r="M28" i="24"/>
  <c r="N27" i="24"/>
  <c r="M27" i="24"/>
  <c r="N26" i="24"/>
  <c r="M26" i="24"/>
  <c r="N25" i="24"/>
  <c r="M25" i="24"/>
  <c r="N24" i="24"/>
  <c r="M24" i="24"/>
  <c r="N23" i="24"/>
  <c r="M23" i="24"/>
  <c r="N22" i="24"/>
  <c r="M22" i="24"/>
  <c r="N21" i="24"/>
  <c r="M21" i="24"/>
  <c r="B169" i="24"/>
  <c r="B153" i="24"/>
  <c r="B137" i="24"/>
  <c r="B121" i="24"/>
  <c r="B105" i="24"/>
  <c r="B89" i="24"/>
  <c r="B73" i="24"/>
  <c r="B56" i="24"/>
  <c r="B41" i="24"/>
  <c r="B24" i="24"/>
  <c r="N176" i="23"/>
  <c r="M176" i="23"/>
  <c r="N175" i="23"/>
  <c r="M175" i="23"/>
  <c r="N174" i="23"/>
  <c r="M174" i="23"/>
  <c r="N173" i="23"/>
  <c r="M173" i="23"/>
  <c r="N172" i="23"/>
  <c r="M172" i="23"/>
  <c r="N171" i="23"/>
  <c r="M171" i="23"/>
  <c r="N170" i="23"/>
  <c r="M170" i="23"/>
  <c r="N169" i="23"/>
  <c r="M169" i="23"/>
  <c r="N168" i="23"/>
  <c r="M168" i="23"/>
  <c r="N167" i="23"/>
  <c r="M167" i="23"/>
  <c r="N160" i="23"/>
  <c r="M160" i="23"/>
  <c r="N159" i="23"/>
  <c r="M159" i="23"/>
  <c r="N158" i="23"/>
  <c r="M158" i="23"/>
  <c r="N157" i="23"/>
  <c r="M157" i="23"/>
  <c r="N156" i="23"/>
  <c r="M156" i="23"/>
  <c r="N155" i="23"/>
  <c r="M155" i="23"/>
  <c r="N154" i="23"/>
  <c r="M154" i="23"/>
  <c r="N153" i="23"/>
  <c r="M153" i="23"/>
  <c r="N152" i="23"/>
  <c r="M152" i="23"/>
  <c r="N151" i="23"/>
  <c r="M151" i="23"/>
  <c r="N143" i="23"/>
  <c r="M143" i="23"/>
  <c r="N142" i="23"/>
  <c r="M142" i="23"/>
  <c r="N141" i="23"/>
  <c r="M141" i="23"/>
  <c r="N140" i="23"/>
  <c r="M140" i="23"/>
  <c r="N139" i="23"/>
  <c r="M139" i="23"/>
  <c r="N138" i="23"/>
  <c r="M138" i="23"/>
  <c r="N137" i="23"/>
  <c r="M137" i="23"/>
  <c r="N136" i="23"/>
  <c r="M136" i="23"/>
  <c r="N135" i="23"/>
  <c r="M135" i="23"/>
  <c r="N134" i="23"/>
  <c r="M134" i="23"/>
  <c r="N127" i="23"/>
  <c r="M127" i="23"/>
  <c r="N126" i="23"/>
  <c r="M126" i="23"/>
  <c r="N125" i="23"/>
  <c r="M125" i="23"/>
  <c r="N124" i="23"/>
  <c r="M124" i="23"/>
  <c r="N123" i="23"/>
  <c r="M123" i="23"/>
  <c r="N122" i="23"/>
  <c r="M122" i="23"/>
  <c r="N121" i="23"/>
  <c r="M121" i="23"/>
  <c r="N120" i="23"/>
  <c r="M120" i="23"/>
  <c r="N119" i="23"/>
  <c r="M119" i="23"/>
  <c r="N118" i="23"/>
  <c r="M118" i="23"/>
  <c r="N111" i="23"/>
  <c r="M111" i="23"/>
  <c r="N110" i="23"/>
  <c r="M110" i="23"/>
  <c r="N109" i="23"/>
  <c r="M109" i="23"/>
  <c r="N108" i="23"/>
  <c r="M108" i="23"/>
  <c r="N107" i="23"/>
  <c r="M107" i="23"/>
  <c r="N106" i="23"/>
  <c r="M106" i="23"/>
  <c r="N105" i="23"/>
  <c r="M105" i="23"/>
  <c r="N104" i="23"/>
  <c r="M104" i="23"/>
  <c r="N103" i="23"/>
  <c r="M103" i="23"/>
  <c r="N102" i="23"/>
  <c r="M102" i="23"/>
  <c r="N95" i="23"/>
  <c r="M95" i="23"/>
  <c r="N94" i="23"/>
  <c r="M94" i="23"/>
  <c r="N93" i="23"/>
  <c r="M93" i="23"/>
  <c r="N92" i="23"/>
  <c r="M92" i="23"/>
  <c r="N91" i="23"/>
  <c r="M91" i="23"/>
  <c r="N90" i="23"/>
  <c r="M90" i="23"/>
  <c r="N89" i="23"/>
  <c r="M89" i="23"/>
  <c r="N88" i="23"/>
  <c r="M88" i="23"/>
  <c r="N87" i="23"/>
  <c r="M87" i="23"/>
  <c r="N86" i="23"/>
  <c r="M86" i="23"/>
  <c r="N79" i="23"/>
  <c r="M79" i="23"/>
  <c r="N78" i="23"/>
  <c r="M78" i="23"/>
  <c r="N77" i="23"/>
  <c r="M77" i="23"/>
  <c r="N76" i="23"/>
  <c r="M76" i="23"/>
  <c r="N75" i="23"/>
  <c r="M75" i="23"/>
  <c r="N74" i="23"/>
  <c r="M74" i="23"/>
  <c r="N73" i="23"/>
  <c r="M73" i="23"/>
  <c r="N72" i="23"/>
  <c r="M72" i="23"/>
  <c r="N71" i="23"/>
  <c r="M71" i="23"/>
  <c r="N70" i="23"/>
  <c r="M70" i="23"/>
  <c r="N63" i="23"/>
  <c r="M63" i="23"/>
  <c r="N62" i="23"/>
  <c r="M62" i="23"/>
  <c r="N61" i="23"/>
  <c r="M61" i="23"/>
  <c r="N60" i="23"/>
  <c r="M60" i="23"/>
  <c r="N59" i="23"/>
  <c r="M59" i="23"/>
  <c r="N58" i="23"/>
  <c r="M58" i="23"/>
  <c r="N57" i="23"/>
  <c r="M57" i="23"/>
  <c r="N56" i="23"/>
  <c r="M56" i="23"/>
  <c r="N55" i="23"/>
  <c r="M55" i="23"/>
  <c r="N54" i="23"/>
  <c r="M54" i="23"/>
  <c r="N47" i="23"/>
  <c r="M47" i="23"/>
  <c r="N46" i="23"/>
  <c r="M46" i="23"/>
  <c r="N45" i="23"/>
  <c r="M45" i="23"/>
  <c r="N44" i="23"/>
  <c r="M44" i="23"/>
  <c r="N43" i="23"/>
  <c r="M43" i="23"/>
  <c r="N42" i="23"/>
  <c r="M42" i="23"/>
  <c r="N41" i="23"/>
  <c r="M41" i="23"/>
  <c r="N40" i="23"/>
  <c r="M40" i="23"/>
  <c r="N39" i="23"/>
  <c r="M39" i="23"/>
  <c r="N38" i="23"/>
  <c r="M38" i="23"/>
  <c r="N30" i="23"/>
  <c r="M30" i="23"/>
  <c r="N29" i="23"/>
  <c r="M29" i="23"/>
  <c r="N28" i="23"/>
  <c r="M28" i="23"/>
  <c r="N27" i="23"/>
  <c r="M27" i="23"/>
  <c r="N26" i="23"/>
  <c r="M26" i="23"/>
  <c r="N25" i="23"/>
  <c r="M25" i="23"/>
  <c r="N24" i="23"/>
  <c r="M24" i="23"/>
  <c r="N23" i="23"/>
  <c r="M23" i="23"/>
  <c r="N22" i="23"/>
  <c r="M22" i="23"/>
  <c r="N21" i="23"/>
  <c r="M21" i="23"/>
  <c r="B169" i="23"/>
  <c r="B153" i="23"/>
  <c r="B137" i="23"/>
  <c r="B121" i="23"/>
  <c r="B105" i="23"/>
  <c r="B89" i="23"/>
  <c r="B73" i="23"/>
  <c r="B57" i="23"/>
  <c r="B41" i="23"/>
  <c r="B24" i="23"/>
  <c r="N175" i="22"/>
  <c r="M175" i="22"/>
  <c r="N174" i="22"/>
  <c r="M174" i="22"/>
  <c r="N173" i="22"/>
  <c r="M173" i="22"/>
  <c r="N172" i="22"/>
  <c r="M172" i="22"/>
  <c r="N171" i="22"/>
  <c r="M171" i="22"/>
  <c r="N170" i="22"/>
  <c r="M170" i="22"/>
  <c r="N169" i="22"/>
  <c r="M169" i="22"/>
  <c r="N168" i="22"/>
  <c r="M168" i="22"/>
  <c r="N167" i="22"/>
  <c r="M167" i="22"/>
  <c r="N166" i="22"/>
  <c r="M166" i="22"/>
  <c r="N159" i="22"/>
  <c r="M159" i="22"/>
  <c r="N158" i="22"/>
  <c r="M158" i="22"/>
  <c r="N157" i="22"/>
  <c r="M157" i="22"/>
  <c r="N156" i="22"/>
  <c r="M156" i="22"/>
  <c r="N155" i="22"/>
  <c r="M155" i="22"/>
  <c r="N154" i="22"/>
  <c r="M154" i="22"/>
  <c r="N153" i="22"/>
  <c r="M153" i="22"/>
  <c r="N152" i="22"/>
  <c r="M152" i="22"/>
  <c r="N151" i="22"/>
  <c r="M151" i="22"/>
  <c r="N150" i="22"/>
  <c r="M150" i="22"/>
  <c r="N143" i="22"/>
  <c r="M143" i="22"/>
  <c r="N142" i="22"/>
  <c r="M142" i="22"/>
  <c r="N141" i="22"/>
  <c r="M141" i="22"/>
  <c r="N140" i="22"/>
  <c r="M140" i="22"/>
  <c r="N139" i="22"/>
  <c r="M139" i="22"/>
  <c r="N138" i="22"/>
  <c r="M138" i="22"/>
  <c r="N137" i="22"/>
  <c r="M137" i="22"/>
  <c r="N136" i="22"/>
  <c r="M136" i="22"/>
  <c r="N135" i="22"/>
  <c r="M135" i="22"/>
  <c r="N134" i="22"/>
  <c r="M134" i="22"/>
  <c r="N127" i="22"/>
  <c r="M127" i="22"/>
  <c r="N126" i="22"/>
  <c r="M126" i="22"/>
  <c r="N125" i="22"/>
  <c r="M125" i="22"/>
  <c r="N124" i="22"/>
  <c r="M124" i="22"/>
  <c r="N123" i="22"/>
  <c r="M123" i="22"/>
  <c r="N122" i="22"/>
  <c r="M122" i="22"/>
  <c r="N121" i="22"/>
  <c r="M121" i="22"/>
  <c r="N120" i="22"/>
  <c r="M120" i="22"/>
  <c r="N119" i="22"/>
  <c r="M119" i="22"/>
  <c r="N118" i="22"/>
  <c r="M118" i="22"/>
  <c r="N111" i="22"/>
  <c r="M111" i="22"/>
  <c r="N110" i="22"/>
  <c r="M110" i="22"/>
  <c r="N109" i="22"/>
  <c r="M109" i="22"/>
  <c r="N108" i="22"/>
  <c r="M108" i="22"/>
  <c r="N107" i="22"/>
  <c r="M107" i="22"/>
  <c r="N106" i="22"/>
  <c r="M106" i="22"/>
  <c r="N105" i="22"/>
  <c r="M105" i="22"/>
  <c r="N104" i="22"/>
  <c r="M104" i="22"/>
  <c r="N103" i="22"/>
  <c r="M103" i="22"/>
  <c r="N102" i="22"/>
  <c r="M102" i="22"/>
  <c r="N95" i="22"/>
  <c r="M95" i="22"/>
  <c r="N94" i="22"/>
  <c r="M94" i="22"/>
  <c r="N93" i="22"/>
  <c r="M93" i="22"/>
  <c r="N92" i="22"/>
  <c r="M92" i="22"/>
  <c r="N91" i="22"/>
  <c r="M91" i="22"/>
  <c r="N90" i="22"/>
  <c r="M90" i="22"/>
  <c r="N89" i="22"/>
  <c r="M89" i="22"/>
  <c r="N88" i="22"/>
  <c r="M88" i="22"/>
  <c r="N87" i="22"/>
  <c r="M87" i="22"/>
  <c r="N86" i="22"/>
  <c r="M86" i="22"/>
  <c r="N79" i="22"/>
  <c r="M79" i="22"/>
  <c r="N78" i="22"/>
  <c r="M78" i="22"/>
  <c r="N77" i="22"/>
  <c r="M77" i="22"/>
  <c r="N76" i="22"/>
  <c r="M76" i="22"/>
  <c r="N75" i="22"/>
  <c r="M75" i="22"/>
  <c r="N74" i="22"/>
  <c r="M74" i="22"/>
  <c r="N73" i="22"/>
  <c r="M73" i="22"/>
  <c r="N72" i="22"/>
  <c r="M72" i="22"/>
  <c r="N71" i="22"/>
  <c r="M71" i="22"/>
  <c r="N70" i="22"/>
  <c r="M70" i="22"/>
  <c r="N63" i="22"/>
  <c r="M63" i="22"/>
  <c r="N62" i="22"/>
  <c r="M62" i="22"/>
  <c r="N61" i="22"/>
  <c r="M61" i="22"/>
  <c r="N60" i="22"/>
  <c r="M60" i="22"/>
  <c r="N59" i="22"/>
  <c r="M59" i="22"/>
  <c r="N58" i="22"/>
  <c r="M58" i="22"/>
  <c r="N57" i="22"/>
  <c r="M57" i="22"/>
  <c r="N56" i="22"/>
  <c r="M56" i="22"/>
  <c r="N55" i="22"/>
  <c r="M55" i="22"/>
  <c r="N54" i="22"/>
  <c r="M54" i="22"/>
  <c r="N47" i="22"/>
  <c r="M47" i="22"/>
  <c r="N46" i="22"/>
  <c r="M46" i="22"/>
  <c r="N45" i="22"/>
  <c r="M45" i="22"/>
  <c r="N44" i="22"/>
  <c r="M44" i="22"/>
  <c r="N43" i="22"/>
  <c r="M43" i="22"/>
  <c r="N42" i="22"/>
  <c r="M42" i="22"/>
  <c r="N41" i="22"/>
  <c r="M41" i="22"/>
  <c r="N40" i="22"/>
  <c r="M40" i="22"/>
  <c r="N39" i="22"/>
  <c r="M39" i="22"/>
  <c r="N38" i="22"/>
  <c r="M38" i="22"/>
  <c r="N30" i="22"/>
  <c r="M30" i="22"/>
  <c r="N29" i="22"/>
  <c r="M29" i="22"/>
  <c r="N28" i="22"/>
  <c r="M28" i="22"/>
  <c r="N27" i="22"/>
  <c r="M27" i="22"/>
  <c r="N26" i="22"/>
  <c r="M26" i="22"/>
  <c r="N25" i="22"/>
  <c r="M25" i="22"/>
  <c r="N24" i="22"/>
  <c r="M24" i="22"/>
  <c r="N23" i="22"/>
  <c r="M23" i="22"/>
  <c r="N22" i="22"/>
  <c r="M22" i="22"/>
  <c r="N21" i="22"/>
  <c r="M21" i="22"/>
  <c r="B169" i="22"/>
  <c r="B153" i="22"/>
  <c r="B137" i="22"/>
  <c r="B121" i="22"/>
  <c r="B105" i="22"/>
  <c r="B89" i="22"/>
  <c r="B73" i="22"/>
  <c r="B57" i="22"/>
  <c r="B41" i="22"/>
  <c r="B24" i="22"/>
  <c r="N175" i="21"/>
  <c r="M175" i="21"/>
  <c r="N174" i="21"/>
  <c r="M174" i="21"/>
  <c r="N173" i="21"/>
  <c r="M173" i="21"/>
  <c r="N172" i="21"/>
  <c r="M172" i="21"/>
  <c r="N171" i="21"/>
  <c r="M171" i="21"/>
  <c r="N170" i="21"/>
  <c r="M170" i="21"/>
  <c r="N169" i="21"/>
  <c r="M169" i="21"/>
  <c r="N168" i="21"/>
  <c r="M168" i="21"/>
  <c r="N167" i="21"/>
  <c r="M167" i="21"/>
  <c r="N166" i="21"/>
  <c r="M166" i="21"/>
  <c r="N159" i="21"/>
  <c r="M159" i="21"/>
  <c r="N158" i="21"/>
  <c r="M158" i="21"/>
  <c r="N157" i="21"/>
  <c r="M157" i="21"/>
  <c r="N156" i="21"/>
  <c r="M156" i="21"/>
  <c r="N155" i="21"/>
  <c r="M155" i="21"/>
  <c r="N154" i="21"/>
  <c r="M154" i="21"/>
  <c r="N153" i="21"/>
  <c r="M153" i="21"/>
  <c r="N152" i="21"/>
  <c r="M152" i="21"/>
  <c r="N151" i="21"/>
  <c r="M151" i="21"/>
  <c r="N150" i="21"/>
  <c r="M150" i="21"/>
  <c r="N143" i="21"/>
  <c r="M143" i="21"/>
  <c r="N142" i="21"/>
  <c r="M142" i="21"/>
  <c r="N141" i="21"/>
  <c r="M141" i="21"/>
  <c r="N140" i="21"/>
  <c r="M140" i="21"/>
  <c r="N139" i="21"/>
  <c r="M139" i="21"/>
  <c r="N138" i="21"/>
  <c r="M138" i="21"/>
  <c r="N137" i="21"/>
  <c r="M137" i="21"/>
  <c r="N136" i="21"/>
  <c r="M136" i="21"/>
  <c r="N135" i="21"/>
  <c r="M135" i="21"/>
  <c r="N134" i="21"/>
  <c r="M134" i="21"/>
  <c r="N127" i="21"/>
  <c r="M127" i="21"/>
  <c r="N126" i="21"/>
  <c r="M126" i="21"/>
  <c r="N125" i="21"/>
  <c r="M125" i="21"/>
  <c r="N124" i="21"/>
  <c r="M124" i="21"/>
  <c r="N123" i="21"/>
  <c r="M123" i="21"/>
  <c r="N122" i="21"/>
  <c r="M122" i="21"/>
  <c r="N121" i="21"/>
  <c r="M121" i="21"/>
  <c r="N120" i="21"/>
  <c r="M120" i="21"/>
  <c r="N119" i="21"/>
  <c r="M119" i="21"/>
  <c r="N118" i="21"/>
  <c r="M118" i="21"/>
  <c r="N111" i="21"/>
  <c r="M111" i="21"/>
  <c r="N110" i="21"/>
  <c r="M110" i="21"/>
  <c r="N109" i="21"/>
  <c r="M109" i="21"/>
  <c r="N108" i="21"/>
  <c r="M108" i="21"/>
  <c r="N107" i="21"/>
  <c r="M107" i="21"/>
  <c r="N106" i="21"/>
  <c r="M106" i="21"/>
  <c r="N105" i="21"/>
  <c r="M105" i="21"/>
  <c r="N104" i="21"/>
  <c r="M104" i="21"/>
  <c r="N103" i="21"/>
  <c r="M103" i="21"/>
  <c r="N102" i="21"/>
  <c r="M102" i="21"/>
  <c r="N95" i="21"/>
  <c r="M95" i="21"/>
  <c r="N94" i="21"/>
  <c r="M94" i="21"/>
  <c r="N93" i="21"/>
  <c r="M93" i="21"/>
  <c r="N92" i="21"/>
  <c r="M92" i="21"/>
  <c r="N91" i="21"/>
  <c r="M91" i="21"/>
  <c r="N90" i="21"/>
  <c r="M90" i="21"/>
  <c r="N89" i="21"/>
  <c r="M89" i="21"/>
  <c r="N88" i="21"/>
  <c r="M88" i="21"/>
  <c r="N87" i="21"/>
  <c r="M87" i="21"/>
  <c r="N86" i="21"/>
  <c r="M86" i="21"/>
  <c r="N79" i="21"/>
  <c r="M79" i="21"/>
  <c r="N78" i="21"/>
  <c r="M78" i="21"/>
  <c r="N77" i="21"/>
  <c r="M77" i="21"/>
  <c r="N76" i="21"/>
  <c r="M76" i="21"/>
  <c r="N75" i="21"/>
  <c r="M75" i="21"/>
  <c r="N74" i="21"/>
  <c r="M74" i="21"/>
  <c r="N73" i="21"/>
  <c r="M73" i="21"/>
  <c r="N72" i="21"/>
  <c r="M72" i="21"/>
  <c r="N71" i="21"/>
  <c r="M71" i="21"/>
  <c r="N70" i="21"/>
  <c r="M70" i="21"/>
  <c r="N63" i="21"/>
  <c r="M63" i="21"/>
  <c r="N62" i="21"/>
  <c r="M62" i="21"/>
  <c r="N61" i="21"/>
  <c r="M61" i="21"/>
  <c r="N60" i="21"/>
  <c r="M60" i="21"/>
  <c r="N59" i="21"/>
  <c r="M59" i="21"/>
  <c r="N58" i="21"/>
  <c r="M58" i="21"/>
  <c r="N57" i="21"/>
  <c r="M57" i="21"/>
  <c r="N56" i="21"/>
  <c r="M56" i="21"/>
  <c r="N55" i="21"/>
  <c r="M55" i="21"/>
  <c r="N54" i="21"/>
  <c r="M54" i="21"/>
  <c r="N47" i="21"/>
  <c r="M47" i="21"/>
  <c r="N46" i="21"/>
  <c r="M46" i="21"/>
  <c r="N45" i="21"/>
  <c r="M45" i="21"/>
  <c r="N44" i="21"/>
  <c r="M44" i="21"/>
  <c r="N43" i="21"/>
  <c r="M43" i="21"/>
  <c r="N42" i="21"/>
  <c r="M42" i="21"/>
  <c r="N41" i="21"/>
  <c r="M41" i="21"/>
  <c r="N40" i="21"/>
  <c r="M40" i="21"/>
  <c r="N39" i="21"/>
  <c r="M39" i="21"/>
  <c r="N38" i="21"/>
  <c r="M38" i="21"/>
  <c r="N30" i="21"/>
  <c r="M30" i="21"/>
  <c r="N29" i="21"/>
  <c r="M29" i="21"/>
  <c r="N28" i="21"/>
  <c r="M28" i="21"/>
  <c r="N27" i="21"/>
  <c r="M27" i="21"/>
  <c r="N26" i="21"/>
  <c r="M26" i="21"/>
  <c r="N25" i="21"/>
  <c r="M25" i="21"/>
  <c r="N24" i="21"/>
  <c r="M24" i="21"/>
  <c r="N23" i="21"/>
  <c r="M23" i="21"/>
  <c r="N22" i="21"/>
  <c r="M22" i="21"/>
  <c r="N21" i="21"/>
  <c r="M21" i="21"/>
  <c r="B169" i="21"/>
  <c r="B153" i="21"/>
  <c r="B137" i="21"/>
  <c r="B121" i="21"/>
  <c r="B105" i="21"/>
  <c r="B89" i="21"/>
  <c r="B73" i="21"/>
  <c r="B57" i="21"/>
  <c r="B41" i="21"/>
  <c r="B24" i="21"/>
  <c r="N174" i="19"/>
  <c r="M174" i="19"/>
  <c r="N173" i="19"/>
  <c r="M173" i="19"/>
  <c r="N172" i="19"/>
  <c r="M172" i="19"/>
  <c r="N171" i="19"/>
  <c r="M171" i="19"/>
  <c r="N170" i="19"/>
  <c r="M170" i="19"/>
  <c r="N169" i="19"/>
  <c r="M169" i="19"/>
  <c r="N168" i="19"/>
  <c r="M168" i="19"/>
  <c r="N167" i="19"/>
  <c r="M167" i="19"/>
  <c r="N166" i="19"/>
  <c r="M166" i="19"/>
  <c r="N165" i="19"/>
  <c r="M165" i="19"/>
  <c r="N158" i="19"/>
  <c r="M158" i="19"/>
  <c r="N157" i="19"/>
  <c r="M157" i="19"/>
  <c r="N156" i="19"/>
  <c r="M156" i="19"/>
  <c r="N155" i="19"/>
  <c r="M155" i="19"/>
  <c r="N154" i="19"/>
  <c r="M154" i="19"/>
  <c r="N153" i="19"/>
  <c r="M153" i="19"/>
  <c r="N152" i="19"/>
  <c r="M152" i="19"/>
  <c r="N151" i="19"/>
  <c r="M151" i="19"/>
  <c r="N150" i="19"/>
  <c r="M150" i="19"/>
  <c r="N149" i="19"/>
  <c r="M149" i="19"/>
  <c r="N142" i="19"/>
  <c r="M142" i="19"/>
  <c r="N141" i="19"/>
  <c r="M141" i="19"/>
  <c r="N140" i="19"/>
  <c r="M140" i="19"/>
  <c r="N139" i="19"/>
  <c r="M139" i="19"/>
  <c r="N138" i="19"/>
  <c r="M138" i="19"/>
  <c r="N137" i="19"/>
  <c r="M137" i="19"/>
  <c r="N136" i="19"/>
  <c r="M136" i="19"/>
  <c r="N135" i="19"/>
  <c r="M135" i="19"/>
  <c r="N134" i="19"/>
  <c r="M134" i="19"/>
  <c r="N133" i="19"/>
  <c r="M133" i="19"/>
  <c r="N126" i="19"/>
  <c r="M126" i="19"/>
  <c r="N125" i="19"/>
  <c r="M125" i="19"/>
  <c r="N124" i="19"/>
  <c r="M124" i="19"/>
  <c r="N123" i="19"/>
  <c r="M123" i="19"/>
  <c r="N122" i="19"/>
  <c r="M122" i="19"/>
  <c r="N121" i="19"/>
  <c r="M121" i="19"/>
  <c r="N120" i="19"/>
  <c r="M120" i="19"/>
  <c r="N119" i="19"/>
  <c r="M119" i="19"/>
  <c r="N118" i="19"/>
  <c r="M118" i="19"/>
  <c r="N117" i="19"/>
  <c r="M117" i="19"/>
  <c r="N110" i="19"/>
  <c r="M110" i="19"/>
  <c r="N109" i="19"/>
  <c r="M109" i="19"/>
  <c r="N108" i="19"/>
  <c r="M108" i="19"/>
  <c r="N107" i="19"/>
  <c r="M107" i="19"/>
  <c r="N106" i="19"/>
  <c r="M106" i="19"/>
  <c r="N105" i="19"/>
  <c r="M105" i="19"/>
  <c r="N104" i="19"/>
  <c r="M104" i="19"/>
  <c r="N103" i="19"/>
  <c r="M103" i="19"/>
  <c r="N102" i="19"/>
  <c r="M102" i="19"/>
  <c r="N101" i="19"/>
  <c r="M101" i="19"/>
  <c r="N94" i="19"/>
  <c r="M94" i="19"/>
  <c r="N93" i="19"/>
  <c r="M93" i="19"/>
  <c r="N92" i="19"/>
  <c r="M92" i="19"/>
  <c r="N91" i="19"/>
  <c r="M91" i="19"/>
  <c r="N90" i="19"/>
  <c r="M90" i="19"/>
  <c r="N89" i="19"/>
  <c r="M89" i="19"/>
  <c r="N88" i="19"/>
  <c r="M88" i="19"/>
  <c r="N87" i="19"/>
  <c r="M87" i="19"/>
  <c r="N86" i="19"/>
  <c r="M86" i="19"/>
  <c r="N85" i="19"/>
  <c r="M85" i="19"/>
  <c r="N78" i="19"/>
  <c r="M78" i="19"/>
  <c r="N77" i="19"/>
  <c r="M77" i="19"/>
  <c r="N76" i="19"/>
  <c r="M76" i="19"/>
  <c r="N75" i="19"/>
  <c r="M75" i="19"/>
  <c r="N74" i="19"/>
  <c r="M74" i="19"/>
  <c r="N73" i="19"/>
  <c r="M73" i="19"/>
  <c r="N72" i="19"/>
  <c r="M72" i="19"/>
  <c r="N71" i="19"/>
  <c r="M71" i="19"/>
  <c r="N70" i="19"/>
  <c r="M70" i="19"/>
  <c r="N69" i="19"/>
  <c r="M69" i="19"/>
  <c r="N62" i="19"/>
  <c r="M62" i="19"/>
  <c r="N61" i="19"/>
  <c r="M61" i="19"/>
  <c r="N60" i="19"/>
  <c r="M60" i="19"/>
  <c r="N59" i="19"/>
  <c r="M59" i="19"/>
  <c r="N58" i="19"/>
  <c r="M58" i="19"/>
  <c r="N57" i="19"/>
  <c r="M57" i="19"/>
  <c r="N56" i="19"/>
  <c r="M56" i="19"/>
  <c r="N55" i="19"/>
  <c r="M55" i="19"/>
  <c r="N54" i="19"/>
  <c r="M54" i="19"/>
  <c r="N53" i="19"/>
  <c r="M53" i="19"/>
  <c r="N47" i="19"/>
  <c r="M47" i="19"/>
  <c r="N46" i="19"/>
  <c r="M46" i="19"/>
  <c r="N45" i="19"/>
  <c r="M45" i="19"/>
  <c r="N44" i="19"/>
  <c r="M44" i="19"/>
  <c r="N43" i="19"/>
  <c r="M43" i="19"/>
  <c r="N42" i="19"/>
  <c r="M42" i="19"/>
  <c r="N41" i="19"/>
  <c r="M41" i="19"/>
  <c r="N40" i="19"/>
  <c r="M40" i="19"/>
  <c r="N39" i="19"/>
  <c r="M39" i="19"/>
  <c r="N38" i="19"/>
  <c r="M38" i="19"/>
  <c r="N30" i="19"/>
  <c r="M30" i="19"/>
  <c r="N29" i="19"/>
  <c r="M29" i="19"/>
  <c r="N28" i="19"/>
  <c r="M28" i="19"/>
  <c r="N27" i="19"/>
  <c r="M27" i="19"/>
  <c r="N26" i="19"/>
  <c r="M26" i="19"/>
  <c r="N25" i="19"/>
  <c r="M25" i="19"/>
  <c r="N24" i="19"/>
  <c r="M24" i="19"/>
  <c r="N23" i="19"/>
  <c r="M23" i="19"/>
  <c r="N22" i="19"/>
  <c r="M22" i="19"/>
  <c r="N21" i="19"/>
  <c r="M21" i="19"/>
  <c r="B168" i="19"/>
  <c r="B152" i="19"/>
  <c r="B136" i="19"/>
  <c r="B120" i="19"/>
  <c r="B104" i="19"/>
  <c r="B88" i="19"/>
  <c r="B72" i="19"/>
  <c r="B56" i="19"/>
  <c r="B41" i="19"/>
  <c r="B24" i="19"/>
  <c r="N166" i="8"/>
  <c r="N167" i="8"/>
  <c r="N168" i="8"/>
  <c r="N169" i="8"/>
  <c r="N170" i="8"/>
  <c r="N171" i="8"/>
  <c r="N172" i="8"/>
  <c r="N173" i="8"/>
  <c r="N174" i="8"/>
  <c r="N165" i="8"/>
  <c r="M166" i="8"/>
  <c r="M167" i="8"/>
  <c r="M168" i="8"/>
  <c r="M169" i="8"/>
  <c r="M170" i="8"/>
  <c r="M171" i="8"/>
  <c r="M172" i="8"/>
  <c r="M173" i="8"/>
  <c r="M174" i="8"/>
  <c r="M165" i="8"/>
  <c r="N149" i="8"/>
  <c r="N150" i="8"/>
  <c r="N151" i="8"/>
  <c r="N152" i="8"/>
  <c r="N153" i="8"/>
  <c r="N154" i="8"/>
  <c r="N155" i="8"/>
  <c r="N156" i="8"/>
  <c r="N157" i="8"/>
  <c r="N148" i="8"/>
  <c r="M149" i="8"/>
  <c r="M150" i="8"/>
  <c r="M151" i="8"/>
  <c r="M152" i="8"/>
  <c r="M153" i="8"/>
  <c r="M154" i="8"/>
  <c r="M155" i="8"/>
  <c r="M156" i="8"/>
  <c r="M157" i="8"/>
  <c r="M148" i="8"/>
  <c r="N133" i="8"/>
  <c r="N134" i="8"/>
  <c r="N135" i="8"/>
  <c r="N136" i="8"/>
  <c r="N137" i="8"/>
  <c r="N138" i="8"/>
  <c r="N139" i="8"/>
  <c r="N140" i="8"/>
  <c r="N141" i="8"/>
  <c r="N132" i="8"/>
  <c r="M133" i="8"/>
  <c r="M134" i="8"/>
  <c r="M135" i="8"/>
  <c r="M136" i="8"/>
  <c r="M137" i="8"/>
  <c r="M138" i="8"/>
  <c r="M139" i="8"/>
  <c r="M140" i="8"/>
  <c r="M141" i="8"/>
  <c r="M132" i="8"/>
  <c r="N117" i="8"/>
  <c r="N118" i="8"/>
  <c r="N119" i="8"/>
  <c r="N120" i="8"/>
  <c r="N121" i="8"/>
  <c r="N122" i="8"/>
  <c r="N123" i="8"/>
  <c r="N124" i="8"/>
  <c r="N125" i="8"/>
  <c r="N116" i="8"/>
  <c r="M117" i="8"/>
  <c r="M118" i="8"/>
  <c r="M119" i="8"/>
  <c r="M120" i="8"/>
  <c r="M121" i="8"/>
  <c r="M122" i="8"/>
  <c r="M123" i="8"/>
  <c r="M124" i="8"/>
  <c r="M125" i="8"/>
  <c r="M116" i="8"/>
  <c r="N101" i="8"/>
  <c r="N102" i="8"/>
  <c r="N103" i="8"/>
  <c r="N104" i="8"/>
  <c r="N105" i="8"/>
  <c r="N106" i="8"/>
  <c r="N107" i="8"/>
  <c r="N108" i="8"/>
  <c r="N109" i="8"/>
  <c r="N100" i="8"/>
  <c r="M101" i="8"/>
  <c r="M102" i="8"/>
  <c r="M103" i="8"/>
  <c r="M104" i="8"/>
  <c r="M105" i="8"/>
  <c r="M106" i="8"/>
  <c r="M107" i="8"/>
  <c r="M108" i="8"/>
  <c r="M109" i="8"/>
  <c r="M100" i="8"/>
  <c r="N85" i="8"/>
  <c r="N86" i="8"/>
  <c r="N87" i="8"/>
  <c r="N88" i="8"/>
  <c r="N89" i="8"/>
  <c r="N90" i="8"/>
  <c r="N91" i="8"/>
  <c r="N92" i="8"/>
  <c r="N93" i="8"/>
  <c r="N84" i="8"/>
  <c r="M85" i="8"/>
  <c r="M86" i="8"/>
  <c r="M87" i="8"/>
  <c r="M88" i="8"/>
  <c r="M89" i="8"/>
  <c r="M90" i="8"/>
  <c r="M91" i="8"/>
  <c r="M92" i="8"/>
  <c r="M93" i="8"/>
  <c r="M84" i="8"/>
  <c r="N69" i="8"/>
  <c r="N70" i="8"/>
  <c r="N71" i="8"/>
  <c r="N72" i="8"/>
  <c r="N73" i="8"/>
  <c r="N74" i="8"/>
  <c r="N75" i="8"/>
  <c r="N76" i="8"/>
  <c r="N77" i="8"/>
  <c r="M69" i="8"/>
  <c r="M70" i="8"/>
  <c r="M71" i="8"/>
  <c r="M72" i="8"/>
  <c r="M73" i="8"/>
  <c r="M74" i="8"/>
  <c r="M75" i="8"/>
  <c r="M76" i="8"/>
  <c r="M77" i="8"/>
  <c r="N68" i="8"/>
  <c r="M68" i="8"/>
  <c r="N53" i="8"/>
  <c r="N54" i="8"/>
  <c r="N55" i="8"/>
  <c r="N56" i="8"/>
  <c r="N57" i="8"/>
  <c r="N58" i="8"/>
  <c r="N59" i="8"/>
  <c r="N60" i="8"/>
  <c r="N61" i="8"/>
  <c r="N52" i="8"/>
  <c r="M53" i="8"/>
  <c r="M54" i="8"/>
  <c r="M55" i="8"/>
  <c r="M56" i="8"/>
  <c r="M57" i="8"/>
  <c r="M58" i="8"/>
  <c r="M59" i="8"/>
  <c r="M60" i="8"/>
  <c r="M61" i="8"/>
  <c r="M52" i="8"/>
  <c r="N38" i="8"/>
  <c r="N39" i="8"/>
  <c r="N40" i="8"/>
  <c r="N41" i="8"/>
  <c r="N42" i="8"/>
  <c r="N43" i="8"/>
  <c r="N44" i="8"/>
  <c r="N45" i="8"/>
  <c r="N46" i="8"/>
  <c r="N37" i="8"/>
  <c r="M37" i="8"/>
  <c r="M38" i="8"/>
  <c r="M39" i="8"/>
  <c r="M40" i="8"/>
  <c r="M41" i="8"/>
  <c r="M42" i="8"/>
  <c r="M43" i="8"/>
  <c r="M44" i="8"/>
  <c r="M45" i="8"/>
  <c r="M46" i="8"/>
  <c r="M21" i="8"/>
  <c r="N22" i="8"/>
  <c r="N23" i="8"/>
  <c r="N24" i="8"/>
  <c r="N25" i="8"/>
  <c r="N26" i="8"/>
  <c r="N27" i="8"/>
  <c r="N28" i="8"/>
  <c r="N29" i="8"/>
  <c r="N30" i="8"/>
  <c r="M22" i="8"/>
  <c r="M23" i="8"/>
  <c r="M24" i="8"/>
  <c r="M25" i="8"/>
  <c r="M26" i="8"/>
  <c r="M27" i="8"/>
  <c r="M28" i="8"/>
  <c r="M29" i="8"/>
  <c r="M30" i="8"/>
  <c r="N21" i="8"/>
  <c r="B168" i="8"/>
  <c r="B151" i="8"/>
  <c r="B135" i="8"/>
  <c r="B119" i="8"/>
  <c r="B103" i="8"/>
  <c r="B87" i="8"/>
  <c r="B71" i="8"/>
  <c r="B55" i="8"/>
  <c r="B40" i="8"/>
  <c r="B24" i="8"/>
  <c r="B31" i="8"/>
  <c r="B28" i="8"/>
  <c r="B176" i="28"/>
  <c r="B175" i="28"/>
  <c r="B174" i="28"/>
  <c r="B173" i="28"/>
  <c r="B172" i="28"/>
  <c r="B160" i="28"/>
  <c r="B159" i="28"/>
  <c r="B158" i="28"/>
  <c r="B157" i="28"/>
  <c r="B156" i="28"/>
  <c r="B143" i="28"/>
  <c r="B142" i="28"/>
  <c r="B141" i="28"/>
  <c r="B140" i="28"/>
  <c r="B139" i="28"/>
  <c r="B127" i="28"/>
  <c r="B126" i="28"/>
  <c r="B125" i="28"/>
  <c r="B124" i="28"/>
  <c r="B123" i="28"/>
  <c r="B111" i="28"/>
  <c r="B110" i="28"/>
  <c r="B109" i="28"/>
  <c r="B108" i="28"/>
  <c r="B107" i="28"/>
  <c r="B95" i="28"/>
  <c r="B94" i="28"/>
  <c r="B93" i="28"/>
  <c r="B92" i="28"/>
  <c r="B91" i="28"/>
  <c r="B79" i="28"/>
  <c r="B78" i="28"/>
  <c r="B77" i="28"/>
  <c r="B76" i="28"/>
  <c r="B75" i="28"/>
  <c r="B63" i="28"/>
  <c r="B62" i="28"/>
  <c r="B61" i="28"/>
  <c r="B60" i="28"/>
  <c r="B59" i="28"/>
  <c r="B48" i="28"/>
  <c r="B47" i="28"/>
  <c r="B46" i="28"/>
  <c r="B32" i="28"/>
  <c r="B31" i="28"/>
  <c r="B30" i="28"/>
  <c r="B29" i="28"/>
  <c r="B28" i="28"/>
  <c r="H166" i="28"/>
  <c r="H167" i="28"/>
  <c r="H168" i="28"/>
  <c r="H169" i="28"/>
  <c r="H170" i="28"/>
  <c r="H171" i="28"/>
  <c r="H172" i="28"/>
  <c r="H173" i="28"/>
  <c r="H174" i="28"/>
  <c r="H165" i="28"/>
  <c r="H150" i="28"/>
  <c r="H151" i="28"/>
  <c r="H152" i="28"/>
  <c r="H153" i="28"/>
  <c r="H154" i="28"/>
  <c r="H155" i="28"/>
  <c r="H156" i="28"/>
  <c r="H157" i="28"/>
  <c r="H158" i="28"/>
  <c r="H149" i="28"/>
  <c r="H133" i="28"/>
  <c r="H134" i="28"/>
  <c r="H135" i="28"/>
  <c r="H136" i="28"/>
  <c r="H137" i="28"/>
  <c r="H138" i="28"/>
  <c r="H139" i="28"/>
  <c r="H140" i="28"/>
  <c r="H141" i="28"/>
  <c r="H132" i="28"/>
  <c r="H117" i="28"/>
  <c r="H118" i="28"/>
  <c r="H119" i="28"/>
  <c r="H120" i="28"/>
  <c r="H121" i="28"/>
  <c r="H122" i="28"/>
  <c r="H123" i="28"/>
  <c r="H124" i="28"/>
  <c r="H125" i="28"/>
  <c r="H116" i="28"/>
  <c r="H101" i="28"/>
  <c r="H102" i="28"/>
  <c r="H103" i="28"/>
  <c r="H104" i="28"/>
  <c r="H105" i="28"/>
  <c r="H106" i="28"/>
  <c r="H107" i="28"/>
  <c r="H108" i="28"/>
  <c r="H109" i="28"/>
  <c r="H100" i="28"/>
  <c r="H85" i="28"/>
  <c r="H86" i="28"/>
  <c r="H87" i="28"/>
  <c r="H88" i="28"/>
  <c r="H89" i="28"/>
  <c r="H90" i="28"/>
  <c r="H91" i="28"/>
  <c r="H92" i="28"/>
  <c r="H93" i="28"/>
  <c r="H84" i="28"/>
  <c r="H69" i="28"/>
  <c r="H70" i="28"/>
  <c r="H71" i="28"/>
  <c r="H72" i="28"/>
  <c r="H73" i="28"/>
  <c r="H74" i="28"/>
  <c r="H75" i="28"/>
  <c r="H76" i="28"/>
  <c r="H77" i="28"/>
  <c r="H68" i="28"/>
  <c r="H53" i="28"/>
  <c r="H54" i="28"/>
  <c r="H55" i="28"/>
  <c r="H56" i="28"/>
  <c r="H57" i="28"/>
  <c r="H58" i="28"/>
  <c r="H59" i="28"/>
  <c r="H60" i="28"/>
  <c r="H61" i="28"/>
  <c r="H52" i="28"/>
  <c r="H38" i="28"/>
  <c r="H39" i="28"/>
  <c r="H40" i="28"/>
  <c r="H41" i="28"/>
  <c r="H42" i="28"/>
  <c r="H43" i="28"/>
  <c r="H44" i="28"/>
  <c r="H45" i="28"/>
  <c r="H46" i="28"/>
  <c r="H37" i="28"/>
  <c r="H22" i="28"/>
  <c r="H23" i="28"/>
  <c r="H24" i="28"/>
  <c r="H25" i="28"/>
  <c r="H26" i="28"/>
  <c r="H27" i="28"/>
  <c r="H28" i="28"/>
  <c r="H29" i="28"/>
  <c r="H30" i="28"/>
  <c r="H21" i="28"/>
  <c r="B176" i="27"/>
  <c r="B175" i="27"/>
  <c r="B174" i="27"/>
  <c r="B173" i="27"/>
  <c r="B172" i="27"/>
  <c r="B160" i="27"/>
  <c r="B159" i="27"/>
  <c r="B158" i="27"/>
  <c r="B157" i="27"/>
  <c r="B156" i="27"/>
  <c r="B144" i="27"/>
  <c r="B143" i="27"/>
  <c r="B142" i="27"/>
  <c r="B141" i="27"/>
  <c r="B140" i="27"/>
  <c r="B128" i="27"/>
  <c r="B127" i="27"/>
  <c r="B126" i="27"/>
  <c r="B125" i="27"/>
  <c r="B124" i="27"/>
  <c r="B112" i="27"/>
  <c r="B111" i="27"/>
  <c r="B110" i="27"/>
  <c r="B109" i="27"/>
  <c r="B108" i="27"/>
  <c r="B96" i="27"/>
  <c r="B95" i="27"/>
  <c r="B94" i="27"/>
  <c r="B93" i="27"/>
  <c r="B92" i="27"/>
  <c r="B80" i="27"/>
  <c r="B79" i="27"/>
  <c r="B78" i="27"/>
  <c r="B77" i="27"/>
  <c r="B76" i="27"/>
  <c r="B64" i="27"/>
  <c r="B63" i="27"/>
  <c r="B62" i="27"/>
  <c r="B61" i="27"/>
  <c r="B60" i="27"/>
  <c r="B49" i="27"/>
  <c r="B48" i="27"/>
  <c r="B47" i="27"/>
  <c r="B46" i="27"/>
  <c r="B45" i="27"/>
  <c r="B32" i="27"/>
  <c r="B31" i="27"/>
  <c r="B30" i="27"/>
  <c r="B29" i="27"/>
  <c r="B28" i="27"/>
  <c r="H166" i="27"/>
  <c r="H167" i="27"/>
  <c r="H168" i="27"/>
  <c r="H169" i="27"/>
  <c r="H170" i="27"/>
  <c r="H171" i="27"/>
  <c r="H172" i="27"/>
  <c r="H173" i="27"/>
  <c r="H174" i="27"/>
  <c r="H165" i="27"/>
  <c r="H150" i="27"/>
  <c r="H151" i="27"/>
  <c r="H152" i="27"/>
  <c r="H153" i="27"/>
  <c r="H154" i="27"/>
  <c r="H155" i="27"/>
  <c r="H156" i="27"/>
  <c r="H157" i="27"/>
  <c r="H158" i="27"/>
  <c r="H149" i="27"/>
  <c r="H134" i="27"/>
  <c r="H135" i="27"/>
  <c r="H136" i="27"/>
  <c r="H137" i="27"/>
  <c r="H138" i="27"/>
  <c r="H139" i="27"/>
  <c r="H140" i="27"/>
  <c r="H141" i="27"/>
  <c r="H142" i="27"/>
  <c r="H133" i="27"/>
  <c r="H118" i="27"/>
  <c r="H119" i="27"/>
  <c r="H120" i="27"/>
  <c r="H121" i="27"/>
  <c r="H122" i="27"/>
  <c r="H123" i="27"/>
  <c r="H124" i="27"/>
  <c r="H125" i="27"/>
  <c r="H126" i="27"/>
  <c r="H117" i="27"/>
  <c r="H102" i="27"/>
  <c r="H103" i="27"/>
  <c r="H104" i="27"/>
  <c r="H105" i="27"/>
  <c r="H106" i="27"/>
  <c r="H107" i="27"/>
  <c r="H108" i="27"/>
  <c r="H109" i="27"/>
  <c r="H110" i="27"/>
  <c r="H101" i="27"/>
  <c r="H86" i="27"/>
  <c r="H87" i="27"/>
  <c r="H88" i="27"/>
  <c r="H89" i="27"/>
  <c r="H90" i="27"/>
  <c r="H91" i="27"/>
  <c r="H92" i="27"/>
  <c r="H93" i="27"/>
  <c r="H94" i="27"/>
  <c r="H85" i="27"/>
  <c r="H70" i="27"/>
  <c r="H71" i="27"/>
  <c r="H72" i="27"/>
  <c r="H73" i="27"/>
  <c r="H74" i="27"/>
  <c r="H75" i="27"/>
  <c r="H76" i="27"/>
  <c r="H77" i="27"/>
  <c r="H78" i="27"/>
  <c r="H69" i="27"/>
  <c r="H54" i="27"/>
  <c r="H55" i="27"/>
  <c r="H56" i="27"/>
  <c r="H57" i="27"/>
  <c r="H58" i="27"/>
  <c r="H59" i="27"/>
  <c r="H60" i="27"/>
  <c r="H61" i="27"/>
  <c r="H62" i="27"/>
  <c r="H53" i="27"/>
  <c r="H39" i="27"/>
  <c r="H40" i="27"/>
  <c r="H41" i="27"/>
  <c r="H42" i="27"/>
  <c r="H43" i="27"/>
  <c r="H44" i="27"/>
  <c r="H45" i="27"/>
  <c r="H46" i="27"/>
  <c r="H47" i="27"/>
  <c r="H38" i="27"/>
  <c r="H21" i="27"/>
  <c r="H22" i="27"/>
  <c r="H23" i="27"/>
  <c r="H24" i="27"/>
  <c r="H25" i="27"/>
  <c r="H26" i="27"/>
  <c r="H27" i="27"/>
  <c r="H28" i="27"/>
  <c r="H29" i="27"/>
  <c r="H30" i="27"/>
  <c r="B32" i="26"/>
  <c r="B31" i="26"/>
  <c r="B30" i="26"/>
  <c r="B29" i="26"/>
  <c r="B28" i="26"/>
  <c r="B49" i="26"/>
  <c r="B48" i="26"/>
  <c r="B47" i="26"/>
  <c r="B46" i="26"/>
  <c r="B45" i="26"/>
  <c r="B64" i="26"/>
  <c r="B63" i="26"/>
  <c r="B62" i="26"/>
  <c r="B61" i="26"/>
  <c r="B60" i="26"/>
  <c r="B80" i="26"/>
  <c r="B79" i="26"/>
  <c r="B78" i="26"/>
  <c r="B77" i="26"/>
  <c r="B76" i="26"/>
  <c r="B96" i="26"/>
  <c r="B95" i="26"/>
  <c r="B94" i="26"/>
  <c r="B93" i="26"/>
  <c r="B92" i="26"/>
  <c r="B113" i="26"/>
  <c r="B112" i="26"/>
  <c r="B111" i="26"/>
  <c r="B110" i="26"/>
  <c r="B109" i="26"/>
  <c r="B129" i="26"/>
  <c r="B128" i="26"/>
  <c r="B127" i="26"/>
  <c r="B126" i="26"/>
  <c r="B125" i="26"/>
  <c r="B145" i="26"/>
  <c r="B144" i="26"/>
  <c r="B143" i="26"/>
  <c r="B142" i="26"/>
  <c r="B141" i="26"/>
  <c r="B161" i="26"/>
  <c r="B160" i="26"/>
  <c r="B159" i="26"/>
  <c r="B158" i="26"/>
  <c r="B157" i="26"/>
  <c r="B177" i="26"/>
  <c r="B176" i="26"/>
  <c r="B175" i="26"/>
  <c r="B174" i="26"/>
  <c r="B173" i="26"/>
  <c r="H167" i="26"/>
  <c r="H168" i="26"/>
  <c r="H169" i="26"/>
  <c r="H170" i="26"/>
  <c r="H171" i="26"/>
  <c r="H172" i="26"/>
  <c r="H173" i="26"/>
  <c r="H174" i="26"/>
  <c r="H175" i="26"/>
  <c r="H166" i="26"/>
  <c r="H151" i="26"/>
  <c r="H152" i="26"/>
  <c r="H153" i="26"/>
  <c r="H154" i="26"/>
  <c r="H155" i="26"/>
  <c r="H156" i="26"/>
  <c r="H157" i="26"/>
  <c r="H158" i="26"/>
  <c r="H159" i="26"/>
  <c r="H150" i="26"/>
  <c r="H135" i="26"/>
  <c r="H136" i="26"/>
  <c r="H137" i="26"/>
  <c r="H138" i="26"/>
  <c r="H139" i="26"/>
  <c r="H140" i="26"/>
  <c r="H141" i="26"/>
  <c r="H142" i="26"/>
  <c r="H143" i="26"/>
  <c r="H134" i="26"/>
  <c r="H119" i="26"/>
  <c r="H120" i="26"/>
  <c r="H121" i="26"/>
  <c r="H122" i="26"/>
  <c r="H123" i="26"/>
  <c r="H124" i="26"/>
  <c r="H125" i="26"/>
  <c r="H126" i="26"/>
  <c r="H127" i="26"/>
  <c r="H118" i="26"/>
  <c r="H103" i="26"/>
  <c r="H104" i="26"/>
  <c r="H105" i="26"/>
  <c r="H106" i="26"/>
  <c r="H107" i="26"/>
  <c r="H108" i="26"/>
  <c r="H109" i="26"/>
  <c r="H110" i="26"/>
  <c r="H111" i="26"/>
  <c r="H102" i="26"/>
  <c r="H86" i="26"/>
  <c r="H87" i="26"/>
  <c r="H88" i="26"/>
  <c r="H89" i="26"/>
  <c r="H90" i="26"/>
  <c r="H91" i="26"/>
  <c r="H92" i="26"/>
  <c r="H93" i="26"/>
  <c r="H94" i="26"/>
  <c r="H85" i="26"/>
  <c r="H70" i="26"/>
  <c r="H71" i="26"/>
  <c r="H72" i="26"/>
  <c r="H73" i="26"/>
  <c r="H74" i="26"/>
  <c r="H75" i="26"/>
  <c r="H76" i="26"/>
  <c r="H77" i="26"/>
  <c r="H78" i="26"/>
  <c r="H69" i="26"/>
  <c r="H54" i="26"/>
  <c r="H55" i="26"/>
  <c r="H56" i="26"/>
  <c r="H57" i="26"/>
  <c r="H58" i="26"/>
  <c r="H59" i="26"/>
  <c r="H60" i="26"/>
  <c r="H61" i="26"/>
  <c r="H62" i="26"/>
  <c r="H53" i="26"/>
  <c r="H39" i="26"/>
  <c r="H40" i="26"/>
  <c r="H41" i="26"/>
  <c r="H42" i="26"/>
  <c r="H43" i="26"/>
  <c r="H44" i="26"/>
  <c r="H45" i="26"/>
  <c r="H46" i="26"/>
  <c r="H47" i="26"/>
  <c r="H38" i="26"/>
  <c r="H22" i="26"/>
  <c r="H23" i="26"/>
  <c r="H24" i="26"/>
  <c r="H25" i="26"/>
  <c r="H26" i="26"/>
  <c r="H27" i="26"/>
  <c r="H28" i="26"/>
  <c r="H29" i="26"/>
  <c r="H30" i="26"/>
  <c r="H21" i="26"/>
  <c r="B177" i="25"/>
  <c r="B176" i="25"/>
  <c r="B175" i="25"/>
  <c r="B174" i="25"/>
  <c r="B173" i="25"/>
  <c r="B173" i="24"/>
  <c r="B174" i="24"/>
  <c r="B175" i="24"/>
  <c r="B176" i="24"/>
  <c r="B177" i="24"/>
  <c r="B161" i="25"/>
  <c r="B160" i="25"/>
  <c r="B159" i="25"/>
  <c r="B158" i="25"/>
  <c r="B157" i="25"/>
  <c r="B145" i="25"/>
  <c r="B144" i="25"/>
  <c r="B143" i="25"/>
  <c r="B142" i="25"/>
  <c r="B141" i="25"/>
  <c r="B129" i="25"/>
  <c r="B128" i="25"/>
  <c r="B127" i="25"/>
  <c r="B126" i="25"/>
  <c r="B125" i="25"/>
  <c r="B113" i="25"/>
  <c r="B112" i="25"/>
  <c r="B111" i="25"/>
  <c r="B110" i="25"/>
  <c r="B109" i="25"/>
  <c r="B96" i="25"/>
  <c r="B95" i="25"/>
  <c r="B94" i="25"/>
  <c r="B93" i="25"/>
  <c r="B92" i="25"/>
  <c r="B80" i="25"/>
  <c r="B79" i="25"/>
  <c r="B78" i="25"/>
  <c r="B77" i="25"/>
  <c r="B76" i="25"/>
  <c r="B64" i="25"/>
  <c r="B63" i="25"/>
  <c r="B62" i="25"/>
  <c r="B61" i="25"/>
  <c r="B60" i="25"/>
  <c r="B49" i="25"/>
  <c r="B48" i="25"/>
  <c r="B47" i="25"/>
  <c r="B46" i="25"/>
  <c r="B45" i="25"/>
  <c r="B32" i="25"/>
  <c r="B31" i="25"/>
  <c r="B30" i="25"/>
  <c r="B29" i="25"/>
  <c r="B28" i="25"/>
  <c r="H175" i="25"/>
  <c r="H167" i="25"/>
  <c r="H168" i="25"/>
  <c r="H169" i="25"/>
  <c r="H170" i="25"/>
  <c r="H171" i="25"/>
  <c r="H172" i="25"/>
  <c r="H173" i="25"/>
  <c r="H174" i="25"/>
  <c r="H166" i="25"/>
  <c r="H151" i="25"/>
  <c r="H152" i="25"/>
  <c r="H153" i="25"/>
  <c r="H154" i="25"/>
  <c r="H155" i="25"/>
  <c r="H156" i="25"/>
  <c r="H157" i="25"/>
  <c r="H158" i="25"/>
  <c r="H159" i="25"/>
  <c r="H150" i="25"/>
  <c r="H135" i="25"/>
  <c r="H136" i="25"/>
  <c r="H137" i="25"/>
  <c r="H138" i="25"/>
  <c r="H139" i="25"/>
  <c r="H140" i="25"/>
  <c r="H141" i="25"/>
  <c r="H142" i="25"/>
  <c r="H143" i="25"/>
  <c r="H134" i="25"/>
  <c r="H119" i="25"/>
  <c r="H120" i="25"/>
  <c r="H121" i="25"/>
  <c r="H122" i="25"/>
  <c r="H123" i="25"/>
  <c r="H124" i="25"/>
  <c r="H125" i="25"/>
  <c r="H126" i="25"/>
  <c r="H127" i="25"/>
  <c r="H118" i="25"/>
  <c r="H103" i="25"/>
  <c r="H104" i="25"/>
  <c r="H105" i="25"/>
  <c r="H106" i="25"/>
  <c r="H107" i="25"/>
  <c r="H108" i="25"/>
  <c r="H109" i="25"/>
  <c r="H110" i="25"/>
  <c r="H111" i="25"/>
  <c r="H102" i="25"/>
  <c r="H86" i="25"/>
  <c r="H87" i="25"/>
  <c r="H88" i="25"/>
  <c r="H89" i="25"/>
  <c r="H90" i="25"/>
  <c r="H91" i="25"/>
  <c r="H92" i="25"/>
  <c r="H93" i="25"/>
  <c r="H94" i="25"/>
  <c r="H85" i="25"/>
  <c r="H70" i="25"/>
  <c r="H71" i="25"/>
  <c r="H72" i="25"/>
  <c r="H73" i="25"/>
  <c r="H74" i="25"/>
  <c r="H75" i="25"/>
  <c r="H76" i="25"/>
  <c r="H77" i="25"/>
  <c r="H78" i="25"/>
  <c r="H69" i="25"/>
  <c r="H54" i="25"/>
  <c r="H55" i="25"/>
  <c r="H56" i="25"/>
  <c r="H57" i="25"/>
  <c r="H58" i="25"/>
  <c r="H59" i="25"/>
  <c r="H60" i="25"/>
  <c r="H61" i="25"/>
  <c r="H62" i="25"/>
  <c r="H53" i="25"/>
  <c r="H39" i="25"/>
  <c r="H40" i="25"/>
  <c r="H41" i="25"/>
  <c r="H42" i="25"/>
  <c r="H43" i="25"/>
  <c r="H44" i="25"/>
  <c r="H45" i="25"/>
  <c r="H46" i="25"/>
  <c r="H47" i="25"/>
  <c r="H38" i="25"/>
  <c r="H22" i="25"/>
  <c r="H23" i="25"/>
  <c r="H24" i="25"/>
  <c r="H25" i="25"/>
  <c r="H26" i="25"/>
  <c r="H27" i="25"/>
  <c r="H28" i="25"/>
  <c r="H29" i="25"/>
  <c r="H30" i="25"/>
  <c r="H21" i="25"/>
  <c r="H167" i="24"/>
  <c r="H168" i="24"/>
  <c r="H169" i="24"/>
  <c r="H170" i="24"/>
  <c r="H171" i="24"/>
  <c r="H172" i="24"/>
  <c r="H173" i="24"/>
  <c r="H174" i="24"/>
  <c r="H175" i="24"/>
  <c r="H166" i="24"/>
  <c r="H151" i="24"/>
  <c r="H152" i="24"/>
  <c r="H153" i="24"/>
  <c r="H154" i="24"/>
  <c r="H155" i="24"/>
  <c r="H156" i="24"/>
  <c r="H157" i="24"/>
  <c r="H158" i="24"/>
  <c r="H159" i="24"/>
  <c r="H150" i="24"/>
  <c r="H135" i="24"/>
  <c r="H136" i="24"/>
  <c r="H137" i="24"/>
  <c r="H138" i="24"/>
  <c r="H139" i="24"/>
  <c r="H140" i="24"/>
  <c r="H141" i="24"/>
  <c r="H142" i="24"/>
  <c r="H143" i="24"/>
  <c r="H134" i="24"/>
  <c r="H119" i="24"/>
  <c r="H120" i="24"/>
  <c r="H121" i="24"/>
  <c r="H122" i="24"/>
  <c r="H123" i="24"/>
  <c r="H124" i="24"/>
  <c r="H125" i="24"/>
  <c r="H126" i="24"/>
  <c r="H127" i="24"/>
  <c r="H118" i="24"/>
  <c r="H103" i="24"/>
  <c r="H104" i="24"/>
  <c r="H105" i="24"/>
  <c r="H106" i="24"/>
  <c r="H107" i="24"/>
  <c r="H108" i="24"/>
  <c r="H109" i="24"/>
  <c r="H110" i="24"/>
  <c r="H111" i="24"/>
  <c r="H102" i="24"/>
  <c r="H87" i="24"/>
  <c r="H88" i="24"/>
  <c r="H89" i="24"/>
  <c r="H90" i="24"/>
  <c r="H91" i="24"/>
  <c r="H92" i="24"/>
  <c r="H93" i="24"/>
  <c r="H94" i="24"/>
  <c r="H95" i="24"/>
  <c r="H86" i="24"/>
  <c r="H71" i="24"/>
  <c r="H72" i="24"/>
  <c r="H73" i="24"/>
  <c r="H74" i="24"/>
  <c r="H75" i="24"/>
  <c r="H76" i="24"/>
  <c r="H77" i="24"/>
  <c r="H78" i="24"/>
  <c r="H79" i="24"/>
  <c r="H70" i="24"/>
  <c r="H54" i="24"/>
  <c r="H55" i="24"/>
  <c r="H56" i="24"/>
  <c r="H57" i="24"/>
  <c r="H58" i="24"/>
  <c r="H59" i="24"/>
  <c r="H60" i="24"/>
  <c r="H61" i="24"/>
  <c r="H62" i="24"/>
  <c r="H53" i="24"/>
  <c r="H39" i="24"/>
  <c r="H40" i="24"/>
  <c r="H41" i="24"/>
  <c r="H42" i="24"/>
  <c r="H43" i="24"/>
  <c r="H44" i="24"/>
  <c r="H45" i="24"/>
  <c r="H46" i="24"/>
  <c r="H47" i="24"/>
  <c r="H38" i="24"/>
  <c r="H22" i="24"/>
  <c r="H23" i="24"/>
  <c r="H24" i="24"/>
  <c r="H25" i="24"/>
  <c r="H26" i="24"/>
  <c r="H27" i="24"/>
  <c r="H28" i="24"/>
  <c r="H29" i="24"/>
  <c r="H30" i="24"/>
  <c r="H21" i="24"/>
  <c r="B161" i="24"/>
  <c r="B160" i="24"/>
  <c r="B159" i="24"/>
  <c r="B158" i="24"/>
  <c r="B157" i="24"/>
  <c r="B145" i="24"/>
  <c r="B144" i="24"/>
  <c r="B143" i="24"/>
  <c r="B142" i="24"/>
  <c r="B141" i="24"/>
  <c r="B129" i="24"/>
  <c r="B128" i="24"/>
  <c r="B127" i="24"/>
  <c r="B126" i="24"/>
  <c r="B125" i="24"/>
  <c r="B113" i="24"/>
  <c r="B112" i="24"/>
  <c r="B111" i="24"/>
  <c r="B110" i="24"/>
  <c r="B109" i="24"/>
  <c r="B97" i="24"/>
  <c r="B96" i="24"/>
  <c r="B95" i="24"/>
  <c r="B94" i="24"/>
  <c r="B93" i="24"/>
  <c r="B81" i="24"/>
  <c r="B80" i="24"/>
  <c r="B79" i="24"/>
  <c r="B78" i="24"/>
  <c r="B77" i="24"/>
  <c r="B64" i="24"/>
  <c r="B63" i="24"/>
  <c r="B62" i="24"/>
  <c r="B61" i="24"/>
  <c r="B60" i="24"/>
  <c r="B49" i="24"/>
  <c r="B48" i="24"/>
  <c r="B47" i="24"/>
  <c r="B46" i="24"/>
  <c r="B45" i="24"/>
  <c r="B32" i="24"/>
  <c r="B31" i="24"/>
  <c r="B30" i="24"/>
  <c r="B29" i="24"/>
  <c r="B28" i="24"/>
  <c r="H22" i="23"/>
  <c r="H23" i="23"/>
  <c r="H24" i="23"/>
  <c r="H25" i="23"/>
  <c r="H26" i="23"/>
  <c r="H27" i="23"/>
  <c r="H28" i="23"/>
  <c r="H29" i="23"/>
  <c r="H30" i="23"/>
  <c r="H21" i="23"/>
  <c r="H39" i="23"/>
  <c r="H40" i="23"/>
  <c r="H41" i="23"/>
  <c r="H42" i="23"/>
  <c r="H43" i="23"/>
  <c r="H44" i="23"/>
  <c r="H45" i="23"/>
  <c r="H46" i="23"/>
  <c r="H47" i="23"/>
  <c r="H38" i="23"/>
  <c r="H55" i="23"/>
  <c r="H56" i="23"/>
  <c r="H57" i="23"/>
  <c r="H58" i="23"/>
  <c r="H59" i="23"/>
  <c r="H60" i="23"/>
  <c r="H61" i="23"/>
  <c r="H62" i="23"/>
  <c r="H63" i="23"/>
  <c r="H54" i="23"/>
  <c r="H71" i="23"/>
  <c r="H72" i="23"/>
  <c r="H73" i="23"/>
  <c r="H74" i="23"/>
  <c r="H75" i="23"/>
  <c r="H76" i="23"/>
  <c r="H77" i="23"/>
  <c r="H78" i="23"/>
  <c r="H79" i="23"/>
  <c r="H70" i="23"/>
  <c r="H87" i="23"/>
  <c r="H88" i="23"/>
  <c r="H89" i="23"/>
  <c r="H90" i="23"/>
  <c r="H91" i="23"/>
  <c r="H92" i="23"/>
  <c r="H93" i="23"/>
  <c r="H94" i="23"/>
  <c r="H95" i="23"/>
  <c r="H86" i="23"/>
  <c r="H103" i="23"/>
  <c r="H104" i="23"/>
  <c r="H105" i="23"/>
  <c r="H106" i="23"/>
  <c r="H107" i="23"/>
  <c r="H108" i="23"/>
  <c r="H109" i="23"/>
  <c r="H110" i="23"/>
  <c r="H111" i="23"/>
  <c r="H102" i="23"/>
  <c r="H119" i="23"/>
  <c r="H120" i="23"/>
  <c r="H121" i="23"/>
  <c r="H122" i="23"/>
  <c r="H123" i="23"/>
  <c r="H124" i="23"/>
  <c r="H125" i="23"/>
  <c r="H126" i="23"/>
  <c r="H127" i="23"/>
  <c r="H118" i="23"/>
  <c r="H135" i="23"/>
  <c r="H136" i="23"/>
  <c r="H137" i="23"/>
  <c r="H138" i="23"/>
  <c r="H139" i="23"/>
  <c r="H140" i="23"/>
  <c r="H141" i="23"/>
  <c r="H142" i="23"/>
  <c r="H143" i="23"/>
  <c r="H134" i="23"/>
  <c r="H151" i="23"/>
  <c r="H152" i="23"/>
  <c r="H153" i="23"/>
  <c r="H154" i="23"/>
  <c r="H155" i="23"/>
  <c r="H156" i="23"/>
  <c r="H157" i="23"/>
  <c r="H158" i="23"/>
  <c r="H159" i="23"/>
  <c r="H150" i="23"/>
  <c r="H167" i="23"/>
  <c r="H168" i="23"/>
  <c r="H169" i="23"/>
  <c r="H170" i="23"/>
  <c r="H171" i="23"/>
  <c r="H172" i="23"/>
  <c r="H173" i="23"/>
  <c r="H174" i="23"/>
  <c r="H175" i="23"/>
  <c r="H166" i="23"/>
  <c r="B177" i="23"/>
  <c r="B176" i="23"/>
  <c r="B175" i="23"/>
  <c r="B174" i="23"/>
  <c r="B173" i="23"/>
  <c r="B161" i="23"/>
  <c r="B160" i="23"/>
  <c r="B159" i="23"/>
  <c r="B158" i="23"/>
  <c r="B157" i="23"/>
  <c r="B144" i="23"/>
  <c r="B143" i="23"/>
  <c r="B142" i="23"/>
  <c r="B141" i="23"/>
  <c r="B140" i="23"/>
  <c r="B129" i="23"/>
  <c r="B128" i="23"/>
  <c r="B127" i="23"/>
  <c r="B126" i="23"/>
  <c r="B125" i="23"/>
  <c r="B113" i="23"/>
  <c r="B112" i="23"/>
  <c r="B111" i="23"/>
  <c r="B110" i="23"/>
  <c r="B109" i="23"/>
  <c r="B97" i="23"/>
  <c r="B96" i="23"/>
  <c r="B95" i="23"/>
  <c r="B94" i="23"/>
  <c r="B93" i="23"/>
  <c r="B81" i="23"/>
  <c r="B80" i="23"/>
  <c r="B79" i="23"/>
  <c r="B78" i="23"/>
  <c r="B77" i="23"/>
  <c r="B65" i="23"/>
  <c r="B64" i="23"/>
  <c r="B63" i="23"/>
  <c r="B62" i="23"/>
  <c r="B61" i="23"/>
  <c r="B49" i="23"/>
  <c r="B48" i="23"/>
  <c r="B47" i="23"/>
  <c r="B46" i="23"/>
  <c r="B45" i="23"/>
  <c r="B32" i="23"/>
  <c r="B31" i="23"/>
  <c r="B30" i="23"/>
  <c r="B29" i="23"/>
  <c r="B28" i="23"/>
  <c r="H22" i="22"/>
  <c r="H23" i="22"/>
  <c r="H24" i="22"/>
  <c r="H25" i="22"/>
  <c r="H26" i="22"/>
  <c r="H27" i="22"/>
  <c r="H28" i="22"/>
  <c r="H29" i="22"/>
  <c r="H30" i="22"/>
  <c r="H21" i="22"/>
  <c r="H39" i="22"/>
  <c r="H40" i="22"/>
  <c r="H41" i="22"/>
  <c r="H42" i="22"/>
  <c r="H43" i="22"/>
  <c r="H44" i="22"/>
  <c r="H45" i="22"/>
  <c r="H46" i="22"/>
  <c r="H47" i="22"/>
  <c r="H38" i="22"/>
  <c r="H55" i="22"/>
  <c r="H56" i="22"/>
  <c r="H57" i="22"/>
  <c r="H58" i="22"/>
  <c r="H59" i="22"/>
  <c r="H60" i="22"/>
  <c r="H61" i="22"/>
  <c r="H62" i="22"/>
  <c r="H63" i="22"/>
  <c r="H54" i="22"/>
  <c r="H71" i="22"/>
  <c r="H72" i="22"/>
  <c r="H73" i="22"/>
  <c r="H74" i="22"/>
  <c r="H75" i="22"/>
  <c r="H76" i="22"/>
  <c r="H77" i="22"/>
  <c r="H78" i="22"/>
  <c r="H79" i="22"/>
  <c r="H70" i="22"/>
  <c r="H87" i="22"/>
  <c r="H88" i="22"/>
  <c r="H89" i="22"/>
  <c r="H90" i="22"/>
  <c r="H91" i="22"/>
  <c r="H92" i="22"/>
  <c r="H93" i="22"/>
  <c r="H94" i="22"/>
  <c r="H95" i="22"/>
  <c r="H86" i="22"/>
  <c r="H103" i="22"/>
  <c r="H104" i="22"/>
  <c r="H105" i="22"/>
  <c r="H106" i="22"/>
  <c r="H107" i="22"/>
  <c r="H108" i="22"/>
  <c r="H109" i="22"/>
  <c r="H110" i="22"/>
  <c r="H111" i="22"/>
  <c r="H102" i="22"/>
  <c r="H119" i="22"/>
  <c r="H120" i="22"/>
  <c r="H121" i="22"/>
  <c r="H122" i="22"/>
  <c r="H123" i="22"/>
  <c r="H124" i="22"/>
  <c r="H125" i="22"/>
  <c r="H126" i="22"/>
  <c r="H127" i="22"/>
  <c r="H118" i="22"/>
  <c r="H135" i="22"/>
  <c r="H136" i="22"/>
  <c r="H137" i="22"/>
  <c r="H138" i="22"/>
  <c r="H139" i="22"/>
  <c r="H140" i="22"/>
  <c r="H141" i="22"/>
  <c r="H142" i="22"/>
  <c r="H143" i="22"/>
  <c r="H134" i="22"/>
  <c r="H151" i="22"/>
  <c r="H152" i="22"/>
  <c r="H153" i="22"/>
  <c r="H154" i="22"/>
  <c r="H155" i="22"/>
  <c r="H156" i="22"/>
  <c r="H157" i="22"/>
  <c r="H158" i="22"/>
  <c r="H159" i="22"/>
  <c r="H150" i="22"/>
  <c r="H167" i="22"/>
  <c r="H168" i="22"/>
  <c r="H169" i="22"/>
  <c r="H170" i="22"/>
  <c r="H171" i="22"/>
  <c r="H172" i="22"/>
  <c r="H173" i="22"/>
  <c r="H174" i="22"/>
  <c r="H175" i="22"/>
  <c r="H166" i="22"/>
  <c r="B177" i="22"/>
  <c r="B176" i="22"/>
  <c r="B175" i="22"/>
  <c r="B174" i="22"/>
  <c r="B173" i="22"/>
  <c r="B161" i="22"/>
  <c r="B160" i="22"/>
  <c r="B159" i="22"/>
  <c r="B158" i="22"/>
  <c r="B157" i="22"/>
  <c r="B145" i="22"/>
  <c r="B144" i="22"/>
  <c r="B143" i="22"/>
  <c r="B142" i="22"/>
  <c r="B141" i="22"/>
  <c r="B129" i="22"/>
  <c r="B128" i="22"/>
  <c r="B127" i="22"/>
  <c r="B126" i="22"/>
  <c r="B125" i="22"/>
  <c r="B113" i="22"/>
  <c r="B112" i="22"/>
  <c r="B111" i="22"/>
  <c r="B110" i="22"/>
  <c r="B109" i="22"/>
  <c r="B97" i="22"/>
  <c r="B96" i="22"/>
  <c r="B95" i="22"/>
  <c r="B94" i="22"/>
  <c r="B93" i="22"/>
  <c r="B81" i="22"/>
  <c r="B80" i="22"/>
  <c r="B79" i="22"/>
  <c r="B78" i="22"/>
  <c r="B77" i="22"/>
  <c r="B65" i="22"/>
  <c r="B64" i="22"/>
  <c r="B63" i="22"/>
  <c r="B62" i="22"/>
  <c r="B61" i="22"/>
  <c r="B49" i="22"/>
  <c r="B48" i="22"/>
  <c r="B47" i="22"/>
  <c r="B46" i="22"/>
  <c r="B45" i="22"/>
  <c r="B32" i="22"/>
  <c r="B31" i="22"/>
  <c r="B30" i="22"/>
  <c r="B29" i="22"/>
  <c r="B28" i="22"/>
  <c r="H22" i="21"/>
  <c r="H23" i="21"/>
  <c r="H24" i="21"/>
  <c r="H25" i="21"/>
  <c r="H26" i="21"/>
  <c r="H27" i="21"/>
  <c r="H28" i="21"/>
  <c r="H29" i="21"/>
  <c r="H30" i="21"/>
  <c r="H21" i="21"/>
  <c r="H39" i="21"/>
  <c r="H40" i="21"/>
  <c r="H41" i="21"/>
  <c r="H42" i="21"/>
  <c r="H43" i="21"/>
  <c r="H44" i="21"/>
  <c r="H45" i="21"/>
  <c r="H46" i="21"/>
  <c r="H47" i="21"/>
  <c r="H38" i="21"/>
  <c r="H55" i="21"/>
  <c r="H56" i="21"/>
  <c r="H57" i="21"/>
  <c r="H58" i="21"/>
  <c r="H59" i="21"/>
  <c r="H60" i="21"/>
  <c r="H61" i="21"/>
  <c r="H62" i="21"/>
  <c r="H63" i="21"/>
  <c r="H54" i="21"/>
  <c r="H71" i="21"/>
  <c r="H72" i="21"/>
  <c r="H73" i="21"/>
  <c r="H74" i="21"/>
  <c r="H75" i="21"/>
  <c r="H76" i="21"/>
  <c r="H77" i="21"/>
  <c r="H78" i="21"/>
  <c r="H79" i="21"/>
  <c r="H70" i="21"/>
  <c r="H87" i="21"/>
  <c r="H88" i="21"/>
  <c r="H89" i="21"/>
  <c r="H90" i="21"/>
  <c r="H91" i="21"/>
  <c r="H92" i="21"/>
  <c r="H93" i="21"/>
  <c r="H94" i="21"/>
  <c r="H95" i="21"/>
  <c r="H86" i="21"/>
  <c r="H103" i="21"/>
  <c r="H104" i="21"/>
  <c r="H105" i="21"/>
  <c r="H106" i="21"/>
  <c r="H107" i="21"/>
  <c r="H108" i="21"/>
  <c r="H109" i="21"/>
  <c r="H110" i="21"/>
  <c r="H111" i="21"/>
  <c r="H102" i="21"/>
  <c r="H119" i="21"/>
  <c r="H120" i="21"/>
  <c r="H121" i="21"/>
  <c r="H122" i="21"/>
  <c r="H123" i="21"/>
  <c r="H124" i="21"/>
  <c r="H125" i="21"/>
  <c r="H126" i="21"/>
  <c r="H127" i="21"/>
  <c r="H118" i="21"/>
  <c r="H135" i="21"/>
  <c r="H136" i="21"/>
  <c r="H137" i="21"/>
  <c r="H138" i="21"/>
  <c r="H139" i="21"/>
  <c r="H140" i="21"/>
  <c r="H141" i="21"/>
  <c r="H142" i="21"/>
  <c r="H143" i="21"/>
  <c r="H134" i="21"/>
  <c r="H151" i="21"/>
  <c r="H152" i="21"/>
  <c r="H153" i="21"/>
  <c r="H154" i="21"/>
  <c r="H155" i="21"/>
  <c r="H156" i="21"/>
  <c r="H157" i="21"/>
  <c r="H158" i="21"/>
  <c r="H159" i="21"/>
  <c r="H150" i="21"/>
  <c r="H167" i="21"/>
  <c r="H168" i="21"/>
  <c r="H169" i="21"/>
  <c r="H170" i="21"/>
  <c r="H171" i="21"/>
  <c r="H172" i="21"/>
  <c r="H173" i="21"/>
  <c r="H174" i="21"/>
  <c r="H175" i="21"/>
  <c r="H166" i="21"/>
  <c r="B177" i="21"/>
  <c r="B176" i="21"/>
  <c r="B175" i="21"/>
  <c r="B174" i="21"/>
  <c r="B173" i="21"/>
  <c r="B161" i="21"/>
  <c r="B160" i="21"/>
  <c r="B159" i="21"/>
  <c r="B158" i="21"/>
  <c r="B157" i="21"/>
  <c r="B145" i="21"/>
  <c r="B144" i="21"/>
  <c r="B143" i="21"/>
  <c r="B142" i="21"/>
  <c r="B141" i="21"/>
  <c r="B129" i="21"/>
  <c r="B128" i="21"/>
  <c r="B127" i="21"/>
  <c r="B126" i="21"/>
  <c r="B125" i="21"/>
  <c r="B113" i="21"/>
  <c r="B112" i="21"/>
  <c r="B111" i="21"/>
  <c r="B110" i="21"/>
  <c r="B109" i="21"/>
  <c r="B49" i="21"/>
  <c r="B48" i="21"/>
  <c r="B47" i="21"/>
  <c r="B46" i="21"/>
  <c r="B45" i="21"/>
  <c r="B65" i="21"/>
  <c r="B64" i="21"/>
  <c r="B63" i="21"/>
  <c r="B62" i="21"/>
  <c r="B61" i="21"/>
  <c r="B81" i="21"/>
  <c r="B80" i="21"/>
  <c r="B79" i="21"/>
  <c r="B78" i="21"/>
  <c r="B77" i="21"/>
  <c r="B97" i="21"/>
  <c r="B96" i="21"/>
  <c r="B95" i="21"/>
  <c r="B94" i="21"/>
  <c r="B93" i="21"/>
  <c r="B32" i="21"/>
  <c r="B31" i="21"/>
  <c r="B30" i="21"/>
  <c r="B29" i="21"/>
  <c r="B28" i="21"/>
  <c r="B49" i="19"/>
  <c r="B48" i="19"/>
  <c r="B47" i="19"/>
  <c r="B46" i="19"/>
  <c r="B45" i="19"/>
  <c r="B64" i="19"/>
  <c r="B63" i="19"/>
  <c r="B62" i="19"/>
  <c r="B61" i="19"/>
  <c r="B60" i="19"/>
  <c r="B80" i="19"/>
  <c r="B79" i="19"/>
  <c r="B78" i="19"/>
  <c r="B77" i="19"/>
  <c r="B76" i="19"/>
  <c r="B96" i="19"/>
  <c r="B95" i="19"/>
  <c r="B94" i="19"/>
  <c r="B93" i="19"/>
  <c r="B92" i="19"/>
  <c r="B112" i="19"/>
  <c r="B111" i="19"/>
  <c r="B110" i="19"/>
  <c r="B109" i="19"/>
  <c r="B108" i="19"/>
  <c r="B128" i="19"/>
  <c r="B127" i="19"/>
  <c r="B126" i="19"/>
  <c r="B125" i="19"/>
  <c r="B124" i="19"/>
  <c r="B144" i="19"/>
  <c r="B143" i="19"/>
  <c r="B142" i="19"/>
  <c r="B141" i="19"/>
  <c r="B140" i="19"/>
  <c r="B160" i="19"/>
  <c r="B159" i="19"/>
  <c r="B158" i="19"/>
  <c r="B157" i="19"/>
  <c r="B156" i="19"/>
  <c r="B176" i="19"/>
  <c r="B175" i="19"/>
  <c r="B174" i="19"/>
  <c r="B173" i="19"/>
  <c r="B172" i="19"/>
  <c r="H166" i="19"/>
  <c r="H167" i="19"/>
  <c r="H168" i="19"/>
  <c r="H169" i="19"/>
  <c r="H170" i="19"/>
  <c r="H171" i="19"/>
  <c r="H172" i="19"/>
  <c r="H173" i="19"/>
  <c r="H174" i="19"/>
  <c r="H165" i="19"/>
  <c r="H150" i="19"/>
  <c r="H151" i="19"/>
  <c r="H152" i="19"/>
  <c r="H153" i="19"/>
  <c r="H154" i="19"/>
  <c r="H155" i="19"/>
  <c r="H156" i="19"/>
  <c r="H157" i="19"/>
  <c r="H158" i="19"/>
  <c r="H149" i="19"/>
  <c r="H134" i="19"/>
  <c r="H135" i="19"/>
  <c r="H136" i="19"/>
  <c r="H137" i="19"/>
  <c r="H138" i="19"/>
  <c r="H139" i="19"/>
  <c r="H140" i="19"/>
  <c r="H141" i="19"/>
  <c r="H142" i="19"/>
  <c r="H133" i="19"/>
  <c r="H118" i="19"/>
  <c r="H119" i="19"/>
  <c r="H120" i="19"/>
  <c r="H121" i="19"/>
  <c r="H122" i="19"/>
  <c r="H123" i="19"/>
  <c r="H124" i="19"/>
  <c r="H125" i="19"/>
  <c r="H126" i="19"/>
  <c r="H117" i="19"/>
  <c r="H102" i="19"/>
  <c r="H103" i="19"/>
  <c r="H104" i="19"/>
  <c r="H105" i="19"/>
  <c r="H106" i="19"/>
  <c r="H107" i="19"/>
  <c r="H108" i="19"/>
  <c r="H109" i="19"/>
  <c r="H110" i="19"/>
  <c r="H101" i="19"/>
  <c r="H86" i="19"/>
  <c r="H87" i="19"/>
  <c r="H88" i="19"/>
  <c r="H89" i="19"/>
  <c r="H90" i="19"/>
  <c r="H91" i="19"/>
  <c r="H92" i="19"/>
  <c r="H93" i="19"/>
  <c r="H94" i="19"/>
  <c r="H85" i="19"/>
  <c r="H70" i="19"/>
  <c r="H71" i="19"/>
  <c r="H72" i="19"/>
  <c r="H73" i="19"/>
  <c r="H74" i="19"/>
  <c r="H75" i="19"/>
  <c r="H76" i="19"/>
  <c r="H77" i="19"/>
  <c r="H78" i="19"/>
  <c r="H69" i="19"/>
  <c r="H54" i="19"/>
  <c r="H55" i="19"/>
  <c r="H56" i="19"/>
  <c r="H57" i="19"/>
  <c r="H58" i="19"/>
  <c r="H59" i="19"/>
  <c r="H60" i="19"/>
  <c r="H61" i="19"/>
  <c r="H62" i="19"/>
  <c r="H53" i="19"/>
  <c r="H39" i="19"/>
  <c r="H40" i="19"/>
  <c r="H41" i="19"/>
  <c r="H42" i="19"/>
  <c r="H43" i="19"/>
  <c r="H44" i="19"/>
  <c r="H45" i="19"/>
  <c r="H46" i="19"/>
  <c r="H47" i="19"/>
  <c r="H38" i="19"/>
  <c r="H22" i="19"/>
  <c r="H23" i="19"/>
  <c r="H24" i="19"/>
  <c r="H25" i="19"/>
  <c r="H26" i="19"/>
  <c r="H27" i="19"/>
  <c r="H28" i="19"/>
  <c r="H29" i="19"/>
  <c r="H30" i="19"/>
  <c r="H21" i="19"/>
  <c r="B32" i="19"/>
  <c r="B31" i="19"/>
  <c r="B30" i="19"/>
  <c r="B29" i="19"/>
  <c r="B28" i="19"/>
  <c r="H166" i="8"/>
  <c r="H167" i="8"/>
  <c r="H168" i="8"/>
  <c r="H169" i="8"/>
  <c r="H170" i="8"/>
  <c r="H171" i="8"/>
  <c r="H172" i="8"/>
  <c r="H173" i="8"/>
  <c r="H174" i="8"/>
  <c r="H149" i="8"/>
  <c r="H150" i="8"/>
  <c r="H151" i="8"/>
  <c r="H152" i="8"/>
  <c r="H153" i="8"/>
  <c r="H154" i="8"/>
  <c r="H155" i="8"/>
  <c r="H156" i="8"/>
  <c r="H157" i="8"/>
  <c r="H133" i="8"/>
  <c r="H134" i="8"/>
  <c r="H135" i="8"/>
  <c r="H136" i="8"/>
  <c r="H137" i="8"/>
  <c r="H138" i="8"/>
  <c r="H139" i="8"/>
  <c r="H140" i="8"/>
  <c r="H141" i="8"/>
  <c r="H117" i="8"/>
  <c r="H118" i="8"/>
  <c r="H119" i="8"/>
  <c r="H120" i="8"/>
  <c r="H121" i="8"/>
  <c r="H122" i="8"/>
  <c r="H123" i="8"/>
  <c r="H124" i="8"/>
  <c r="H125" i="8"/>
  <c r="H101" i="8"/>
  <c r="H102" i="8"/>
  <c r="H103" i="8"/>
  <c r="H104" i="8"/>
  <c r="H105" i="8"/>
  <c r="H106" i="8"/>
  <c r="H107" i="8"/>
  <c r="H108" i="8"/>
  <c r="H109" i="8"/>
  <c r="H85" i="8"/>
  <c r="H86" i="8"/>
  <c r="H87" i="8"/>
  <c r="H88" i="8"/>
  <c r="H89" i="8"/>
  <c r="H90" i="8"/>
  <c r="H91" i="8"/>
  <c r="H92" i="8"/>
  <c r="H93" i="8"/>
  <c r="H69" i="8"/>
  <c r="H70" i="8"/>
  <c r="H71" i="8"/>
  <c r="H72" i="8"/>
  <c r="H73" i="8"/>
  <c r="H74" i="8"/>
  <c r="H75" i="8"/>
  <c r="H76" i="8"/>
  <c r="H77" i="8"/>
  <c r="H53" i="8"/>
  <c r="H54" i="8"/>
  <c r="H55" i="8"/>
  <c r="H56" i="8"/>
  <c r="H57" i="8"/>
  <c r="H58" i="8"/>
  <c r="H59" i="8"/>
  <c r="H60" i="8"/>
  <c r="H61" i="8"/>
  <c r="H165" i="8"/>
  <c r="H148" i="8"/>
  <c r="H132" i="8"/>
  <c r="H116" i="8"/>
  <c r="H100" i="8"/>
  <c r="H84" i="8"/>
  <c r="H68" i="8"/>
  <c r="H52" i="8"/>
  <c r="H37" i="8"/>
  <c r="H38" i="8"/>
  <c r="H39" i="8"/>
  <c r="H40" i="8"/>
  <c r="H41" i="8"/>
  <c r="H42" i="8"/>
  <c r="H43" i="8"/>
  <c r="H44" i="8"/>
  <c r="H45" i="8"/>
  <c r="H46" i="8"/>
  <c r="H21" i="8"/>
  <c r="H22" i="8"/>
  <c r="H23" i="8"/>
  <c r="H24" i="8"/>
  <c r="H25" i="8"/>
  <c r="H26" i="8"/>
  <c r="H27" i="8"/>
  <c r="H28" i="8"/>
  <c r="H29" i="8"/>
  <c r="H30" i="8"/>
  <c r="B176" i="8"/>
  <c r="B175" i="8"/>
  <c r="B174" i="8"/>
  <c r="B173" i="8"/>
  <c r="B172" i="8"/>
  <c r="B159" i="8"/>
  <c r="B158" i="8"/>
  <c r="B157" i="8"/>
  <c r="B156" i="8"/>
  <c r="B155" i="8"/>
  <c r="B143" i="8"/>
  <c r="B142" i="8"/>
  <c r="B141" i="8"/>
  <c r="B140" i="8"/>
  <c r="B139" i="8"/>
  <c r="B127" i="8"/>
  <c r="B126" i="8"/>
  <c r="B125" i="8"/>
  <c r="B124" i="8"/>
  <c r="B123" i="8"/>
  <c r="B111" i="8"/>
  <c r="B110" i="8"/>
  <c r="B109" i="8"/>
  <c r="B108" i="8"/>
  <c r="B107" i="8"/>
  <c r="B95" i="8"/>
  <c r="B94" i="8"/>
  <c r="B93" i="8"/>
  <c r="B92" i="8"/>
  <c r="B91" i="8"/>
  <c r="B79" i="8"/>
  <c r="B78" i="8"/>
  <c r="B77" i="8"/>
  <c r="B76" i="8"/>
  <c r="B75" i="8"/>
  <c r="B63" i="8"/>
  <c r="B62" i="8"/>
  <c r="B61" i="8"/>
  <c r="B60" i="8"/>
  <c r="B59" i="8"/>
  <c r="B48" i="8"/>
  <c r="B47" i="8"/>
  <c r="B46" i="8"/>
  <c r="B45" i="8"/>
  <c r="B44" i="8"/>
  <c r="B30" i="8"/>
  <c r="B32" i="8"/>
  <c r="B29" i="8"/>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7" i="9"/>
  <c r="Q4" i="9"/>
  <c r="Q3" i="9"/>
  <c r="L20" i="28"/>
  <c r="L164" i="28"/>
  <c r="L148" i="28"/>
  <c r="L131" i="28"/>
  <c r="L115" i="28"/>
  <c r="L99" i="28"/>
  <c r="L83" i="28"/>
  <c r="L67" i="28"/>
  <c r="L51" i="28"/>
  <c r="L36" i="28"/>
  <c r="L164" i="27"/>
  <c r="L148" i="27"/>
  <c r="L132" i="27"/>
  <c r="L116" i="27"/>
  <c r="L100" i="27"/>
  <c r="L84" i="27"/>
  <c r="L68" i="27"/>
  <c r="L52" i="27"/>
  <c r="L37" i="27"/>
  <c r="L20" i="27"/>
  <c r="L165" i="26"/>
  <c r="L149" i="26"/>
  <c r="L133" i="26"/>
  <c r="L117" i="26"/>
  <c r="L101" i="26"/>
  <c r="L84" i="26"/>
  <c r="L68" i="26"/>
  <c r="L52" i="26"/>
  <c r="L37" i="26"/>
  <c r="L20" i="26"/>
  <c r="L165" i="25"/>
  <c r="L149" i="25"/>
  <c r="L133" i="25"/>
  <c r="L117" i="25"/>
  <c r="L101" i="25"/>
  <c r="L84" i="25"/>
  <c r="L68" i="25"/>
  <c r="L52" i="25"/>
  <c r="L37" i="25"/>
  <c r="L20" i="25"/>
  <c r="L165" i="24"/>
  <c r="L149" i="24"/>
  <c r="L133" i="24"/>
  <c r="L117" i="24"/>
  <c r="L101" i="24"/>
  <c r="L85" i="24"/>
  <c r="L69" i="24"/>
  <c r="L52" i="24"/>
  <c r="L37" i="24"/>
  <c r="L20" i="24"/>
  <c r="L165" i="23"/>
  <c r="L149" i="23"/>
  <c r="L133" i="23"/>
  <c r="L117" i="23"/>
  <c r="L101" i="23"/>
  <c r="L85" i="23"/>
  <c r="L69" i="23"/>
  <c r="L53" i="23"/>
  <c r="L37" i="23"/>
  <c r="L20" i="23"/>
  <c r="L133" i="22"/>
  <c r="L117" i="22"/>
  <c r="L165" i="22"/>
  <c r="L149" i="22"/>
  <c r="L101" i="22"/>
  <c r="L85" i="22"/>
  <c r="L69" i="22"/>
  <c r="L53" i="22"/>
  <c r="L37" i="22"/>
  <c r="L20" i="22"/>
  <c r="L165" i="21"/>
  <c r="L149" i="21"/>
  <c r="L133" i="21"/>
  <c r="L117" i="21"/>
  <c r="L101" i="21"/>
  <c r="L85" i="21"/>
  <c r="L69" i="21"/>
  <c r="L53" i="21"/>
  <c r="L37" i="21"/>
  <c r="L20" i="21"/>
  <c r="L164" i="19"/>
  <c r="L148" i="19"/>
  <c r="L132" i="19"/>
  <c r="L116" i="19"/>
  <c r="L100" i="19"/>
  <c r="L84" i="19"/>
  <c r="L68" i="19"/>
  <c r="L52" i="19"/>
  <c r="L37" i="19"/>
  <c r="L20" i="19"/>
  <c r="L164" i="8"/>
  <c r="L147" i="8"/>
  <c r="L131" i="8"/>
  <c r="L115" i="8"/>
  <c r="L99" i="8"/>
  <c r="L83" i="8"/>
  <c r="L67" i="8"/>
  <c r="L51" i="8"/>
  <c r="L36" i="8"/>
  <c r="L20" i="8"/>
  <c r="K164" i="28"/>
  <c r="K148" i="28"/>
  <c r="K131" i="28"/>
  <c r="K115" i="28"/>
  <c r="K99" i="28"/>
  <c r="K83" i="28"/>
  <c r="K67" i="28"/>
  <c r="K51" i="28"/>
  <c r="K36" i="28"/>
  <c r="K164" i="27"/>
  <c r="K148" i="27"/>
  <c r="K132" i="27"/>
  <c r="K116" i="27"/>
  <c r="K100" i="27"/>
  <c r="K84" i="27"/>
  <c r="K68" i="27"/>
  <c r="K52" i="27"/>
  <c r="K37" i="27"/>
  <c r="K165" i="26"/>
  <c r="K149" i="26"/>
  <c r="K133" i="26"/>
  <c r="K117" i="26"/>
  <c r="K101" i="26"/>
  <c r="K84" i="26"/>
  <c r="K68" i="26"/>
  <c r="K52" i="26"/>
  <c r="K37" i="26"/>
  <c r="K165" i="25"/>
  <c r="K149" i="25"/>
  <c r="K133" i="25"/>
  <c r="K117" i="25"/>
  <c r="K101" i="25"/>
  <c r="K84" i="25"/>
  <c r="K68" i="25"/>
  <c r="K52" i="25"/>
  <c r="K37" i="25"/>
  <c r="K165" i="24"/>
  <c r="K149" i="24"/>
  <c r="K133" i="24"/>
  <c r="K117" i="24"/>
  <c r="K101" i="24"/>
  <c r="K85" i="24"/>
  <c r="K69" i="24"/>
  <c r="K52" i="24"/>
  <c r="K37" i="24"/>
  <c r="K165" i="23"/>
  <c r="K149" i="23"/>
  <c r="K133" i="23"/>
  <c r="K117" i="23"/>
  <c r="K101" i="23"/>
  <c r="K85" i="23"/>
  <c r="K69" i="23"/>
  <c r="K53" i="23"/>
  <c r="K37" i="23"/>
  <c r="K165" i="22"/>
  <c r="K149" i="22"/>
  <c r="K133" i="22"/>
  <c r="K117" i="22"/>
  <c r="K101" i="22"/>
  <c r="K85" i="22"/>
  <c r="K69" i="22"/>
  <c r="K53" i="22"/>
  <c r="K37" i="22"/>
  <c r="K165" i="21"/>
  <c r="K149" i="21"/>
  <c r="K133" i="21"/>
  <c r="K117" i="21"/>
  <c r="K101" i="21"/>
  <c r="K85" i="21"/>
  <c r="K69" i="21"/>
  <c r="K53" i="21"/>
  <c r="K37" i="21"/>
  <c r="K164" i="19"/>
  <c r="K148" i="19"/>
  <c r="K132" i="19"/>
  <c r="K116" i="19"/>
  <c r="K100" i="19"/>
  <c r="K84" i="19"/>
  <c r="K68" i="19"/>
  <c r="K52" i="19"/>
  <c r="K37" i="19"/>
  <c r="K164" i="8"/>
  <c r="K147" i="8"/>
  <c r="K131" i="8"/>
  <c r="K115" i="8"/>
  <c r="K99" i="8"/>
  <c r="K83" i="8"/>
  <c r="K67" i="8"/>
  <c r="K51" i="8"/>
  <c r="K36" i="8"/>
  <c r="E26" i="5"/>
  <c r="K26" i="5"/>
  <c r="AN62" i="7"/>
  <c r="AM62" i="7"/>
  <c r="J144" i="5" s="1"/>
  <c r="AJ62" i="7"/>
  <c r="AI62" i="7"/>
  <c r="AF62" i="7"/>
  <c r="J140" i="5" s="1"/>
  <c r="AE62" i="7"/>
  <c r="AB62" i="7"/>
  <c r="AA62" i="7"/>
  <c r="AN61" i="7"/>
  <c r="AM61" i="7"/>
  <c r="AJ61" i="7"/>
  <c r="AI61" i="7"/>
  <c r="AF61" i="7"/>
  <c r="D140" i="5" s="1"/>
  <c r="AE61" i="7"/>
  <c r="D139" i="5" s="1"/>
  <c r="AB61" i="7"/>
  <c r="AA61" i="7"/>
  <c r="AN60" i="7"/>
  <c r="AM60" i="7"/>
  <c r="AJ60" i="7"/>
  <c r="AI60" i="7"/>
  <c r="J115" i="5" s="1"/>
  <c r="AF60" i="7"/>
  <c r="AE60" i="7"/>
  <c r="AB60" i="7"/>
  <c r="AA60" i="7"/>
  <c r="AN59" i="7"/>
  <c r="AM59" i="7"/>
  <c r="AJ59" i="7"/>
  <c r="AI59" i="7"/>
  <c r="AF59" i="7"/>
  <c r="AE59" i="7"/>
  <c r="AB59" i="7"/>
  <c r="AA59" i="7"/>
  <c r="B59" i="7" a="1"/>
  <c r="B59" i="7" s="1"/>
  <c r="AN58" i="7"/>
  <c r="AM58" i="7"/>
  <c r="AJ58" i="7"/>
  <c r="AI58" i="7"/>
  <c r="J89" i="5" s="1"/>
  <c r="AF58" i="7"/>
  <c r="AE58" i="7"/>
  <c r="AB58" i="7"/>
  <c r="AA58" i="7"/>
  <c r="B58" i="7" a="1"/>
  <c r="B58" i="7" s="1"/>
  <c r="AN57" i="7"/>
  <c r="AM57" i="7"/>
  <c r="AJ57" i="7"/>
  <c r="AI57" i="7"/>
  <c r="AF57" i="7"/>
  <c r="AE57" i="7"/>
  <c r="AB57" i="7"/>
  <c r="AA57" i="7"/>
  <c r="B57" i="7" a="1"/>
  <c r="B57" i="7" s="1"/>
  <c r="AN56" i="7"/>
  <c r="AM56" i="7"/>
  <c r="J66" i="5" s="1"/>
  <c r="AJ56" i="7"/>
  <c r="J64" i="5" s="1"/>
  <c r="AI56" i="7"/>
  <c r="AF56" i="7"/>
  <c r="J62" i="5" s="1"/>
  <c r="AE56" i="7"/>
  <c r="AB56" i="7"/>
  <c r="AA56" i="7"/>
  <c r="B56" i="7" a="1"/>
  <c r="B56" i="7" s="1"/>
  <c r="AN55" i="7"/>
  <c r="D67" i="5" s="1"/>
  <c r="AM55" i="7"/>
  <c r="AJ55" i="7"/>
  <c r="D64" i="5" s="1"/>
  <c r="AI55" i="7"/>
  <c r="AF55" i="7"/>
  <c r="AE55" i="7"/>
  <c r="AB55" i="7"/>
  <c r="AA55" i="7"/>
  <c r="B55" i="7" a="1"/>
  <c r="B55" i="7" s="1"/>
  <c r="AN54" i="7"/>
  <c r="AM54" i="7"/>
  <c r="AJ54" i="7"/>
  <c r="J38" i="5" s="1"/>
  <c r="AI54" i="7"/>
  <c r="AF54" i="7"/>
  <c r="J36" i="5" s="1"/>
  <c r="AE54" i="7"/>
  <c r="AB54" i="7"/>
  <c r="AA54" i="7"/>
  <c r="B54" i="7" a="1"/>
  <c r="B54" i="7" s="1"/>
  <c r="AN53" i="7"/>
  <c r="AM53" i="7"/>
  <c r="AJ53" i="7"/>
  <c r="AI53" i="7"/>
  <c r="AF53" i="7"/>
  <c r="AE53" i="7"/>
  <c r="AB53" i="7"/>
  <c r="AA53" i="7"/>
  <c r="B53" i="7" a="1"/>
  <c r="B53" i="7" s="1"/>
  <c r="B52" i="7" a="1"/>
  <c r="B52" i="7" s="1"/>
  <c r="B51" i="7" a="1"/>
  <c r="B51" i="7"/>
  <c r="B50" i="7" a="1"/>
  <c r="B50" i="7" s="1"/>
  <c r="BC48" i="7"/>
  <c r="BB48" i="7"/>
  <c r="BA48" i="7"/>
  <c r="AZ48" i="7"/>
  <c r="AY48" i="7"/>
  <c r="AX48" i="7"/>
  <c r="AW48" i="7"/>
  <c r="AV48" i="7"/>
  <c r="AT48" i="7"/>
  <c r="AS48" i="7"/>
  <c r="AR48" i="7"/>
  <c r="AQ48" i="7"/>
  <c r="AP48" i="7"/>
  <c r="AO48" i="7"/>
  <c r="AN48" i="7"/>
  <c r="AM48" i="7"/>
  <c r="AL48" i="7"/>
  <c r="AK48" i="7"/>
  <c r="AJ48" i="7"/>
  <c r="AG48" i="7"/>
  <c r="AF48" i="7"/>
  <c r="AE48" i="7"/>
  <c r="AD48" i="7"/>
  <c r="AC48" i="7"/>
  <c r="AB48" i="7"/>
  <c r="AA48" i="7"/>
  <c r="Z48" i="7"/>
  <c r="Y48" i="7"/>
  <c r="X48" i="7"/>
  <c r="T48" i="7"/>
  <c r="R48" i="7"/>
  <c r="K48" i="7"/>
  <c r="B48" i="7"/>
  <c r="V48" i="7" s="1"/>
  <c r="AS47" i="7"/>
  <c r="AT47" i="7"/>
  <c r="AO47" i="7"/>
  <c r="AP47" i="7"/>
  <c r="AK47" i="7"/>
  <c r="AL47" i="7"/>
  <c r="AG47" i="7"/>
  <c r="T47" i="7"/>
  <c r="R47" i="7"/>
  <c r="K47" i="7"/>
  <c r="B47" i="7"/>
  <c r="W47" i="7" s="1"/>
  <c r="BC46" i="7"/>
  <c r="BB46" i="7"/>
  <c r="BA46" i="7"/>
  <c r="AZ46" i="7"/>
  <c r="AY46" i="7"/>
  <c r="AX46" i="7"/>
  <c r="AW46" i="7"/>
  <c r="AV46" i="7"/>
  <c r="AU46" i="7"/>
  <c r="AT46" i="7"/>
  <c r="AS46" i="7"/>
  <c r="AR46" i="7"/>
  <c r="AQ46" i="7"/>
  <c r="AP46" i="7"/>
  <c r="AO46" i="7"/>
  <c r="AN46" i="7"/>
  <c r="AM46" i="7"/>
  <c r="AL46" i="7"/>
  <c r="AK46" i="7"/>
  <c r="AJ46" i="7"/>
  <c r="AG46" i="7"/>
  <c r="AF46" i="7"/>
  <c r="AE46" i="7"/>
  <c r="AD46" i="7"/>
  <c r="AC46" i="7"/>
  <c r="AB46" i="7"/>
  <c r="AA46" i="7"/>
  <c r="Z46" i="7"/>
  <c r="Y46" i="7"/>
  <c r="X46" i="7"/>
  <c r="T46" i="7"/>
  <c r="R46" i="7"/>
  <c r="K46" i="7"/>
  <c r="B46" i="7"/>
  <c r="W46" i="7" s="1"/>
  <c r="V46" i="7"/>
  <c r="BC45" i="7"/>
  <c r="BB45" i="7"/>
  <c r="BA45" i="7"/>
  <c r="AZ45" i="7"/>
  <c r="AY45" i="7"/>
  <c r="AX45" i="7"/>
  <c r="AW45" i="7"/>
  <c r="AV45" i="7"/>
  <c r="AU45" i="7"/>
  <c r="AT45" i="7"/>
  <c r="AS45" i="7"/>
  <c r="AR45" i="7"/>
  <c r="AQ45" i="7"/>
  <c r="AP45" i="7"/>
  <c r="AO45" i="7"/>
  <c r="AN45" i="7"/>
  <c r="AM45" i="7"/>
  <c r="AL45" i="7"/>
  <c r="AK45" i="7"/>
  <c r="AJ45" i="7"/>
  <c r="AG45" i="7"/>
  <c r="AF45" i="7"/>
  <c r="AE45" i="7"/>
  <c r="AD45" i="7"/>
  <c r="AC45" i="7"/>
  <c r="AB45" i="7"/>
  <c r="AA45" i="7"/>
  <c r="Z45" i="7"/>
  <c r="Y45" i="7"/>
  <c r="X45" i="7"/>
  <c r="T45" i="7"/>
  <c r="R45" i="7"/>
  <c r="K45" i="7"/>
  <c r="B45" i="7"/>
  <c r="V45" i="7" s="1"/>
  <c r="BC44" i="7"/>
  <c r="BB44" i="7"/>
  <c r="BA44" i="7"/>
  <c r="AZ44" i="7"/>
  <c r="AY44" i="7"/>
  <c r="AX44" i="7"/>
  <c r="AW44" i="7"/>
  <c r="AV44" i="7"/>
  <c r="AU44" i="7"/>
  <c r="AT44" i="7"/>
  <c r="AS44" i="7"/>
  <c r="AR44" i="7"/>
  <c r="AQ44" i="7"/>
  <c r="AP44" i="7"/>
  <c r="AO44" i="7"/>
  <c r="AN44" i="7"/>
  <c r="AM44" i="7"/>
  <c r="AL44" i="7"/>
  <c r="AK44" i="7"/>
  <c r="AJ44" i="7"/>
  <c r="AG44" i="7"/>
  <c r="AF44" i="7"/>
  <c r="AE44" i="7"/>
  <c r="AD44" i="7"/>
  <c r="AC44" i="7"/>
  <c r="AB44" i="7"/>
  <c r="AA44" i="7"/>
  <c r="Z44" i="7"/>
  <c r="Y44" i="7"/>
  <c r="X44" i="7"/>
  <c r="T44" i="7"/>
  <c r="R44" i="7"/>
  <c r="K44" i="7"/>
  <c r="B44" i="7"/>
  <c r="V44" i="7" s="1"/>
  <c r="BC43" i="7"/>
  <c r="BB43" i="7"/>
  <c r="BA43" i="7"/>
  <c r="AZ43" i="7"/>
  <c r="AY43" i="7"/>
  <c r="AX43" i="7"/>
  <c r="AW43" i="7"/>
  <c r="AV43" i="7"/>
  <c r="AU43" i="7"/>
  <c r="AT43" i="7"/>
  <c r="AS43" i="7"/>
  <c r="AR43" i="7"/>
  <c r="AQ43" i="7"/>
  <c r="AP43" i="7"/>
  <c r="AO43" i="7"/>
  <c r="AN43" i="7"/>
  <c r="AM43" i="7"/>
  <c r="AL43" i="7"/>
  <c r="AK43" i="7"/>
  <c r="AJ43" i="7"/>
  <c r="AG43" i="7"/>
  <c r="AF43" i="7"/>
  <c r="AE43" i="7"/>
  <c r="AD43" i="7"/>
  <c r="AC43" i="7"/>
  <c r="AB43" i="7"/>
  <c r="AA43" i="7"/>
  <c r="Z43" i="7"/>
  <c r="Y43" i="7"/>
  <c r="X43" i="7"/>
  <c r="T43" i="7"/>
  <c r="R43" i="7"/>
  <c r="K43" i="7"/>
  <c r="B43" i="7"/>
  <c r="W43" i="7" s="1"/>
  <c r="BC42" i="7"/>
  <c r="BB42" i="7"/>
  <c r="BA42" i="7"/>
  <c r="AZ42" i="7"/>
  <c r="AY42" i="7"/>
  <c r="AX42" i="7"/>
  <c r="AW42" i="7"/>
  <c r="AV42" i="7"/>
  <c r="AU42" i="7"/>
  <c r="AT42" i="7"/>
  <c r="AS42" i="7"/>
  <c r="AR42" i="7"/>
  <c r="AQ42" i="7"/>
  <c r="AP42" i="7"/>
  <c r="AO42" i="7"/>
  <c r="AN42" i="7"/>
  <c r="AM42" i="7"/>
  <c r="AL42" i="7"/>
  <c r="AK42" i="7"/>
  <c r="AJ42" i="7"/>
  <c r="AG42" i="7"/>
  <c r="AF42" i="7"/>
  <c r="AE42" i="7"/>
  <c r="AD42" i="7"/>
  <c r="AC42" i="7"/>
  <c r="AB42" i="7"/>
  <c r="AA42" i="7"/>
  <c r="Z42" i="7"/>
  <c r="Y42" i="7"/>
  <c r="X42" i="7"/>
  <c r="T42" i="7"/>
  <c r="R42" i="7"/>
  <c r="K42" i="7"/>
  <c r="B42" i="7"/>
  <c r="V42" i="7"/>
  <c r="BC41" i="7"/>
  <c r="BB41" i="7"/>
  <c r="BA41" i="7"/>
  <c r="AZ41" i="7"/>
  <c r="AY41" i="7"/>
  <c r="AX41" i="7"/>
  <c r="AW41" i="7"/>
  <c r="AV41" i="7"/>
  <c r="AU41" i="7"/>
  <c r="AT41" i="7"/>
  <c r="AS41" i="7"/>
  <c r="AR41" i="7"/>
  <c r="AQ41" i="7"/>
  <c r="AP41" i="7"/>
  <c r="AO41" i="7"/>
  <c r="AN41" i="7"/>
  <c r="AM41" i="7"/>
  <c r="AL41" i="7"/>
  <c r="AK41" i="7"/>
  <c r="AJ41" i="7"/>
  <c r="AG41" i="7"/>
  <c r="AF41" i="7"/>
  <c r="AE41" i="7"/>
  <c r="AD41" i="7"/>
  <c r="AC41" i="7"/>
  <c r="AB41" i="7"/>
  <c r="AA41" i="7"/>
  <c r="Z41" i="7"/>
  <c r="Y41" i="7"/>
  <c r="X41" i="7"/>
  <c r="T41" i="7"/>
  <c r="R41" i="7"/>
  <c r="K41" i="7"/>
  <c r="B41" i="7"/>
  <c r="W41" i="7" s="1"/>
  <c r="BC40" i="7"/>
  <c r="BB40" i="7"/>
  <c r="BA40" i="7"/>
  <c r="AZ40" i="7"/>
  <c r="AY40" i="7"/>
  <c r="AX40" i="7"/>
  <c r="AW40" i="7"/>
  <c r="AV40" i="7"/>
  <c r="AU40" i="7"/>
  <c r="AT40" i="7"/>
  <c r="AS40" i="7"/>
  <c r="AR40" i="7"/>
  <c r="AQ40" i="7"/>
  <c r="AP40" i="7"/>
  <c r="AO40" i="7"/>
  <c r="AN40" i="7"/>
  <c r="AM40" i="7"/>
  <c r="AL40" i="7"/>
  <c r="AK40" i="7"/>
  <c r="AJ40" i="7"/>
  <c r="AG40" i="7"/>
  <c r="AF40" i="7"/>
  <c r="AE40" i="7"/>
  <c r="AD40" i="7"/>
  <c r="AC40" i="7"/>
  <c r="AB40" i="7"/>
  <c r="AA40" i="7"/>
  <c r="Z40" i="7"/>
  <c r="Y40" i="7"/>
  <c r="X40" i="7"/>
  <c r="T40" i="7"/>
  <c r="R40" i="7"/>
  <c r="K40" i="7"/>
  <c r="B40" i="7"/>
  <c r="V40" i="7" s="1"/>
  <c r="BC39" i="7"/>
  <c r="BB39" i="7"/>
  <c r="BA39" i="7"/>
  <c r="AZ39" i="7"/>
  <c r="AY39" i="7"/>
  <c r="AX39" i="7"/>
  <c r="AW39" i="7"/>
  <c r="AV39" i="7"/>
  <c r="AU39" i="7"/>
  <c r="AT39" i="7"/>
  <c r="AS39" i="7"/>
  <c r="AR39" i="7"/>
  <c r="AQ39" i="7"/>
  <c r="AP39" i="7"/>
  <c r="AO39" i="7"/>
  <c r="AN39" i="7"/>
  <c r="AM39" i="7"/>
  <c r="AL39" i="7"/>
  <c r="AK39" i="7"/>
  <c r="AJ39" i="7"/>
  <c r="AG39" i="7"/>
  <c r="AF39" i="7"/>
  <c r="AE39" i="7"/>
  <c r="AD39" i="7"/>
  <c r="AC39" i="7"/>
  <c r="AB39" i="7"/>
  <c r="AA39" i="7"/>
  <c r="Z39" i="7"/>
  <c r="Y39" i="7"/>
  <c r="X39" i="7"/>
  <c r="T39" i="7"/>
  <c r="R39" i="7"/>
  <c r="K39" i="7"/>
  <c r="B39" i="7"/>
  <c r="W39" i="7" s="1"/>
  <c r="BC38" i="7"/>
  <c r="BB38" i="7"/>
  <c r="BA38" i="7"/>
  <c r="AZ38" i="7"/>
  <c r="AY38" i="7"/>
  <c r="AX38" i="7"/>
  <c r="AW38" i="7"/>
  <c r="AV38" i="7"/>
  <c r="AU38" i="7"/>
  <c r="AT38" i="7"/>
  <c r="AS38" i="7"/>
  <c r="AR38" i="7"/>
  <c r="AQ38" i="7"/>
  <c r="AP38" i="7"/>
  <c r="AO38" i="7"/>
  <c r="AN38" i="7"/>
  <c r="AM38" i="7"/>
  <c r="AL38" i="7"/>
  <c r="AK38" i="7"/>
  <c r="AJ38" i="7"/>
  <c r="AG38" i="7"/>
  <c r="AF38" i="7"/>
  <c r="AE38" i="7"/>
  <c r="AD38" i="7"/>
  <c r="AC38" i="7"/>
  <c r="AB38" i="7"/>
  <c r="AA38" i="7"/>
  <c r="Z38" i="7"/>
  <c r="Y38" i="7"/>
  <c r="X38" i="7"/>
  <c r="T38" i="7"/>
  <c r="R38" i="7"/>
  <c r="K38" i="7"/>
  <c r="B38" i="7"/>
  <c r="W38" i="7" s="1"/>
  <c r="BC37" i="7"/>
  <c r="BB37" i="7"/>
  <c r="BA37" i="7"/>
  <c r="AZ37" i="7"/>
  <c r="AY37" i="7"/>
  <c r="AX37" i="7"/>
  <c r="AW37" i="7"/>
  <c r="AV37" i="7"/>
  <c r="AU37" i="7"/>
  <c r="AT37" i="7"/>
  <c r="AS37" i="7"/>
  <c r="AR37" i="7"/>
  <c r="AQ37" i="7"/>
  <c r="AP37" i="7"/>
  <c r="AO37" i="7"/>
  <c r="AN37" i="7"/>
  <c r="AM37" i="7"/>
  <c r="AL37" i="7"/>
  <c r="AK37" i="7"/>
  <c r="AJ37" i="7"/>
  <c r="AG37" i="7"/>
  <c r="AF37" i="7"/>
  <c r="AE37" i="7"/>
  <c r="AD37" i="7"/>
  <c r="AC37" i="7"/>
  <c r="AB37" i="7"/>
  <c r="AA37" i="7"/>
  <c r="Z37" i="7"/>
  <c r="Y37" i="7"/>
  <c r="X37" i="7"/>
  <c r="T37" i="7"/>
  <c r="R37" i="7"/>
  <c r="K37" i="7"/>
  <c r="B37" i="7"/>
  <c r="V37" i="7" s="1"/>
  <c r="BC36" i="7"/>
  <c r="BB36" i="7"/>
  <c r="BA36" i="7"/>
  <c r="AZ36" i="7"/>
  <c r="AY36" i="7"/>
  <c r="AX36" i="7"/>
  <c r="AW36" i="7"/>
  <c r="AV36" i="7"/>
  <c r="AU36" i="7"/>
  <c r="AT36" i="7"/>
  <c r="AS36" i="7"/>
  <c r="AR36" i="7"/>
  <c r="AQ36" i="7"/>
  <c r="AP36" i="7"/>
  <c r="AO36" i="7"/>
  <c r="AN36" i="7"/>
  <c r="AM36" i="7"/>
  <c r="AL36" i="7"/>
  <c r="AK36" i="7"/>
  <c r="AJ36" i="7"/>
  <c r="AG36" i="7"/>
  <c r="AF36" i="7"/>
  <c r="AE36" i="7"/>
  <c r="AD36" i="7"/>
  <c r="AC36" i="7"/>
  <c r="AB36" i="7"/>
  <c r="AA36" i="7"/>
  <c r="Z36" i="7"/>
  <c r="Y36" i="7"/>
  <c r="X36" i="7"/>
  <c r="T36" i="7"/>
  <c r="R36" i="7"/>
  <c r="K36" i="7"/>
  <c r="B36" i="7"/>
  <c r="W36" i="7" s="1"/>
  <c r="BC35" i="7"/>
  <c r="BB35" i="7"/>
  <c r="BA35" i="7"/>
  <c r="AZ35" i="7"/>
  <c r="AY35" i="7"/>
  <c r="AX35" i="7"/>
  <c r="AW35" i="7"/>
  <c r="AV35" i="7"/>
  <c r="AU35" i="7"/>
  <c r="AT35" i="7"/>
  <c r="AS35" i="7"/>
  <c r="AR35" i="7"/>
  <c r="AQ35" i="7"/>
  <c r="AP35" i="7"/>
  <c r="AO35" i="7"/>
  <c r="AN35" i="7"/>
  <c r="AM35" i="7"/>
  <c r="AL35" i="7"/>
  <c r="AK35" i="7"/>
  <c r="AJ35" i="7"/>
  <c r="AG35" i="7"/>
  <c r="AF35" i="7"/>
  <c r="AE35" i="7"/>
  <c r="AD35" i="7"/>
  <c r="AC35" i="7"/>
  <c r="AB35" i="7"/>
  <c r="AA35" i="7"/>
  <c r="Z35" i="7"/>
  <c r="Y35" i="7"/>
  <c r="X35" i="7"/>
  <c r="T35" i="7"/>
  <c r="R35" i="7"/>
  <c r="K35" i="7"/>
  <c r="B35" i="7"/>
  <c r="W35" i="7" s="1"/>
  <c r="BC34" i="7"/>
  <c r="BB34" i="7"/>
  <c r="BA34" i="7"/>
  <c r="AZ34" i="7"/>
  <c r="AY34" i="7"/>
  <c r="AX34" i="7"/>
  <c r="AW34" i="7"/>
  <c r="AV34" i="7"/>
  <c r="AU34" i="7"/>
  <c r="AT34" i="7"/>
  <c r="AS34" i="7"/>
  <c r="AR34" i="7"/>
  <c r="AQ34" i="7"/>
  <c r="AP34" i="7"/>
  <c r="AO34" i="7"/>
  <c r="AN34" i="7"/>
  <c r="AM34" i="7"/>
  <c r="AL34" i="7"/>
  <c r="AK34" i="7"/>
  <c r="AJ34" i="7"/>
  <c r="AG34" i="7"/>
  <c r="AF34" i="7"/>
  <c r="AE34" i="7"/>
  <c r="AD34" i="7"/>
  <c r="AC34" i="7"/>
  <c r="AB34" i="7"/>
  <c r="AA34" i="7"/>
  <c r="Z34" i="7"/>
  <c r="Y34" i="7"/>
  <c r="X34" i="7"/>
  <c r="T34" i="7"/>
  <c r="R34" i="7"/>
  <c r="K34" i="7"/>
  <c r="B34" i="7"/>
  <c r="W34" i="7"/>
  <c r="BC33" i="7"/>
  <c r="BB33" i="7"/>
  <c r="BA33" i="7"/>
  <c r="AZ33" i="7"/>
  <c r="AY33" i="7"/>
  <c r="AX33" i="7"/>
  <c r="AW33" i="7"/>
  <c r="AV33" i="7"/>
  <c r="AU33" i="7"/>
  <c r="AT33" i="7"/>
  <c r="AS33" i="7"/>
  <c r="AR33" i="7"/>
  <c r="AQ33" i="7"/>
  <c r="AP33" i="7"/>
  <c r="AO33" i="7"/>
  <c r="AN33" i="7"/>
  <c r="AM33" i="7"/>
  <c r="AL33" i="7"/>
  <c r="AK33" i="7"/>
  <c r="AJ33" i="7"/>
  <c r="AG33" i="7"/>
  <c r="AF33" i="7"/>
  <c r="AE33" i="7"/>
  <c r="AD33" i="7"/>
  <c r="AC33" i="7"/>
  <c r="AB33" i="7"/>
  <c r="AA33" i="7"/>
  <c r="Z33" i="7"/>
  <c r="Y33" i="7"/>
  <c r="X33" i="7"/>
  <c r="T33" i="7"/>
  <c r="R33" i="7"/>
  <c r="K33" i="7"/>
  <c r="B33" i="7"/>
  <c r="V33" i="7" s="1"/>
  <c r="BC32" i="7"/>
  <c r="BB32" i="7"/>
  <c r="BA32" i="7"/>
  <c r="AZ32" i="7"/>
  <c r="AY32" i="7"/>
  <c r="AX32" i="7"/>
  <c r="AW32" i="7"/>
  <c r="AV32" i="7"/>
  <c r="AU32" i="7"/>
  <c r="AT32" i="7"/>
  <c r="AS32" i="7"/>
  <c r="AR32" i="7"/>
  <c r="AQ32" i="7"/>
  <c r="AP32" i="7"/>
  <c r="AO32" i="7"/>
  <c r="AN32" i="7"/>
  <c r="AM32" i="7"/>
  <c r="AL32" i="7"/>
  <c r="AK32" i="7"/>
  <c r="AJ32" i="7"/>
  <c r="AG32" i="7"/>
  <c r="AF32" i="7"/>
  <c r="AE32" i="7"/>
  <c r="AD32" i="7"/>
  <c r="AC32" i="7"/>
  <c r="AB32" i="7"/>
  <c r="AA32" i="7"/>
  <c r="Z32" i="7"/>
  <c r="Y32" i="7"/>
  <c r="X32" i="7"/>
  <c r="T32" i="7"/>
  <c r="R32" i="7"/>
  <c r="K32" i="7"/>
  <c r="B32" i="7"/>
  <c r="V32" i="7" s="1"/>
  <c r="BC31" i="7"/>
  <c r="BB31" i="7"/>
  <c r="BA31" i="7"/>
  <c r="AZ31" i="7"/>
  <c r="AY31" i="7"/>
  <c r="AX31" i="7"/>
  <c r="AW31" i="7"/>
  <c r="AV31" i="7"/>
  <c r="AU31" i="7"/>
  <c r="AT31" i="7"/>
  <c r="AS31" i="7"/>
  <c r="AR31" i="7"/>
  <c r="AQ31" i="7"/>
  <c r="AP31" i="7"/>
  <c r="AO31" i="7"/>
  <c r="AN31" i="7"/>
  <c r="AM31" i="7"/>
  <c r="AL31" i="7"/>
  <c r="AK31" i="7"/>
  <c r="AJ31" i="7"/>
  <c r="AG31" i="7"/>
  <c r="AF31" i="7"/>
  <c r="AE31" i="7"/>
  <c r="AD31" i="7"/>
  <c r="AC31" i="7"/>
  <c r="AB31" i="7"/>
  <c r="AA31" i="7"/>
  <c r="Z31" i="7"/>
  <c r="Y31" i="7"/>
  <c r="X31" i="7"/>
  <c r="T31" i="7"/>
  <c r="R31" i="7"/>
  <c r="K31" i="7"/>
  <c r="B31" i="7"/>
  <c r="W31" i="7" s="1"/>
  <c r="BC30" i="7"/>
  <c r="BB30" i="7"/>
  <c r="BA30" i="7"/>
  <c r="AZ30" i="7"/>
  <c r="AY30" i="7"/>
  <c r="AX30" i="7"/>
  <c r="AW30" i="7"/>
  <c r="AV30" i="7"/>
  <c r="AU30" i="7"/>
  <c r="AT30" i="7"/>
  <c r="AS30" i="7"/>
  <c r="AR30" i="7"/>
  <c r="AQ30" i="7"/>
  <c r="AP30" i="7"/>
  <c r="AO30" i="7"/>
  <c r="AN30" i="7"/>
  <c r="AM30" i="7"/>
  <c r="AL30" i="7"/>
  <c r="AK30" i="7"/>
  <c r="AJ30" i="7"/>
  <c r="AG30" i="7"/>
  <c r="AF30" i="7"/>
  <c r="AE30" i="7"/>
  <c r="AD30" i="7"/>
  <c r="AC30" i="7"/>
  <c r="AB30" i="7"/>
  <c r="AA30" i="7"/>
  <c r="Z30" i="7"/>
  <c r="Y30" i="7"/>
  <c r="X30" i="7"/>
  <c r="T30" i="7"/>
  <c r="R30" i="7"/>
  <c r="K30" i="7"/>
  <c r="B30" i="7"/>
  <c r="W30" i="7" s="1"/>
  <c r="BC29" i="7"/>
  <c r="BB29" i="7"/>
  <c r="BA29" i="7"/>
  <c r="AZ29" i="7"/>
  <c r="AY29" i="7"/>
  <c r="AX29" i="7"/>
  <c r="AW29" i="7"/>
  <c r="AV29" i="7"/>
  <c r="AU29" i="7"/>
  <c r="AT29" i="7"/>
  <c r="AS29" i="7"/>
  <c r="AR29" i="7"/>
  <c r="AQ29" i="7"/>
  <c r="AP29" i="7"/>
  <c r="AO29" i="7"/>
  <c r="AN29" i="7"/>
  <c r="AM29" i="7"/>
  <c r="AL29" i="7"/>
  <c r="AK29" i="7"/>
  <c r="AJ29" i="7"/>
  <c r="AG29" i="7"/>
  <c r="AF29" i="7"/>
  <c r="AE29" i="7"/>
  <c r="AD29" i="7"/>
  <c r="AC29" i="7"/>
  <c r="AB29" i="7"/>
  <c r="AA29" i="7"/>
  <c r="Z29" i="7"/>
  <c r="Y29" i="7"/>
  <c r="X29" i="7"/>
  <c r="T29" i="7"/>
  <c r="R29" i="7"/>
  <c r="K29" i="7"/>
  <c r="B29" i="7"/>
  <c r="V29" i="7" s="1"/>
  <c r="BC28" i="7"/>
  <c r="BB28" i="7"/>
  <c r="BA28" i="7"/>
  <c r="AZ28" i="7"/>
  <c r="AY28" i="7"/>
  <c r="AX28" i="7"/>
  <c r="AW28" i="7"/>
  <c r="AV28" i="7"/>
  <c r="AU28" i="7"/>
  <c r="AT28" i="7"/>
  <c r="AS28" i="7"/>
  <c r="AR28" i="7"/>
  <c r="AQ28" i="7"/>
  <c r="AP28" i="7"/>
  <c r="AO28" i="7"/>
  <c r="AN28" i="7"/>
  <c r="AM28" i="7"/>
  <c r="AL28" i="7"/>
  <c r="AK28" i="7"/>
  <c r="AJ28" i="7"/>
  <c r="AG28" i="7"/>
  <c r="AF28" i="7"/>
  <c r="AE28" i="7"/>
  <c r="AD28" i="7"/>
  <c r="AC28" i="7"/>
  <c r="AB28" i="7"/>
  <c r="AA28" i="7"/>
  <c r="Z28" i="7"/>
  <c r="Y28" i="7"/>
  <c r="X28" i="7"/>
  <c r="T28" i="7"/>
  <c r="R28" i="7"/>
  <c r="K28" i="7"/>
  <c r="B28" i="7"/>
  <c r="W28" i="7" s="1"/>
  <c r="X47" i="7"/>
  <c r="AB47" i="7"/>
  <c r="AF47" i="7"/>
  <c r="AJ47" i="7"/>
  <c r="AM47" i="7"/>
  <c r="AN47" i="7"/>
  <c r="AQ47" i="7"/>
  <c r="AR47" i="7"/>
  <c r="AU47" i="7"/>
  <c r="AV47" i="7"/>
  <c r="AZ47" i="7"/>
  <c r="W48" i="7"/>
  <c r="W42" i="7"/>
  <c r="W44" i="7"/>
  <c r="W37" i="7"/>
  <c r="V31" i="7"/>
  <c r="V35" i="7"/>
  <c r="V39" i="7"/>
  <c r="V41" i="7"/>
  <c r="V34" i="7"/>
  <c r="V38" i="7"/>
  <c r="BC47" i="7"/>
  <c r="BA47" i="7"/>
  <c r="BB47" i="7"/>
  <c r="AY47" i="7"/>
  <c r="AW47" i="7"/>
  <c r="AX47" i="7"/>
  <c r="AH47" i="7"/>
  <c r="AI47" i="7"/>
  <c r="AC47" i="7"/>
  <c r="AD47" i="7"/>
  <c r="AE47" i="7"/>
  <c r="Y47" i="7"/>
  <c r="Z47" i="7"/>
  <c r="AA47" i="7"/>
  <c r="Q17" i="28"/>
  <c r="Q17" i="27"/>
  <c r="Q17" i="26"/>
  <c r="Q17" i="25"/>
  <c r="Q49" i="25" s="1"/>
  <c r="Q17" i="24"/>
  <c r="Q49" i="24" s="1"/>
  <c r="Q17" i="23"/>
  <c r="Q49" i="23" s="1"/>
  <c r="Q17" i="22"/>
  <c r="Q49" i="22" s="1"/>
  <c r="Q17" i="21"/>
  <c r="Q49" i="21" s="1"/>
  <c r="Q17" i="19"/>
  <c r="Q49" i="19" s="1"/>
  <c r="K59" i="4"/>
  <c r="K58" i="4"/>
  <c r="K55" i="4"/>
  <c r="K54" i="4"/>
  <c r="K51" i="4"/>
  <c r="K50" i="4"/>
  <c r="K47" i="4"/>
  <c r="K46" i="4"/>
  <c r="AG27" i="9"/>
  <c r="AG26" i="9"/>
  <c r="AG25" i="9"/>
  <c r="AG24" i="9"/>
  <c r="AG23" i="9"/>
  <c r="AG22" i="9"/>
  <c r="AG21" i="9"/>
  <c r="AG20" i="9"/>
  <c r="AG19" i="9"/>
  <c r="AG18" i="9"/>
  <c r="F48" i="4"/>
  <c r="AH16" i="9" a="1"/>
  <c r="AH16" i="9" s="1"/>
  <c r="AH15" i="9" a="1"/>
  <c r="AH15" i="9" s="1"/>
  <c r="AH14" i="9" a="1"/>
  <c r="AH14" i="9" s="1"/>
  <c r="AH13" i="9" a="1"/>
  <c r="AH13" i="9" s="1"/>
  <c r="AH12" i="9" a="1"/>
  <c r="AH12" i="9" s="1"/>
  <c r="AH11" i="9" a="1"/>
  <c r="AH11" i="9" s="1"/>
  <c r="AH8" i="9" a="1"/>
  <c r="AH8" i="9" s="1"/>
  <c r="AF16" i="9" a="1"/>
  <c r="AF16" i="9" s="1"/>
  <c r="AF15" i="9" a="1"/>
  <c r="AF15" i="9" s="1"/>
  <c r="AF14" i="9" a="1"/>
  <c r="AF14" i="9" s="1"/>
  <c r="AF13" i="9" a="1"/>
  <c r="AF13" i="9" s="1"/>
  <c r="AF12" i="9" a="1"/>
  <c r="AF12" i="9" s="1"/>
  <c r="AF8" i="9" a="1"/>
  <c r="AF8" i="9" s="1"/>
  <c r="AF11" i="9"/>
  <c r="K7" i="7"/>
  <c r="K8" i="7"/>
  <c r="K9" i="7"/>
  <c r="K10" i="7"/>
  <c r="K11" i="7"/>
  <c r="K12" i="7"/>
  <c r="K13" i="7"/>
  <c r="K14" i="7"/>
  <c r="K15" i="7"/>
  <c r="K16" i="7"/>
  <c r="AS8" i="7"/>
  <c r="AS9" i="7"/>
  <c r="AS10" i="7"/>
  <c r="AS11" i="7"/>
  <c r="AS12" i="7"/>
  <c r="AS13" i="7"/>
  <c r="AS14" i="7"/>
  <c r="AS15" i="7"/>
  <c r="AS16" i="7"/>
  <c r="AS17" i="7"/>
  <c r="AS18" i="7"/>
  <c r="AS19" i="7"/>
  <c r="AS20" i="7"/>
  <c r="AS21" i="7"/>
  <c r="AS22" i="7"/>
  <c r="AS23" i="7"/>
  <c r="AS24" i="7"/>
  <c r="AS25" i="7"/>
  <c r="AS26" i="7"/>
  <c r="AS27" i="7"/>
  <c r="AS7" i="7"/>
  <c r="AO8" i="7"/>
  <c r="AO9" i="7"/>
  <c r="AO10" i="7"/>
  <c r="AO11" i="7"/>
  <c r="AO12" i="7"/>
  <c r="AO13" i="7"/>
  <c r="AO14" i="7"/>
  <c r="AO15" i="7"/>
  <c r="AO16" i="7"/>
  <c r="AO17" i="7"/>
  <c r="AO18" i="7"/>
  <c r="AO19" i="7"/>
  <c r="AO20" i="7"/>
  <c r="AO21" i="7"/>
  <c r="AO22" i="7"/>
  <c r="AO23" i="7"/>
  <c r="AO24" i="7"/>
  <c r="AO25" i="7"/>
  <c r="AO26" i="7"/>
  <c r="AO27" i="7"/>
  <c r="AO7" i="7"/>
  <c r="AK8" i="7"/>
  <c r="AK9" i="7"/>
  <c r="AK10" i="7"/>
  <c r="AK11" i="7"/>
  <c r="AK12" i="7"/>
  <c r="AK13" i="7"/>
  <c r="AK14" i="7"/>
  <c r="AK15" i="7"/>
  <c r="AK16" i="7"/>
  <c r="AK17" i="7"/>
  <c r="AK18" i="7"/>
  <c r="AK19" i="7"/>
  <c r="AK20" i="7"/>
  <c r="AK21" i="7"/>
  <c r="AK22" i="7"/>
  <c r="AK23" i="7"/>
  <c r="AK24" i="7"/>
  <c r="AK25" i="7"/>
  <c r="AK26" i="7"/>
  <c r="AK27" i="7"/>
  <c r="AK7" i="7"/>
  <c r="AG8" i="7"/>
  <c r="AG9" i="7"/>
  <c r="AG10" i="7"/>
  <c r="AG11" i="7"/>
  <c r="AG12" i="7"/>
  <c r="AG13" i="7"/>
  <c r="AG14" i="7"/>
  <c r="AG15" i="7"/>
  <c r="AG16" i="7"/>
  <c r="AG17" i="7"/>
  <c r="AG18" i="7"/>
  <c r="AG19" i="7"/>
  <c r="AG20" i="7"/>
  <c r="AG21" i="7"/>
  <c r="AG22" i="7"/>
  <c r="AG23" i="7"/>
  <c r="AG24" i="7"/>
  <c r="AG25" i="7"/>
  <c r="AG26" i="7"/>
  <c r="AG27" i="7"/>
  <c r="AG7" i="7"/>
  <c r="AO18" i="9"/>
  <c r="AM18" i="9"/>
  <c r="AO17" i="9"/>
  <c r="AM17" i="9"/>
  <c r="AO16" i="9"/>
  <c r="AM16" i="9"/>
  <c r="AO15" i="9"/>
  <c r="AM15" i="9"/>
  <c r="AO14" i="9"/>
  <c r="AM14" i="9"/>
  <c r="AO13" i="9"/>
  <c r="AM13" i="9"/>
  <c r="AO12" i="9"/>
  <c r="AM12" i="9"/>
  <c r="AO11" i="9"/>
  <c r="AM11" i="9"/>
  <c r="AO10" i="9"/>
  <c r="AM10" i="9"/>
  <c r="AO9" i="9"/>
  <c r="AM9" i="9"/>
  <c r="M37" i="9"/>
  <c r="M38" i="9"/>
  <c r="I174" i="28"/>
  <c r="I173" i="28"/>
  <c r="I172" i="28"/>
  <c r="I171" i="28"/>
  <c r="I170" i="28"/>
  <c r="I169" i="28"/>
  <c r="I168" i="28"/>
  <c r="I167" i="28"/>
  <c r="I166" i="28"/>
  <c r="I165" i="28"/>
  <c r="I158" i="28"/>
  <c r="I157" i="28"/>
  <c r="I156" i="28"/>
  <c r="I155" i="28"/>
  <c r="I154" i="28"/>
  <c r="I153" i="28"/>
  <c r="I152" i="28"/>
  <c r="I151" i="28"/>
  <c r="I150" i="28"/>
  <c r="I149" i="28"/>
  <c r="I141" i="28"/>
  <c r="I140" i="28"/>
  <c r="I139" i="28"/>
  <c r="I138" i="28"/>
  <c r="I137" i="28"/>
  <c r="I136" i="28"/>
  <c r="I135" i="28"/>
  <c r="I134" i="28"/>
  <c r="I133" i="28"/>
  <c r="I132" i="28"/>
  <c r="I125" i="28"/>
  <c r="I124" i="28"/>
  <c r="I123" i="28"/>
  <c r="I122" i="28"/>
  <c r="I121" i="28"/>
  <c r="I120" i="28"/>
  <c r="I119" i="28"/>
  <c r="I118" i="28"/>
  <c r="I117" i="28"/>
  <c r="I116" i="28"/>
  <c r="I109" i="28"/>
  <c r="I108" i="28"/>
  <c r="I107" i="28"/>
  <c r="I106" i="28"/>
  <c r="I105" i="28"/>
  <c r="I104" i="28"/>
  <c r="I103" i="28"/>
  <c r="I102" i="28"/>
  <c r="I101" i="28"/>
  <c r="I100" i="28"/>
  <c r="I93" i="28"/>
  <c r="I92" i="28"/>
  <c r="I91" i="28"/>
  <c r="I90" i="28"/>
  <c r="I89" i="28"/>
  <c r="I88" i="28"/>
  <c r="I87" i="28"/>
  <c r="I86" i="28"/>
  <c r="I85" i="28"/>
  <c r="I84" i="28"/>
  <c r="I77" i="28"/>
  <c r="I76" i="28"/>
  <c r="I75" i="28"/>
  <c r="I74" i="28"/>
  <c r="I73" i="28"/>
  <c r="I72" i="28"/>
  <c r="I71" i="28"/>
  <c r="I70" i="28"/>
  <c r="I69" i="28"/>
  <c r="I68" i="28"/>
  <c r="I61" i="28"/>
  <c r="I60" i="28"/>
  <c r="I59" i="28"/>
  <c r="I58" i="28"/>
  <c r="I57" i="28"/>
  <c r="I56" i="28"/>
  <c r="I55" i="28"/>
  <c r="I54" i="28"/>
  <c r="I53" i="28"/>
  <c r="I52" i="28"/>
  <c r="I46" i="28"/>
  <c r="I45" i="28"/>
  <c r="I44" i="28"/>
  <c r="I43" i="28"/>
  <c r="I42" i="28"/>
  <c r="I41" i="28"/>
  <c r="I40" i="28"/>
  <c r="I39" i="28"/>
  <c r="I38" i="28"/>
  <c r="I37" i="28"/>
  <c r="B36" i="28"/>
  <c r="I30" i="28"/>
  <c r="I29" i="28"/>
  <c r="I28" i="28"/>
  <c r="I27" i="28"/>
  <c r="I26" i="28"/>
  <c r="I25" i="28"/>
  <c r="I24" i="28"/>
  <c r="I23" i="28"/>
  <c r="I22" i="28"/>
  <c r="I21" i="28"/>
  <c r="I174" i="27"/>
  <c r="I173" i="27"/>
  <c r="I172" i="27"/>
  <c r="I171" i="27"/>
  <c r="I170" i="27"/>
  <c r="I169" i="27"/>
  <c r="I168" i="27"/>
  <c r="I167" i="27"/>
  <c r="I166" i="27"/>
  <c r="I165" i="27"/>
  <c r="I158" i="27"/>
  <c r="I157" i="27"/>
  <c r="I156" i="27"/>
  <c r="I155" i="27"/>
  <c r="I154" i="27"/>
  <c r="I153" i="27"/>
  <c r="I152" i="27"/>
  <c r="I151" i="27"/>
  <c r="I150" i="27"/>
  <c r="I149" i="27"/>
  <c r="I142" i="27"/>
  <c r="I141" i="27"/>
  <c r="I140" i="27"/>
  <c r="I139" i="27"/>
  <c r="I138" i="27"/>
  <c r="I137" i="27"/>
  <c r="I136" i="27"/>
  <c r="I135" i="27"/>
  <c r="I134" i="27"/>
  <c r="I133" i="27"/>
  <c r="I126" i="27"/>
  <c r="I125" i="27"/>
  <c r="I124" i="27"/>
  <c r="I123" i="27"/>
  <c r="I122" i="27"/>
  <c r="I121" i="27"/>
  <c r="I120" i="27"/>
  <c r="I119" i="27"/>
  <c r="I118" i="27"/>
  <c r="I117" i="27"/>
  <c r="I110" i="27"/>
  <c r="I109" i="27"/>
  <c r="I108" i="27"/>
  <c r="I107" i="27"/>
  <c r="I106" i="27"/>
  <c r="I105" i="27"/>
  <c r="I104" i="27"/>
  <c r="I103" i="27"/>
  <c r="I102" i="27"/>
  <c r="I101" i="27"/>
  <c r="I94" i="27"/>
  <c r="I93" i="27"/>
  <c r="I92" i="27"/>
  <c r="I91" i="27"/>
  <c r="I90" i="27"/>
  <c r="I89" i="27"/>
  <c r="I88" i="27"/>
  <c r="I87" i="27"/>
  <c r="I86" i="27"/>
  <c r="I85" i="27"/>
  <c r="I78" i="27"/>
  <c r="I77" i="27"/>
  <c r="I76" i="27"/>
  <c r="I75" i="27"/>
  <c r="I74" i="27"/>
  <c r="I73" i="27"/>
  <c r="I72" i="27"/>
  <c r="I71" i="27"/>
  <c r="I70" i="27"/>
  <c r="I69" i="27"/>
  <c r="I62" i="27"/>
  <c r="I61" i="27"/>
  <c r="I60" i="27"/>
  <c r="I59" i="27"/>
  <c r="I58" i="27"/>
  <c r="I57" i="27"/>
  <c r="I56" i="27"/>
  <c r="I55" i="27"/>
  <c r="I54" i="27"/>
  <c r="I53" i="27"/>
  <c r="I47" i="27"/>
  <c r="I46" i="27"/>
  <c r="I45" i="27"/>
  <c r="I44" i="27"/>
  <c r="I43" i="27"/>
  <c r="I42" i="27"/>
  <c r="I41" i="27"/>
  <c r="I40" i="27"/>
  <c r="I39" i="27"/>
  <c r="I38" i="27"/>
  <c r="I30" i="27"/>
  <c r="I29" i="27"/>
  <c r="I28" i="27"/>
  <c r="I27" i="27"/>
  <c r="I26" i="27"/>
  <c r="I25" i="27"/>
  <c r="I24" i="27"/>
  <c r="I23" i="27"/>
  <c r="I22" i="27"/>
  <c r="I21" i="27"/>
  <c r="I175" i="26"/>
  <c r="I174" i="26"/>
  <c r="I173" i="26"/>
  <c r="I172" i="26"/>
  <c r="I171" i="26"/>
  <c r="I170" i="26"/>
  <c r="I169" i="26"/>
  <c r="I168" i="26"/>
  <c r="I167" i="26"/>
  <c r="I166" i="26"/>
  <c r="I159" i="26"/>
  <c r="I158" i="26"/>
  <c r="I157" i="26"/>
  <c r="I156" i="26"/>
  <c r="I155" i="26"/>
  <c r="I154" i="26"/>
  <c r="I153" i="26"/>
  <c r="I152" i="26"/>
  <c r="I151" i="26"/>
  <c r="I150" i="26"/>
  <c r="I143" i="26"/>
  <c r="I142" i="26"/>
  <c r="I141" i="26"/>
  <c r="I140" i="26"/>
  <c r="I139" i="26"/>
  <c r="I138" i="26"/>
  <c r="I137" i="26"/>
  <c r="I136" i="26"/>
  <c r="I135" i="26"/>
  <c r="I134" i="26"/>
  <c r="I127" i="26"/>
  <c r="I126" i="26"/>
  <c r="I125" i="26"/>
  <c r="I124" i="26"/>
  <c r="I123" i="26"/>
  <c r="I122" i="26"/>
  <c r="I121" i="26"/>
  <c r="I120" i="26"/>
  <c r="I119" i="26"/>
  <c r="I118" i="26"/>
  <c r="I111" i="26"/>
  <c r="I110" i="26"/>
  <c r="I109" i="26"/>
  <c r="I108" i="26"/>
  <c r="I107" i="26"/>
  <c r="I106" i="26"/>
  <c r="I105" i="26"/>
  <c r="I104" i="26"/>
  <c r="I103" i="26"/>
  <c r="I102" i="26"/>
  <c r="I94" i="26"/>
  <c r="I93" i="26"/>
  <c r="I92" i="26"/>
  <c r="I91" i="26"/>
  <c r="I90" i="26"/>
  <c r="I89" i="26"/>
  <c r="I88" i="26"/>
  <c r="I87" i="26"/>
  <c r="I86" i="26"/>
  <c r="I85" i="26"/>
  <c r="I78" i="26"/>
  <c r="I77" i="26"/>
  <c r="I76" i="26"/>
  <c r="I75" i="26"/>
  <c r="I74" i="26"/>
  <c r="I73" i="26"/>
  <c r="I72" i="26"/>
  <c r="I71" i="26"/>
  <c r="I70" i="26"/>
  <c r="I69" i="26"/>
  <c r="I62" i="26"/>
  <c r="I61" i="26"/>
  <c r="I60" i="26"/>
  <c r="I59" i="26"/>
  <c r="I58" i="26"/>
  <c r="I57" i="26"/>
  <c r="I56" i="26"/>
  <c r="I55" i="26"/>
  <c r="I54" i="26"/>
  <c r="I53" i="26"/>
  <c r="I47" i="26"/>
  <c r="I46" i="26"/>
  <c r="I45" i="26"/>
  <c r="I44" i="26"/>
  <c r="I43" i="26"/>
  <c r="I42" i="26"/>
  <c r="I41" i="26"/>
  <c r="I40" i="26"/>
  <c r="I39" i="26"/>
  <c r="I38" i="26"/>
  <c r="I30" i="26"/>
  <c r="I29" i="26"/>
  <c r="I28" i="26"/>
  <c r="I27" i="26"/>
  <c r="I26" i="26"/>
  <c r="I25" i="26"/>
  <c r="I24" i="26"/>
  <c r="I23" i="26"/>
  <c r="I22" i="26"/>
  <c r="I21" i="26"/>
  <c r="I175" i="25"/>
  <c r="I174" i="25"/>
  <c r="I173" i="25"/>
  <c r="I172" i="25"/>
  <c r="I171" i="25"/>
  <c r="I170" i="25"/>
  <c r="I169" i="25"/>
  <c r="I168" i="25"/>
  <c r="I167" i="25"/>
  <c r="I166" i="25"/>
  <c r="I159" i="25"/>
  <c r="I158" i="25"/>
  <c r="I157" i="25"/>
  <c r="I156" i="25"/>
  <c r="I155" i="25"/>
  <c r="I154" i="25"/>
  <c r="I153" i="25"/>
  <c r="I152" i="25"/>
  <c r="I151" i="25"/>
  <c r="I150" i="25"/>
  <c r="I143" i="25"/>
  <c r="I142" i="25"/>
  <c r="I141" i="25"/>
  <c r="I140" i="25"/>
  <c r="I139" i="25"/>
  <c r="I138" i="25"/>
  <c r="I137" i="25"/>
  <c r="I136" i="25"/>
  <c r="I135" i="25"/>
  <c r="I134" i="25"/>
  <c r="I127" i="25"/>
  <c r="I126" i="25"/>
  <c r="I125" i="25"/>
  <c r="I124" i="25"/>
  <c r="I123" i="25"/>
  <c r="I122" i="25"/>
  <c r="I121" i="25"/>
  <c r="I120" i="25"/>
  <c r="I119" i="25"/>
  <c r="I118" i="25"/>
  <c r="I111" i="25"/>
  <c r="I110" i="25"/>
  <c r="I109" i="25"/>
  <c r="I108" i="25"/>
  <c r="I107" i="25"/>
  <c r="I106" i="25"/>
  <c r="I105" i="25"/>
  <c r="I104" i="25"/>
  <c r="I103" i="25"/>
  <c r="I102" i="25"/>
  <c r="I94" i="25"/>
  <c r="I93" i="25"/>
  <c r="I92" i="25"/>
  <c r="I91" i="25"/>
  <c r="I90" i="25"/>
  <c r="I89" i="25"/>
  <c r="I88" i="25"/>
  <c r="I87" i="25"/>
  <c r="I86" i="25"/>
  <c r="I85" i="25"/>
  <c r="I78" i="25"/>
  <c r="I77" i="25"/>
  <c r="I76" i="25"/>
  <c r="I75" i="25"/>
  <c r="I74" i="25"/>
  <c r="I73" i="25"/>
  <c r="I72" i="25"/>
  <c r="I71" i="25"/>
  <c r="I70" i="25"/>
  <c r="I69" i="25"/>
  <c r="I62" i="25"/>
  <c r="I61" i="25"/>
  <c r="I60" i="25"/>
  <c r="I59" i="25"/>
  <c r="I58" i="25"/>
  <c r="I57" i="25"/>
  <c r="I56" i="25"/>
  <c r="I55" i="25"/>
  <c r="I54" i="25"/>
  <c r="I53" i="25"/>
  <c r="I47" i="25"/>
  <c r="I46" i="25"/>
  <c r="I45" i="25"/>
  <c r="I44" i="25"/>
  <c r="I43" i="25"/>
  <c r="I42" i="25"/>
  <c r="I41" i="25"/>
  <c r="I40" i="25"/>
  <c r="I39" i="25"/>
  <c r="I38" i="25"/>
  <c r="I30" i="25"/>
  <c r="I29" i="25"/>
  <c r="I28" i="25"/>
  <c r="I27" i="25"/>
  <c r="I26" i="25"/>
  <c r="I25" i="25"/>
  <c r="I24" i="25"/>
  <c r="I23" i="25"/>
  <c r="I22" i="25"/>
  <c r="I21" i="25"/>
  <c r="I175" i="24"/>
  <c r="I174" i="24"/>
  <c r="I173" i="24"/>
  <c r="I172" i="24"/>
  <c r="I171" i="24"/>
  <c r="I170" i="24"/>
  <c r="I169" i="24"/>
  <c r="I168" i="24"/>
  <c r="I167" i="24"/>
  <c r="I166" i="24"/>
  <c r="I159" i="24"/>
  <c r="I158" i="24"/>
  <c r="I157" i="24"/>
  <c r="I156" i="24"/>
  <c r="I155" i="24"/>
  <c r="I154" i="24"/>
  <c r="I153" i="24"/>
  <c r="I152" i="24"/>
  <c r="I151" i="24"/>
  <c r="I150" i="24"/>
  <c r="I143" i="24"/>
  <c r="I142" i="24"/>
  <c r="I141" i="24"/>
  <c r="I140" i="24"/>
  <c r="I139" i="24"/>
  <c r="I138" i="24"/>
  <c r="I137" i="24"/>
  <c r="I136" i="24"/>
  <c r="I135" i="24"/>
  <c r="I134" i="24"/>
  <c r="I127" i="24"/>
  <c r="I126" i="24"/>
  <c r="I125" i="24"/>
  <c r="I124" i="24"/>
  <c r="I123" i="24"/>
  <c r="I122" i="24"/>
  <c r="I121" i="24"/>
  <c r="I120" i="24"/>
  <c r="I119" i="24"/>
  <c r="I118" i="24"/>
  <c r="I111" i="24"/>
  <c r="I110" i="24"/>
  <c r="I109" i="24"/>
  <c r="I108" i="24"/>
  <c r="I107" i="24"/>
  <c r="I106" i="24"/>
  <c r="I105" i="24"/>
  <c r="I104" i="24"/>
  <c r="I103" i="24"/>
  <c r="I102" i="24"/>
  <c r="I95" i="24"/>
  <c r="I94" i="24"/>
  <c r="I93" i="24"/>
  <c r="I92" i="24"/>
  <c r="I91" i="24"/>
  <c r="I90" i="24"/>
  <c r="I89" i="24"/>
  <c r="I88" i="24"/>
  <c r="I87" i="24"/>
  <c r="I86" i="24"/>
  <c r="I79" i="24"/>
  <c r="I78" i="24"/>
  <c r="I77" i="24"/>
  <c r="I76" i="24"/>
  <c r="I75" i="24"/>
  <c r="I74" i="24"/>
  <c r="I73" i="24"/>
  <c r="I72" i="24"/>
  <c r="I71" i="24"/>
  <c r="I70" i="24"/>
  <c r="I62" i="24"/>
  <c r="I61" i="24"/>
  <c r="I60" i="24"/>
  <c r="I59" i="24"/>
  <c r="I58" i="24"/>
  <c r="I57" i="24"/>
  <c r="I56" i="24"/>
  <c r="I55" i="24"/>
  <c r="I54" i="24"/>
  <c r="I53" i="24"/>
  <c r="I47" i="24"/>
  <c r="I46" i="24"/>
  <c r="I45" i="24"/>
  <c r="I44" i="24"/>
  <c r="I43" i="24"/>
  <c r="I42" i="24"/>
  <c r="I41" i="24"/>
  <c r="I40" i="24"/>
  <c r="I39" i="24"/>
  <c r="I38" i="24"/>
  <c r="I30" i="24"/>
  <c r="I29" i="24"/>
  <c r="I28" i="24"/>
  <c r="I27" i="24"/>
  <c r="I26" i="24"/>
  <c r="I25" i="24"/>
  <c r="I24" i="24"/>
  <c r="I23" i="24"/>
  <c r="I22" i="24"/>
  <c r="I21" i="24"/>
  <c r="I175" i="23"/>
  <c r="I174" i="23"/>
  <c r="I173" i="23"/>
  <c r="I172" i="23"/>
  <c r="I171" i="23"/>
  <c r="I170" i="23"/>
  <c r="I169" i="23"/>
  <c r="I168" i="23"/>
  <c r="I167" i="23"/>
  <c r="I166" i="23"/>
  <c r="I159" i="23"/>
  <c r="I158" i="23"/>
  <c r="I157" i="23"/>
  <c r="I156" i="23"/>
  <c r="I155" i="23"/>
  <c r="I154" i="23"/>
  <c r="I153" i="23"/>
  <c r="I152" i="23"/>
  <c r="I151" i="23"/>
  <c r="I150" i="23"/>
  <c r="I143" i="23"/>
  <c r="I142" i="23"/>
  <c r="I141" i="23"/>
  <c r="I140" i="23"/>
  <c r="I139" i="23"/>
  <c r="I138" i="23"/>
  <c r="I137" i="23"/>
  <c r="I136" i="23"/>
  <c r="I135" i="23"/>
  <c r="I134" i="23"/>
  <c r="I127" i="23"/>
  <c r="I126" i="23"/>
  <c r="I125" i="23"/>
  <c r="I124" i="23"/>
  <c r="I123" i="23"/>
  <c r="I122" i="23"/>
  <c r="I121" i="23"/>
  <c r="I120" i="23"/>
  <c r="I119" i="23"/>
  <c r="I118" i="23"/>
  <c r="I111" i="23"/>
  <c r="I110" i="23"/>
  <c r="I109" i="23"/>
  <c r="I108" i="23"/>
  <c r="I107" i="23"/>
  <c r="I106" i="23"/>
  <c r="I105" i="23"/>
  <c r="I104" i="23"/>
  <c r="I103" i="23"/>
  <c r="I102" i="23"/>
  <c r="I95" i="23"/>
  <c r="I94" i="23"/>
  <c r="I93" i="23"/>
  <c r="I92" i="23"/>
  <c r="I91" i="23"/>
  <c r="I90" i="23"/>
  <c r="I89" i="23"/>
  <c r="I88" i="23"/>
  <c r="I87" i="23"/>
  <c r="I86" i="23"/>
  <c r="I79" i="23"/>
  <c r="I78" i="23"/>
  <c r="I77" i="23"/>
  <c r="I76" i="23"/>
  <c r="I75" i="23"/>
  <c r="I74" i="23"/>
  <c r="I73" i="23"/>
  <c r="I72" i="23"/>
  <c r="I71" i="23"/>
  <c r="I70" i="23"/>
  <c r="I63" i="23"/>
  <c r="I62" i="23"/>
  <c r="I61" i="23"/>
  <c r="I60" i="23"/>
  <c r="I59" i="23"/>
  <c r="I58" i="23"/>
  <c r="I57" i="23"/>
  <c r="I56" i="23"/>
  <c r="I55" i="23"/>
  <c r="I54" i="23"/>
  <c r="I47" i="23"/>
  <c r="I46" i="23"/>
  <c r="I45" i="23"/>
  <c r="I44" i="23"/>
  <c r="I43" i="23"/>
  <c r="I42" i="23"/>
  <c r="I41" i="23"/>
  <c r="I40" i="23"/>
  <c r="I39" i="23"/>
  <c r="I38" i="23"/>
  <c r="I30" i="23"/>
  <c r="I29" i="23"/>
  <c r="I28" i="23"/>
  <c r="I27" i="23"/>
  <c r="I26" i="23"/>
  <c r="I25" i="23"/>
  <c r="I24" i="23"/>
  <c r="I23" i="23"/>
  <c r="I22" i="23"/>
  <c r="I21" i="23"/>
  <c r="I175" i="22"/>
  <c r="I174" i="22"/>
  <c r="I173" i="22"/>
  <c r="I172" i="22"/>
  <c r="I171" i="22"/>
  <c r="I170" i="22"/>
  <c r="I169" i="22"/>
  <c r="I168" i="22"/>
  <c r="I167" i="22"/>
  <c r="I166" i="22"/>
  <c r="I159" i="22"/>
  <c r="I158" i="22"/>
  <c r="I157" i="22"/>
  <c r="I156" i="22"/>
  <c r="I155" i="22"/>
  <c r="I154" i="22"/>
  <c r="I153" i="22"/>
  <c r="I152" i="22"/>
  <c r="I151" i="22"/>
  <c r="I150" i="22"/>
  <c r="I143" i="22"/>
  <c r="I142" i="22"/>
  <c r="I141" i="22"/>
  <c r="I140" i="22"/>
  <c r="I139" i="22"/>
  <c r="I138" i="22"/>
  <c r="I137" i="22"/>
  <c r="I136" i="22"/>
  <c r="I135" i="22"/>
  <c r="I134" i="22"/>
  <c r="I127" i="22"/>
  <c r="I126" i="22"/>
  <c r="I125" i="22"/>
  <c r="I124" i="22"/>
  <c r="I123" i="22"/>
  <c r="I122" i="22"/>
  <c r="I121" i="22"/>
  <c r="I120" i="22"/>
  <c r="I119" i="22"/>
  <c r="I118" i="22"/>
  <c r="I111" i="22"/>
  <c r="I110" i="22"/>
  <c r="I109" i="22"/>
  <c r="I108" i="22"/>
  <c r="I107" i="22"/>
  <c r="I106" i="22"/>
  <c r="I105" i="22"/>
  <c r="I104" i="22"/>
  <c r="I103" i="22"/>
  <c r="I102" i="22"/>
  <c r="I95" i="22"/>
  <c r="I94" i="22"/>
  <c r="I93" i="22"/>
  <c r="I92" i="22"/>
  <c r="I91" i="22"/>
  <c r="I90" i="22"/>
  <c r="I89" i="22"/>
  <c r="I88" i="22"/>
  <c r="I87" i="22"/>
  <c r="I86" i="22"/>
  <c r="I79" i="22"/>
  <c r="I78" i="22"/>
  <c r="I77" i="22"/>
  <c r="I76" i="22"/>
  <c r="I75" i="22"/>
  <c r="I74" i="22"/>
  <c r="I73" i="22"/>
  <c r="I72" i="22"/>
  <c r="I71" i="22"/>
  <c r="I70" i="22"/>
  <c r="I63" i="22"/>
  <c r="I62" i="22"/>
  <c r="I61" i="22"/>
  <c r="I60" i="22"/>
  <c r="I59" i="22"/>
  <c r="I58" i="22"/>
  <c r="I57" i="22"/>
  <c r="I56" i="22"/>
  <c r="I55" i="22"/>
  <c r="I54" i="22"/>
  <c r="I47" i="22"/>
  <c r="I46" i="22"/>
  <c r="I45" i="22"/>
  <c r="I44" i="22"/>
  <c r="I43" i="22"/>
  <c r="I42" i="22"/>
  <c r="I41" i="22"/>
  <c r="I40" i="22"/>
  <c r="I39" i="22"/>
  <c r="I38" i="22"/>
  <c r="I30" i="22"/>
  <c r="I29" i="22"/>
  <c r="I28" i="22"/>
  <c r="I27" i="22"/>
  <c r="I26" i="22"/>
  <c r="I25" i="22"/>
  <c r="I24" i="22"/>
  <c r="I23" i="22"/>
  <c r="I22" i="22"/>
  <c r="I21" i="22"/>
  <c r="I175" i="21"/>
  <c r="I174" i="21"/>
  <c r="I173" i="21"/>
  <c r="I172" i="21"/>
  <c r="I171" i="21"/>
  <c r="I170" i="21"/>
  <c r="I169" i="21"/>
  <c r="I168" i="21"/>
  <c r="I167" i="21"/>
  <c r="I166" i="21"/>
  <c r="I159" i="21"/>
  <c r="I158" i="21"/>
  <c r="I157" i="21"/>
  <c r="I156" i="21"/>
  <c r="I155" i="21"/>
  <c r="I154" i="21"/>
  <c r="I153" i="21"/>
  <c r="I152" i="21"/>
  <c r="I151" i="21"/>
  <c r="I150" i="21"/>
  <c r="I143" i="21"/>
  <c r="I142" i="21"/>
  <c r="I141" i="21"/>
  <c r="I140" i="21"/>
  <c r="I139" i="21"/>
  <c r="I138" i="21"/>
  <c r="I137" i="21"/>
  <c r="I136" i="21"/>
  <c r="I135" i="21"/>
  <c r="I134" i="21"/>
  <c r="I127" i="21"/>
  <c r="I126" i="21"/>
  <c r="I125" i="21"/>
  <c r="I124" i="21"/>
  <c r="I123" i="21"/>
  <c r="I122" i="21"/>
  <c r="I121" i="21"/>
  <c r="I120" i="21"/>
  <c r="I119" i="21"/>
  <c r="I118" i="21"/>
  <c r="I111" i="21"/>
  <c r="I110" i="21"/>
  <c r="I109" i="21"/>
  <c r="I108" i="21"/>
  <c r="I107" i="21"/>
  <c r="I106" i="21"/>
  <c r="I105" i="21"/>
  <c r="I104" i="21"/>
  <c r="I103" i="21"/>
  <c r="I102" i="21"/>
  <c r="I95" i="21"/>
  <c r="I94" i="21"/>
  <c r="I93" i="21"/>
  <c r="I92" i="21"/>
  <c r="I91" i="21"/>
  <c r="I90" i="21"/>
  <c r="I89" i="21"/>
  <c r="I88" i="21"/>
  <c r="I87" i="21"/>
  <c r="I86" i="21"/>
  <c r="I79" i="21"/>
  <c r="I78" i="21"/>
  <c r="I77" i="21"/>
  <c r="I76" i="21"/>
  <c r="I75" i="21"/>
  <c r="I74" i="21"/>
  <c r="I73" i="21"/>
  <c r="I72" i="21"/>
  <c r="I71" i="21"/>
  <c r="I70" i="21"/>
  <c r="I63" i="21"/>
  <c r="I62" i="21"/>
  <c r="I61" i="21"/>
  <c r="I60" i="21"/>
  <c r="I59" i="21"/>
  <c r="I58" i="21"/>
  <c r="I57" i="21"/>
  <c r="I56" i="21"/>
  <c r="I55" i="21"/>
  <c r="I54" i="21"/>
  <c r="I47" i="21"/>
  <c r="I46" i="21"/>
  <c r="I45" i="21"/>
  <c r="I44" i="21"/>
  <c r="I43" i="21"/>
  <c r="I42" i="21"/>
  <c r="I41" i="21"/>
  <c r="I40" i="21"/>
  <c r="I39" i="21"/>
  <c r="I38" i="21"/>
  <c r="I30" i="21"/>
  <c r="I29" i="21"/>
  <c r="I28" i="21"/>
  <c r="I27" i="21"/>
  <c r="I26" i="21"/>
  <c r="I25" i="21"/>
  <c r="I24" i="21"/>
  <c r="I23" i="21"/>
  <c r="I22" i="21"/>
  <c r="I21" i="21"/>
  <c r="I174" i="19"/>
  <c r="I173" i="19"/>
  <c r="I172" i="19"/>
  <c r="I171" i="19"/>
  <c r="I170" i="19"/>
  <c r="I169" i="19"/>
  <c r="I168" i="19"/>
  <c r="I167" i="19"/>
  <c r="I166" i="19"/>
  <c r="I165" i="19"/>
  <c r="I158" i="19"/>
  <c r="I157" i="19"/>
  <c r="I156" i="19"/>
  <c r="I155" i="19"/>
  <c r="I154" i="19"/>
  <c r="I153" i="19"/>
  <c r="I152" i="19"/>
  <c r="I151" i="19"/>
  <c r="I150" i="19"/>
  <c r="I149" i="19"/>
  <c r="I142" i="19"/>
  <c r="I141" i="19"/>
  <c r="I140" i="19"/>
  <c r="I139" i="19"/>
  <c r="I138" i="19"/>
  <c r="I137" i="19"/>
  <c r="I136" i="19"/>
  <c r="I135" i="19"/>
  <c r="I134" i="19"/>
  <c r="I133" i="19"/>
  <c r="I126" i="19"/>
  <c r="I125" i="19"/>
  <c r="I124" i="19"/>
  <c r="I123" i="19"/>
  <c r="I122" i="19"/>
  <c r="I121" i="19"/>
  <c r="I120" i="19"/>
  <c r="I119" i="19"/>
  <c r="I118" i="19"/>
  <c r="I117" i="19"/>
  <c r="I110" i="19"/>
  <c r="I109" i="19"/>
  <c r="I108" i="19"/>
  <c r="I107" i="19"/>
  <c r="I106" i="19"/>
  <c r="I105" i="19"/>
  <c r="I104" i="19"/>
  <c r="I103" i="19"/>
  <c r="I102" i="19"/>
  <c r="I101" i="19"/>
  <c r="I94" i="19"/>
  <c r="I93" i="19"/>
  <c r="I92" i="19"/>
  <c r="I91" i="19"/>
  <c r="I90" i="19"/>
  <c r="I89" i="19"/>
  <c r="I88" i="19"/>
  <c r="I87" i="19"/>
  <c r="I86" i="19"/>
  <c r="I85" i="19"/>
  <c r="I78" i="19"/>
  <c r="I77" i="19"/>
  <c r="I76" i="19"/>
  <c r="I75" i="19"/>
  <c r="I74" i="19"/>
  <c r="I73" i="19"/>
  <c r="I72" i="19"/>
  <c r="I71" i="19"/>
  <c r="I70" i="19"/>
  <c r="I69" i="19"/>
  <c r="I62" i="19"/>
  <c r="I61" i="19"/>
  <c r="I60" i="19"/>
  <c r="I59" i="19"/>
  <c r="I58" i="19"/>
  <c r="I57" i="19"/>
  <c r="I56" i="19"/>
  <c r="I55" i="19"/>
  <c r="I54" i="19"/>
  <c r="I53" i="19"/>
  <c r="I47" i="19"/>
  <c r="I46" i="19"/>
  <c r="I45" i="19"/>
  <c r="I44" i="19"/>
  <c r="I43" i="19"/>
  <c r="I42" i="19"/>
  <c r="I41" i="19"/>
  <c r="I40" i="19"/>
  <c r="I39" i="19"/>
  <c r="I38" i="19"/>
  <c r="I30" i="19"/>
  <c r="I29" i="19"/>
  <c r="I28" i="19"/>
  <c r="I27" i="19"/>
  <c r="I26" i="19"/>
  <c r="I25" i="19"/>
  <c r="I24" i="19"/>
  <c r="I23" i="19"/>
  <c r="I22" i="19"/>
  <c r="I21" i="19"/>
  <c r="L177" i="28"/>
  <c r="K177" i="28"/>
  <c r="J177" i="28"/>
  <c r="I177" i="28"/>
  <c r="H176" i="28"/>
  <c r="B167" i="28"/>
  <c r="B166" i="28"/>
  <c r="B165" i="28"/>
  <c r="J164" i="28"/>
  <c r="I164" i="28"/>
  <c r="H164" i="28"/>
  <c r="C164" i="28"/>
  <c r="B164" i="28"/>
  <c r="L161" i="28"/>
  <c r="K161" i="28"/>
  <c r="J161" i="28"/>
  <c r="I161" i="28"/>
  <c r="H160" i="28"/>
  <c r="B151" i="28"/>
  <c r="B150" i="28"/>
  <c r="B149" i="28"/>
  <c r="J148" i="28"/>
  <c r="I148" i="28"/>
  <c r="H148" i="28"/>
  <c r="C148" i="28"/>
  <c r="B148" i="28"/>
  <c r="L144" i="28"/>
  <c r="K144" i="28"/>
  <c r="J144" i="28"/>
  <c r="I144" i="28"/>
  <c r="H143" i="28"/>
  <c r="B134" i="28"/>
  <c r="B133" i="28"/>
  <c r="B132" i="28"/>
  <c r="J131" i="28"/>
  <c r="I131" i="28"/>
  <c r="H131" i="28"/>
  <c r="C131" i="28"/>
  <c r="B131" i="28"/>
  <c r="L128" i="28"/>
  <c r="K128" i="28"/>
  <c r="J128" i="28"/>
  <c r="I128" i="28"/>
  <c r="H127" i="28"/>
  <c r="B118" i="28"/>
  <c r="B117" i="28"/>
  <c r="B116" i="28"/>
  <c r="J115" i="28"/>
  <c r="I115" i="28"/>
  <c r="H115" i="28"/>
  <c r="C115" i="28"/>
  <c r="B115" i="28"/>
  <c r="L112" i="28"/>
  <c r="K112" i="28"/>
  <c r="J112" i="28"/>
  <c r="I112" i="28"/>
  <c r="H111" i="28"/>
  <c r="B102" i="28"/>
  <c r="B101" i="28"/>
  <c r="B100" i="28"/>
  <c r="J99" i="28"/>
  <c r="I99" i="28"/>
  <c r="H99" i="28"/>
  <c r="C99" i="28"/>
  <c r="B99" i="28"/>
  <c r="L96" i="28"/>
  <c r="K96" i="28"/>
  <c r="J96" i="28"/>
  <c r="I96" i="28"/>
  <c r="H95" i="28"/>
  <c r="B86" i="28"/>
  <c r="B85" i="28"/>
  <c r="B84" i="28"/>
  <c r="J83" i="28"/>
  <c r="I83" i="28"/>
  <c r="H83" i="28"/>
  <c r="C83" i="28"/>
  <c r="B83" i="28"/>
  <c r="L80" i="28"/>
  <c r="K80" i="28"/>
  <c r="J80" i="28"/>
  <c r="I80" i="28"/>
  <c r="H79" i="28"/>
  <c r="B70" i="28"/>
  <c r="B69" i="28"/>
  <c r="B68" i="28"/>
  <c r="J67" i="28"/>
  <c r="I67" i="28"/>
  <c r="H67" i="28"/>
  <c r="C67" i="28"/>
  <c r="B67" i="28"/>
  <c r="L64" i="28"/>
  <c r="K64" i="28"/>
  <c r="J64" i="28"/>
  <c r="I64" i="28"/>
  <c r="H63" i="28"/>
  <c r="B54" i="28"/>
  <c r="B53" i="28"/>
  <c r="B52" i="28"/>
  <c r="J51" i="28"/>
  <c r="I51" i="28"/>
  <c r="H51" i="28"/>
  <c r="C51" i="28"/>
  <c r="B51" i="28"/>
  <c r="L48" i="28"/>
  <c r="K48" i="28"/>
  <c r="J48" i="28"/>
  <c r="I48" i="28"/>
  <c r="H47" i="28"/>
  <c r="B39" i="28"/>
  <c r="B38" i="28"/>
  <c r="B37" i="28"/>
  <c r="J36" i="28"/>
  <c r="I36" i="28"/>
  <c r="H36" i="28"/>
  <c r="C36" i="28"/>
  <c r="R17" i="28"/>
  <c r="V48" i="28" s="1"/>
  <c r="Q48" i="28"/>
  <c r="B4" i="28"/>
  <c r="L177" i="27"/>
  <c r="K177" i="27"/>
  <c r="J177" i="27"/>
  <c r="I177" i="27"/>
  <c r="H176" i="27"/>
  <c r="B167" i="27"/>
  <c r="B166" i="27"/>
  <c r="B165" i="27"/>
  <c r="J164" i="27"/>
  <c r="I164" i="27"/>
  <c r="H164" i="27"/>
  <c r="C164" i="27"/>
  <c r="B164" i="27"/>
  <c r="L161" i="27"/>
  <c r="K161" i="27"/>
  <c r="J161" i="27"/>
  <c r="I161" i="27"/>
  <c r="H160" i="27"/>
  <c r="B151" i="27"/>
  <c r="B150" i="27"/>
  <c r="B149" i="27"/>
  <c r="J148" i="27"/>
  <c r="I148" i="27"/>
  <c r="H148" i="27"/>
  <c r="C148" i="27"/>
  <c r="B148" i="27"/>
  <c r="L145" i="27"/>
  <c r="K145" i="27"/>
  <c r="J145" i="27"/>
  <c r="I145" i="27"/>
  <c r="H144" i="27"/>
  <c r="B135" i="27"/>
  <c r="B134" i="27"/>
  <c r="B133" i="27"/>
  <c r="J132" i="27"/>
  <c r="I132" i="27"/>
  <c r="H132" i="27"/>
  <c r="C132" i="27"/>
  <c r="B132" i="27"/>
  <c r="L129" i="27"/>
  <c r="K129" i="27"/>
  <c r="J129" i="27"/>
  <c r="I129" i="27"/>
  <c r="H128" i="27"/>
  <c r="B119" i="27"/>
  <c r="B118" i="27"/>
  <c r="B117" i="27"/>
  <c r="J116" i="27"/>
  <c r="I116" i="27"/>
  <c r="H116" i="27"/>
  <c r="C116" i="27"/>
  <c r="B116" i="27"/>
  <c r="L113" i="27"/>
  <c r="K113" i="27"/>
  <c r="J113" i="27"/>
  <c r="I113" i="27"/>
  <c r="H112" i="27"/>
  <c r="B103" i="27"/>
  <c r="B102" i="27"/>
  <c r="B101" i="27"/>
  <c r="J100" i="27"/>
  <c r="I100" i="27"/>
  <c r="H100" i="27"/>
  <c r="C100" i="27"/>
  <c r="B100" i="27"/>
  <c r="L97" i="27"/>
  <c r="K97" i="27"/>
  <c r="J97" i="27"/>
  <c r="I97" i="27"/>
  <c r="H96" i="27"/>
  <c r="B87" i="27"/>
  <c r="B86" i="27"/>
  <c r="B85" i="27"/>
  <c r="J84" i="27"/>
  <c r="I84" i="27"/>
  <c r="H84" i="27"/>
  <c r="C84" i="27"/>
  <c r="B84" i="27"/>
  <c r="L81" i="27"/>
  <c r="K81" i="27"/>
  <c r="J81" i="27"/>
  <c r="I81" i="27"/>
  <c r="H80" i="27"/>
  <c r="B71" i="27"/>
  <c r="B70" i="27"/>
  <c r="B69" i="27"/>
  <c r="J68" i="27"/>
  <c r="I68" i="27"/>
  <c r="H68" i="27"/>
  <c r="C68" i="27"/>
  <c r="B68" i="27"/>
  <c r="L65" i="27"/>
  <c r="K65" i="27"/>
  <c r="J65" i="27"/>
  <c r="I65" i="27"/>
  <c r="H64" i="27"/>
  <c r="B55" i="27"/>
  <c r="B54" i="27"/>
  <c r="B53" i="27"/>
  <c r="J52" i="27"/>
  <c r="I52" i="27"/>
  <c r="H52" i="27"/>
  <c r="C52" i="27"/>
  <c r="B52" i="27"/>
  <c r="L49" i="27"/>
  <c r="K49" i="27"/>
  <c r="J49" i="27"/>
  <c r="I49" i="27"/>
  <c r="H48" i="27"/>
  <c r="B40" i="27"/>
  <c r="B39" i="27"/>
  <c r="B38" i="27"/>
  <c r="J37" i="27"/>
  <c r="I37" i="27"/>
  <c r="H37" i="27"/>
  <c r="C37" i="27"/>
  <c r="B37" i="27"/>
  <c r="R17" i="27"/>
  <c r="V49" i="27" s="1"/>
  <c r="Q49" i="27"/>
  <c r="S49" i="27" s="1"/>
  <c r="Q29" i="27"/>
  <c r="Q28" i="27"/>
  <c r="Q41" i="27"/>
  <c r="Q40" i="27"/>
  <c r="T40" i="27" s="1"/>
  <c r="Q39" i="27"/>
  <c r="R39" i="27" s="1"/>
  <c r="Q38" i="27"/>
  <c r="Q22" i="27"/>
  <c r="R22" i="27" s="1"/>
  <c r="B4" i="27"/>
  <c r="L178" i="26"/>
  <c r="K178" i="26"/>
  <c r="J178" i="26"/>
  <c r="I178" i="26"/>
  <c r="H177" i="26"/>
  <c r="B168" i="26"/>
  <c r="B167" i="26"/>
  <c r="B166" i="26"/>
  <c r="J165" i="26"/>
  <c r="I165" i="26"/>
  <c r="H165" i="26"/>
  <c r="C165" i="26"/>
  <c r="B165" i="26"/>
  <c r="L162" i="26"/>
  <c r="K162" i="26"/>
  <c r="J162" i="26"/>
  <c r="I162" i="26"/>
  <c r="H161" i="26"/>
  <c r="B152" i="26"/>
  <c r="B151" i="26"/>
  <c r="B150" i="26"/>
  <c r="J149" i="26"/>
  <c r="I149" i="26"/>
  <c r="H149" i="26"/>
  <c r="C149" i="26"/>
  <c r="B149" i="26"/>
  <c r="L146" i="26"/>
  <c r="K146" i="26"/>
  <c r="J146" i="26"/>
  <c r="I146" i="26"/>
  <c r="H145" i="26"/>
  <c r="B136" i="26"/>
  <c r="B135" i="26"/>
  <c r="B134" i="26"/>
  <c r="J133" i="26"/>
  <c r="I133" i="26"/>
  <c r="H133" i="26"/>
  <c r="C133" i="26"/>
  <c r="B133" i="26"/>
  <c r="L130" i="26"/>
  <c r="K130" i="26"/>
  <c r="J130" i="26"/>
  <c r="I130" i="26"/>
  <c r="H129" i="26"/>
  <c r="B120" i="26"/>
  <c r="B119" i="26"/>
  <c r="B118" i="26"/>
  <c r="J117" i="26"/>
  <c r="I117" i="26"/>
  <c r="H117" i="26"/>
  <c r="C117" i="26"/>
  <c r="B117" i="26"/>
  <c r="L114" i="26"/>
  <c r="K114" i="26"/>
  <c r="J114" i="26"/>
  <c r="I114" i="26"/>
  <c r="H113" i="26"/>
  <c r="B104" i="26"/>
  <c r="B103" i="26"/>
  <c r="B102" i="26"/>
  <c r="J101" i="26"/>
  <c r="I101" i="26"/>
  <c r="H101" i="26"/>
  <c r="C101" i="26"/>
  <c r="B101" i="26"/>
  <c r="L97" i="26"/>
  <c r="K97" i="26"/>
  <c r="J97" i="26"/>
  <c r="I97" i="26"/>
  <c r="H96" i="26"/>
  <c r="B87" i="26"/>
  <c r="B86" i="26"/>
  <c r="B85" i="26"/>
  <c r="J84" i="26"/>
  <c r="I84" i="26"/>
  <c r="H84" i="26"/>
  <c r="C84" i="26"/>
  <c r="B84" i="26"/>
  <c r="L81" i="26"/>
  <c r="K81" i="26"/>
  <c r="J81" i="26"/>
  <c r="I81" i="26"/>
  <c r="H80" i="26"/>
  <c r="B71" i="26"/>
  <c r="B70" i="26"/>
  <c r="B69" i="26"/>
  <c r="J68" i="26"/>
  <c r="I68" i="26"/>
  <c r="H68" i="26"/>
  <c r="C68" i="26"/>
  <c r="B68" i="26"/>
  <c r="L65" i="26"/>
  <c r="K65" i="26"/>
  <c r="J65" i="26"/>
  <c r="I65" i="26"/>
  <c r="H64" i="26"/>
  <c r="B55" i="26"/>
  <c r="B54" i="26"/>
  <c r="B53" i="26"/>
  <c r="J52" i="26"/>
  <c r="I52" i="26"/>
  <c r="H52" i="26"/>
  <c r="C52" i="26"/>
  <c r="B52" i="26"/>
  <c r="L49" i="26"/>
  <c r="K49" i="26"/>
  <c r="J49" i="26"/>
  <c r="I49" i="26"/>
  <c r="H48" i="26"/>
  <c r="B40" i="26"/>
  <c r="B39" i="26"/>
  <c r="B38" i="26"/>
  <c r="J37" i="26"/>
  <c r="I37" i="26"/>
  <c r="H37" i="26"/>
  <c r="C37" i="26"/>
  <c r="B37" i="26"/>
  <c r="R17" i="26"/>
  <c r="V49" i="26" s="1"/>
  <c r="Q49" i="26"/>
  <c r="U49" i="26" s="1"/>
  <c r="Q44" i="26"/>
  <c r="Q29" i="26"/>
  <c r="T29" i="26" s="1"/>
  <c r="Q42" i="26"/>
  <c r="Q41" i="26"/>
  <c r="Q40" i="26"/>
  <c r="Q39" i="26"/>
  <c r="Q38" i="26"/>
  <c r="T38" i="26" s="1"/>
  <c r="Q23" i="26"/>
  <c r="Q36" i="26"/>
  <c r="Q35" i="26"/>
  <c r="B4" i="26"/>
  <c r="L178" i="25"/>
  <c r="K178" i="25"/>
  <c r="J178" i="25"/>
  <c r="I178" i="25"/>
  <c r="H177" i="25"/>
  <c r="B168" i="25"/>
  <c r="B167" i="25"/>
  <c r="B166" i="25"/>
  <c r="J165" i="25"/>
  <c r="I165" i="25"/>
  <c r="H165" i="25"/>
  <c r="C165" i="25"/>
  <c r="B165" i="25"/>
  <c r="L162" i="25"/>
  <c r="K162" i="25"/>
  <c r="J162" i="25"/>
  <c r="I162" i="25"/>
  <c r="H161" i="25"/>
  <c r="B152" i="25"/>
  <c r="B151" i="25"/>
  <c r="B150" i="25"/>
  <c r="J149" i="25"/>
  <c r="I149" i="25"/>
  <c r="H149" i="25"/>
  <c r="C149" i="25"/>
  <c r="B149" i="25"/>
  <c r="L146" i="25"/>
  <c r="K146" i="25"/>
  <c r="J146" i="25"/>
  <c r="I146" i="25"/>
  <c r="H145" i="25"/>
  <c r="B136" i="25"/>
  <c r="B135" i="25"/>
  <c r="B134" i="25"/>
  <c r="J133" i="25"/>
  <c r="I133" i="25"/>
  <c r="H133" i="25"/>
  <c r="C133" i="25"/>
  <c r="B133" i="25"/>
  <c r="L130" i="25"/>
  <c r="K130" i="25"/>
  <c r="J130" i="25"/>
  <c r="I130" i="25"/>
  <c r="H129" i="25"/>
  <c r="B120" i="25"/>
  <c r="B119" i="25"/>
  <c r="B118" i="25"/>
  <c r="J117" i="25"/>
  <c r="I117" i="25"/>
  <c r="H117" i="25"/>
  <c r="C117" i="25"/>
  <c r="B117" i="25"/>
  <c r="L114" i="25"/>
  <c r="K114" i="25"/>
  <c r="J114" i="25"/>
  <c r="I114" i="25"/>
  <c r="H113" i="25"/>
  <c r="B104" i="25"/>
  <c r="B103" i="25"/>
  <c r="B102" i="25"/>
  <c r="J101" i="25"/>
  <c r="I101" i="25"/>
  <c r="H101" i="25"/>
  <c r="C101" i="25"/>
  <c r="B101" i="25"/>
  <c r="L97" i="25"/>
  <c r="K97" i="25"/>
  <c r="J97" i="25"/>
  <c r="I97" i="25"/>
  <c r="H96" i="25"/>
  <c r="B87" i="25"/>
  <c r="B86" i="25"/>
  <c r="B85" i="25"/>
  <c r="J84" i="25"/>
  <c r="I84" i="25"/>
  <c r="H84" i="25"/>
  <c r="C84" i="25"/>
  <c r="B84" i="25"/>
  <c r="L81" i="25"/>
  <c r="K81" i="25"/>
  <c r="J81" i="25"/>
  <c r="I81" i="25"/>
  <c r="H80" i="25"/>
  <c r="B71" i="25"/>
  <c r="B70" i="25"/>
  <c r="B69" i="25"/>
  <c r="J68" i="25"/>
  <c r="I68" i="25"/>
  <c r="H68" i="25"/>
  <c r="C68" i="25"/>
  <c r="B68" i="25"/>
  <c r="L65" i="25"/>
  <c r="K65" i="25"/>
  <c r="J65" i="25"/>
  <c r="I65" i="25"/>
  <c r="H64" i="25"/>
  <c r="B55" i="25"/>
  <c r="B54" i="25"/>
  <c r="B53" i="25"/>
  <c r="J52" i="25"/>
  <c r="I52" i="25"/>
  <c r="H52" i="25"/>
  <c r="C52" i="25"/>
  <c r="B52" i="25"/>
  <c r="L49" i="25"/>
  <c r="K49" i="25"/>
  <c r="J49" i="25"/>
  <c r="I49" i="25"/>
  <c r="H48" i="25"/>
  <c r="B40" i="25"/>
  <c r="B39" i="25"/>
  <c r="B38" i="25"/>
  <c r="J37" i="25"/>
  <c r="I37" i="25"/>
  <c r="H37" i="25"/>
  <c r="C37" i="25"/>
  <c r="B37" i="25"/>
  <c r="R17" i="25"/>
  <c r="V49" i="25" s="1"/>
  <c r="Q44" i="25"/>
  <c r="T44" i="25" s="1"/>
  <c r="U44" i="25" s="1"/>
  <c r="Q29" i="25"/>
  <c r="Q42" i="25"/>
  <c r="Q40" i="25"/>
  <c r="R40" i="25" s="1"/>
  <c r="Q39" i="25"/>
  <c r="T39" i="25" s="1"/>
  <c r="Q38" i="25"/>
  <c r="R38" i="25" s="1"/>
  <c r="Q37" i="25"/>
  <c r="Q35" i="25"/>
  <c r="B4" i="25"/>
  <c r="L178" i="24"/>
  <c r="K178" i="24"/>
  <c r="J178" i="24"/>
  <c r="I178" i="24"/>
  <c r="H177" i="24"/>
  <c r="B168" i="24"/>
  <c r="B167" i="24"/>
  <c r="B166" i="24"/>
  <c r="J165" i="24"/>
  <c r="I165" i="24"/>
  <c r="H165" i="24"/>
  <c r="C165" i="24"/>
  <c r="B165" i="24"/>
  <c r="L162" i="24"/>
  <c r="K162" i="24"/>
  <c r="J162" i="24"/>
  <c r="I162" i="24"/>
  <c r="H161" i="24"/>
  <c r="B152" i="24"/>
  <c r="B151" i="24"/>
  <c r="B150" i="24"/>
  <c r="J149" i="24"/>
  <c r="I149" i="24"/>
  <c r="H149" i="24"/>
  <c r="C149" i="24"/>
  <c r="B149" i="24"/>
  <c r="L146" i="24"/>
  <c r="K146" i="24"/>
  <c r="J146" i="24"/>
  <c r="I146" i="24"/>
  <c r="H145" i="24"/>
  <c r="B136" i="24"/>
  <c r="B135" i="24"/>
  <c r="B134" i="24"/>
  <c r="J133" i="24"/>
  <c r="I133" i="24"/>
  <c r="H133" i="24"/>
  <c r="C133" i="24"/>
  <c r="B133" i="24"/>
  <c r="L130" i="24"/>
  <c r="K130" i="24"/>
  <c r="J130" i="24"/>
  <c r="I130" i="24"/>
  <c r="H129" i="24"/>
  <c r="B120" i="24"/>
  <c r="B119" i="24"/>
  <c r="B118" i="24"/>
  <c r="J117" i="24"/>
  <c r="I117" i="24"/>
  <c r="H117" i="24"/>
  <c r="C117" i="24"/>
  <c r="B117" i="24"/>
  <c r="L114" i="24"/>
  <c r="K114" i="24"/>
  <c r="J114" i="24"/>
  <c r="I114" i="24"/>
  <c r="H113" i="24"/>
  <c r="B104" i="24"/>
  <c r="B103" i="24"/>
  <c r="B102" i="24"/>
  <c r="J101" i="24"/>
  <c r="I101" i="24"/>
  <c r="H101" i="24"/>
  <c r="C101" i="24"/>
  <c r="B101" i="24"/>
  <c r="L98" i="24"/>
  <c r="K98" i="24"/>
  <c r="J98" i="24"/>
  <c r="I98" i="24"/>
  <c r="H97" i="24"/>
  <c r="B88" i="24"/>
  <c r="B87" i="24"/>
  <c r="B86" i="24"/>
  <c r="J85" i="24"/>
  <c r="I85" i="24"/>
  <c r="H85" i="24"/>
  <c r="C85" i="24"/>
  <c r="B85" i="24"/>
  <c r="L82" i="24"/>
  <c r="K82" i="24"/>
  <c r="J82" i="24"/>
  <c r="I82" i="24"/>
  <c r="H81" i="24"/>
  <c r="B72" i="24"/>
  <c r="B71" i="24"/>
  <c r="B70" i="24"/>
  <c r="J69" i="24"/>
  <c r="I69" i="24"/>
  <c r="H69" i="24"/>
  <c r="C69" i="24"/>
  <c r="B69" i="24"/>
  <c r="L65" i="24"/>
  <c r="K65" i="24"/>
  <c r="J65" i="24"/>
  <c r="I65" i="24"/>
  <c r="H64" i="24"/>
  <c r="B55" i="24"/>
  <c r="B54" i="24"/>
  <c r="B53" i="24"/>
  <c r="J52" i="24"/>
  <c r="I52" i="24"/>
  <c r="H52" i="24"/>
  <c r="C52" i="24"/>
  <c r="B52" i="24"/>
  <c r="L49" i="24"/>
  <c r="K49" i="24"/>
  <c r="J49" i="24"/>
  <c r="I49" i="24"/>
  <c r="H48" i="24"/>
  <c r="B40" i="24"/>
  <c r="B39" i="24"/>
  <c r="B38" i="24"/>
  <c r="J37" i="24"/>
  <c r="I37" i="24"/>
  <c r="H37" i="24"/>
  <c r="C37" i="24"/>
  <c r="B37" i="24"/>
  <c r="R17" i="24"/>
  <c r="V49" i="24" s="1"/>
  <c r="Q29" i="24"/>
  <c r="T29" i="24" s="1"/>
  <c r="Q41" i="24"/>
  <c r="R41" i="24" s="1"/>
  <c r="Q40" i="24"/>
  <c r="Q39" i="24"/>
  <c r="T39" i="24" s="1"/>
  <c r="Q37" i="24"/>
  <c r="T37" i="24" s="1"/>
  <c r="Q35" i="24"/>
  <c r="T35" i="24" s="1"/>
  <c r="B4" i="24"/>
  <c r="L178" i="23"/>
  <c r="K178" i="23"/>
  <c r="J178" i="23"/>
  <c r="I178" i="23"/>
  <c r="H177" i="23"/>
  <c r="B168" i="23"/>
  <c r="B167" i="23"/>
  <c r="B166" i="23"/>
  <c r="J165" i="23"/>
  <c r="I165" i="23"/>
  <c r="H165" i="23"/>
  <c r="C165" i="23"/>
  <c r="B165" i="23"/>
  <c r="L162" i="23"/>
  <c r="K162" i="23"/>
  <c r="J162" i="23"/>
  <c r="I162" i="23"/>
  <c r="H161" i="23"/>
  <c r="B152" i="23"/>
  <c r="B151" i="23"/>
  <c r="B150" i="23"/>
  <c r="J149" i="23"/>
  <c r="I149" i="23"/>
  <c r="H149" i="23"/>
  <c r="C149" i="23"/>
  <c r="B149" i="23"/>
  <c r="L146" i="23"/>
  <c r="K146" i="23"/>
  <c r="J146" i="23"/>
  <c r="I146" i="23"/>
  <c r="H145" i="23"/>
  <c r="B136" i="23"/>
  <c r="B135" i="23"/>
  <c r="B134" i="23"/>
  <c r="J133" i="23"/>
  <c r="I133" i="23"/>
  <c r="H133" i="23"/>
  <c r="C133" i="23"/>
  <c r="B133" i="23"/>
  <c r="L130" i="23"/>
  <c r="K130" i="23"/>
  <c r="J130" i="23"/>
  <c r="I130" i="23"/>
  <c r="H129" i="23"/>
  <c r="B120" i="23"/>
  <c r="B119" i="23"/>
  <c r="B118" i="23"/>
  <c r="J117" i="23"/>
  <c r="I117" i="23"/>
  <c r="H117" i="23"/>
  <c r="C117" i="23"/>
  <c r="B117" i="23"/>
  <c r="L114" i="23"/>
  <c r="K114" i="23"/>
  <c r="J114" i="23"/>
  <c r="I114" i="23"/>
  <c r="H113" i="23"/>
  <c r="B104" i="23"/>
  <c r="B103" i="23"/>
  <c r="B102" i="23"/>
  <c r="J101" i="23"/>
  <c r="I101" i="23"/>
  <c r="H101" i="23"/>
  <c r="C101" i="23"/>
  <c r="B101" i="23"/>
  <c r="L98" i="23"/>
  <c r="K98" i="23"/>
  <c r="J98" i="23"/>
  <c r="I98" i="23"/>
  <c r="H97" i="23"/>
  <c r="B88" i="23"/>
  <c r="B87" i="23"/>
  <c r="B86" i="23"/>
  <c r="J85" i="23"/>
  <c r="I85" i="23"/>
  <c r="H85" i="23"/>
  <c r="C85" i="23"/>
  <c r="B85" i="23"/>
  <c r="L82" i="23"/>
  <c r="K82" i="23"/>
  <c r="J82" i="23"/>
  <c r="I82" i="23"/>
  <c r="H81" i="23"/>
  <c r="B72" i="23"/>
  <c r="B71" i="23"/>
  <c r="B70" i="23"/>
  <c r="J69" i="23"/>
  <c r="I69" i="23"/>
  <c r="H69" i="23"/>
  <c r="C69" i="23"/>
  <c r="B69" i="23"/>
  <c r="L66" i="23"/>
  <c r="K66" i="23"/>
  <c r="J66" i="23"/>
  <c r="I66" i="23"/>
  <c r="H65" i="23"/>
  <c r="B56" i="23"/>
  <c r="B55" i="23"/>
  <c r="B54" i="23"/>
  <c r="J53" i="23"/>
  <c r="I53" i="23"/>
  <c r="H53" i="23"/>
  <c r="C53" i="23"/>
  <c r="B53" i="23"/>
  <c r="L49" i="23"/>
  <c r="K49" i="23"/>
  <c r="J49" i="23"/>
  <c r="I49" i="23"/>
  <c r="H48" i="23"/>
  <c r="B40" i="23"/>
  <c r="B39" i="23"/>
  <c r="B38" i="23"/>
  <c r="J37" i="23"/>
  <c r="I37" i="23"/>
  <c r="H37" i="23"/>
  <c r="C37" i="23"/>
  <c r="B37" i="23"/>
  <c r="R17" i="23"/>
  <c r="V49" i="23" s="1"/>
  <c r="Q44" i="23"/>
  <c r="R44" i="23" s="1"/>
  <c r="Q42" i="23"/>
  <c r="Q41" i="23"/>
  <c r="T41" i="23" s="1"/>
  <c r="Q40" i="23"/>
  <c r="R40" i="23" s="1"/>
  <c r="Q39" i="23"/>
  <c r="T39" i="23" s="1"/>
  <c r="Q38" i="23"/>
  <c r="T38" i="23" s="1"/>
  <c r="Q23" i="23"/>
  <c r="Q22" i="23"/>
  <c r="R22" i="23" s="1"/>
  <c r="Q35" i="23"/>
  <c r="T35" i="23" s="1"/>
  <c r="B4" i="23"/>
  <c r="L178" i="22"/>
  <c r="K178" i="22"/>
  <c r="J178" i="22"/>
  <c r="I178" i="22"/>
  <c r="H177" i="22"/>
  <c r="B168" i="22"/>
  <c r="B167" i="22"/>
  <c r="B166" i="22"/>
  <c r="J165" i="22"/>
  <c r="I165" i="22"/>
  <c r="H165" i="22"/>
  <c r="C165" i="22"/>
  <c r="B165" i="22"/>
  <c r="L162" i="22"/>
  <c r="K162" i="22"/>
  <c r="J162" i="22"/>
  <c r="I162" i="22"/>
  <c r="H161" i="22"/>
  <c r="B152" i="22"/>
  <c r="B151" i="22"/>
  <c r="B150" i="22"/>
  <c r="J149" i="22"/>
  <c r="I149" i="22"/>
  <c r="H149" i="22"/>
  <c r="C149" i="22"/>
  <c r="B149" i="22"/>
  <c r="L146" i="22"/>
  <c r="K146" i="22"/>
  <c r="J146" i="22"/>
  <c r="I146" i="22"/>
  <c r="H145" i="22"/>
  <c r="B136" i="22"/>
  <c r="B135" i="22"/>
  <c r="B134" i="22"/>
  <c r="J133" i="22"/>
  <c r="I133" i="22"/>
  <c r="H133" i="22"/>
  <c r="C133" i="22"/>
  <c r="B133" i="22"/>
  <c r="L130" i="22"/>
  <c r="K130" i="22"/>
  <c r="J130" i="22"/>
  <c r="I130" i="22"/>
  <c r="H129" i="22"/>
  <c r="B120" i="22"/>
  <c r="B119" i="22"/>
  <c r="B118" i="22"/>
  <c r="J117" i="22"/>
  <c r="I117" i="22"/>
  <c r="H117" i="22"/>
  <c r="C117" i="22"/>
  <c r="B117" i="22"/>
  <c r="L114" i="22"/>
  <c r="K114" i="22"/>
  <c r="J114" i="22"/>
  <c r="I114" i="22"/>
  <c r="H113" i="22"/>
  <c r="B104" i="22"/>
  <c r="B103" i="22"/>
  <c r="B102" i="22"/>
  <c r="J101" i="22"/>
  <c r="I101" i="22"/>
  <c r="H101" i="22"/>
  <c r="C101" i="22"/>
  <c r="B101" i="22"/>
  <c r="L98" i="22"/>
  <c r="K98" i="22"/>
  <c r="J98" i="22"/>
  <c r="I98" i="22"/>
  <c r="H97" i="22"/>
  <c r="B88" i="22"/>
  <c r="B87" i="22"/>
  <c r="B86" i="22"/>
  <c r="J85" i="22"/>
  <c r="I85" i="22"/>
  <c r="H85" i="22"/>
  <c r="C85" i="22"/>
  <c r="B85" i="22"/>
  <c r="L82" i="22"/>
  <c r="K82" i="22"/>
  <c r="J82" i="22"/>
  <c r="I82" i="22"/>
  <c r="H81" i="22"/>
  <c r="B72" i="22"/>
  <c r="B71" i="22"/>
  <c r="B70" i="22"/>
  <c r="J69" i="22"/>
  <c r="I69" i="22"/>
  <c r="H69" i="22"/>
  <c r="C69" i="22"/>
  <c r="B69" i="22"/>
  <c r="L66" i="22"/>
  <c r="K66" i="22"/>
  <c r="J66" i="22"/>
  <c r="I66" i="22"/>
  <c r="H65" i="22"/>
  <c r="B56" i="22"/>
  <c r="B55" i="22"/>
  <c r="B54" i="22"/>
  <c r="J53" i="22"/>
  <c r="I53" i="22"/>
  <c r="H53" i="22"/>
  <c r="C53" i="22"/>
  <c r="B53" i="22"/>
  <c r="L49" i="22"/>
  <c r="K49" i="22"/>
  <c r="J49" i="22"/>
  <c r="I49" i="22"/>
  <c r="H48" i="22"/>
  <c r="B40" i="22"/>
  <c r="B39" i="22"/>
  <c r="B38" i="22"/>
  <c r="J37" i="22"/>
  <c r="I37" i="22"/>
  <c r="H37" i="22"/>
  <c r="C37" i="22"/>
  <c r="B37" i="22"/>
  <c r="R17" i="22"/>
  <c r="V49" i="22" s="1"/>
  <c r="Q44" i="22"/>
  <c r="T44" i="22" s="1"/>
  <c r="Q29" i="22"/>
  <c r="T29" i="22" s="1"/>
  <c r="Q42" i="22"/>
  <c r="T42" i="22" s="1"/>
  <c r="Q41" i="22"/>
  <c r="R41" i="22" s="1"/>
  <c r="Q40" i="22"/>
  <c r="Q38" i="22"/>
  <c r="T38" i="22" s="1"/>
  <c r="Q23" i="22"/>
  <c r="T23" i="22" s="1"/>
  <c r="Q36" i="22"/>
  <c r="T36" i="22" s="1"/>
  <c r="B4" i="22"/>
  <c r="L178" i="21"/>
  <c r="K178" i="21"/>
  <c r="J178" i="21"/>
  <c r="I178" i="21"/>
  <c r="H177" i="21"/>
  <c r="B168" i="21"/>
  <c r="B167" i="21"/>
  <c r="B166" i="21"/>
  <c r="J165" i="21"/>
  <c r="I165" i="21"/>
  <c r="H165" i="21"/>
  <c r="C165" i="21"/>
  <c r="B165" i="21"/>
  <c r="L162" i="21"/>
  <c r="K162" i="21"/>
  <c r="J162" i="21"/>
  <c r="I162" i="21"/>
  <c r="H161" i="21"/>
  <c r="B152" i="21"/>
  <c r="B151" i="21"/>
  <c r="B150" i="21"/>
  <c r="J149" i="21"/>
  <c r="I149" i="21"/>
  <c r="H149" i="21"/>
  <c r="C149" i="21"/>
  <c r="B149" i="21"/>
  <c r="L146" i="21"/>
  <c r="K146" i="21"/>
  <c r="J146" i="21"/>
  <c r="I146" i="21"/>
  <c r="H145" i="21"/>
  <c r="B136" i="21"/>
  <c r="B135" i="21"/>
  <c r="B134" i="21"/>
  <c r="J133" i="21"/>
  <c r="I133" i="21"/>
  <c r="H133" i="21"/>
  <c r="C133" i="21"/>
  <c r="B133" i="21"/>
  <c r="L130" i="21"/>
  <c r="K130" i="21"/>
  <c r="J130" i="21"/>
  <c r="I130" i="21"/>
  <c r="H129" i="21"/>
  <c r="B120" i="21"/>
  <c r="B119" i="21"/>
  <c r="B118" i="21"/>
  <c r="J117" i="21"/>
  <c r="I117" i="21"/>
  <c r="H117" i="21"/>
  <c r="C117" i="21"/>
  <c r="B117" i="21"/>
  <c r="L114" i="21"/>
  <c r="K114" i="21"/>
  <c r="J114" i="21"/>
  <c r="I114" i="21"/>
  <c r="H113" i="21"/>
  <c r="B104" i="21"/>
  <c r="B103" i="21"/>
  <c r="B102" i="21"/>
  <c r="J101" i="21"/>
  <c r="I101" i="21"/>
  <c r="H101" i="21"/>
  <c r="C101" i="21"/>
  <c r="B101" i="21"/>
  <c r="L98" i="21"/>
  <c r="K98" i="21"/>
  <c r="J98" i="21"/>
  <c r="I98" i="21"/>
  <c r="H97" i="21"/>
  <c r="B88" i="21"/>
  <c r="B87" i="21"/>
  <c r="B86" i="21"/>
  <c r="J85" i="21"/>
  <c r="I85" i="21"/>
  <c r="H85" i="21"/>
  <c r="C85" i="21"/>
  <c r="B85" i="21"/>
  <c r="L82" i="21"/>
  <c r="K82" i="21"/>
  <c r="J82" i="21"/>
  <c r="I82" i="21"/>
  <c r="H81" i="21"/>
  <c r="B72" i="21"/>
  <c r="B71" i="21"/>
  <c r="B70" i="21"/>
  <c r="J69" i="21"/>
  <c r="I69" i="21"/>
  <c r="H69" i="21"/>
  <c r="C69" i="21"/>
  <c r="B69" i="21"/>
  <c r="L66" i="21"/>
  <c r="K66" i="21"/>
  <c r="J66" i="21"/>
  <c r="I66" i="21"/>
  <c r="H65" i="21"/>
  <c r="B56" i="21"/>
  <c r="B55" i="21"/>
  <c r="B54" i="21"/>
  <c r="J53" i="21"/>
  <c r="I53" i="21"/>
  <c r="H53" i="21"/>
  <c r="C53" i="21"/>
  <c r="B53" i="21"/>
  <c r="L49" i="21"/>
  <c r="K49" i="21"/>
  <c r="J49" i="21"/>
  <c r="I49" i="21"/>
  <c r="H48" i="21"/>
  <c r="B40" i="21"/>
  <c r="B39" i="21"/>
  <c r="B38" i="21"/>
  <c r="J37" i="21"/>
  <c r="I37" i="21"/>
  <c r="H37" i="21"/>
  <c r="C37" i="21"/>
  <c r="B37" i="21"/>
  <c r="R17" i="21"/>
  <c r="V49" i="21" s="1"/>
  <c r="Q43" i="21"/>
  <c r="T43" i="21" s="1"/>
  <c r="Q28" i="21"/>
  <c r="Q41" i="21"/>
  <c r="T41" i="21" s="1"/>
  <c r="Q40" i="21"/>
  <c r="Q39" i="21"/>
  <c r="Q37" i="21"/>
  <c r="T37" i="21" s="1"/>
  <c r="Q36" i="21"/>
  <c r="T36" i="21" s="1"/>
  <c r="B4" i="21"/>
  <c r="L177" i="19"/>
  <c r="K177" i="19"/>
  <c r="J177" i="19"/>
  <c r="I177" i="19"/>
  <c r="H176" i="19"/>
  <c r="B167" i="19"/>
  <c r="B166" i="19"/>
  <c r="B165" i="19"/>
  <c r="J164" i="19"/>
  <c r="I164" i="19"/>
  <c r="H164" i="19"/>
  <c r="C164" i="19"/>
  <c r="B164" i="19"/>
  <c r="L161" i="19"/>
  <c r="K161" i="19"/>
  <c r="J161" i="19"/>
  <c r="I161" i="19"/>
  <c r="H160" i="19"/>
  <c r="B151" i="19"/>
  <c r="B150" i="19"/>
  <c r="B149" i="19"/>
  <c r="J148" i="19"/>
  <c r="I148" i="19"/>
  <c r="H148" i="19"/>
  <c r="C148" i="19"/>
  <c r="B148" i="19"/>
  <c r="L145" i="19"/>
  <c r="K145" i="19"/>
  <c r="J145" i="19"/>
  <c r="I145" i="19"/>
  <c r="H144" i="19"/>
  <c r="B135" i="19"/>
  <c r="B134" i="19"/>
  <c r="B133" i="19"/>
  <c r="J132" i="19"/>
  <c r="I132" i="19"/>
  <c r="H132" i="19"/>
  <c r="C132" i="19"/>
  <c r="B132" i="19"/>
  <c r="L129" i="19"/>
  <c r="K129" i="19"/>
  <c r="J129" i="19"/>
  <c r="I129" i="19"/>
  <c r="H128" i="19"/>
  <c r="B119" i="19"/>
  <c r="B118" i="19"/>
  <c r="B117" i="19"/>
  <c r="J116" i="19"/>
  <c r="I116" i="19"/>
  <c r="H116" i="19"/>
  <c r="C116" i="19"/>
  <c r="B116" i="19"/>
  <c r="L113" i="19"/>
  <c r="K113" i="19"/>
  <c r="J113" i="19"/>
  <c r="I113" i="19"/>
  <c r="H112" i="19"/>
  <c r="B103" i="19"/>
  <c r="B102" i="19"/>
  <c r="B101" i="19"/>
  <c r="J100" i="19"/>
  <c r="I100" i="19"/>
  <c r="H100" i="19"/>
  <c r="C100" i="19"/>
  <c r="B100" i="19"/>
  <c r="L97" i="19"/>
  <c r="K97" i="19"/>
  <c r="J97" i="19"/>
  <c r="I97" i="19"/>
  <c r="H96" i="19"/>
  <c r="B87" i="19"/>
  <c r="B86" i="19"/>
  <c r="B85" i="19"/>
  <c r="J84" i="19"/>
  <c r="I84" i="19"/>
  <c r="H84" i="19"/>
  <c r="C84" i="19"/>
  <c r="B84" i="19"/>
  <c r="L81" i="19"/>
  <c r="K81" i="19"/>
  <c r="J81" i="19"/>
  <c r="I81" i="19"/>
  <c r="H80" i="19"/>
  <c r="B71" i="19"/>
  <c r="B70" i="19"/>
  <c r="B69" i="19"/>
  <c r="J68" i="19"/>
  <c r="I68" i="19"/>
  <c r="H68" i="19"/>
  <c r="C68" i="19"/>
  <c r="B68" i="19"/>
  <c r="L65" i="19"/>
  <c r="K65" i="19"/>
  <c r="J65" i="19"/>
  <c r="I65" i="19"/>
  <c r="H64" i="19"/>
  <c r="B55" i="19"/>
  <c r="B54" i="19"/>
  <c r="B53" i="19"/>
  <c r="J52" i="19"/>
  <c r="I52" i="19"/>
  <c r="H52" i="19"/>
  <c r="C52" i="19"/>
  <c r="B52" i="19"/>
  <c r="L50" i="19"/>
  <c r="K50" i="19"/>
  <c r="J50" i="19"/>
  <c r="I50" i="19"/>
  <c r="H49" i="19"/>
  <c r="B40" i="19"/>
  <c r="B39" i="19"/>
  <c r="B38" i="19"/>
  <c r="J37" i="19"/>
  <c r="I37" i="19"/>
  <c r="H37" i="19"/>
  <c r="C37" i="19"/>
  <c r="B37" i="19"/>
  <c r="R17" i="19"/>
  <c r="V49" i="19" s="1"/>
  <c r="Q44" i="19"/>
  <c r="Q29" i="19"/>
  <c r="Q28" i="19"/>
  <c r="Q41" i="19"/>
  <c r="T41" i="19" s="1"/>
  <c r="Q39" i="19"/>
  <c r="Q37" i="19"/>
  <c r="Q22" i="19"/>
  <c r="Q21" i="19"/>
  <c r="B4" i="19"/>
  <c r="U48" i="28"/>
  <c r="S48" i="28"/>
  <c r="A18" i="7"/>
  <c r="A17" i="7"/>
  <c r="A16" i="7"/>
  <c r="A15" i="7"/>
  <c r="A14" i="7"/>
  <c r="A13" i="7"/>
  <c r="A12" i="7"/>
  <c r="A11" i="7"/>
  <c r="A10" i="7"/>
  <c r="A9" i="7"/>
  <c r="A22" i="9"/>
  <c r="A21" i="9"/>
  <c r="A20" i="9"/>
  <c r="A19" i="9"/>
  <c r="A18" i="9"/>
  <c r="A17" i="9"/>
  <c r="A16" i="9"/>
  <c r="A15" i="9"/>
  <c r="A14" i="9"/>
  <c r="A13" i="9"/>
  <c r="Q42" i="8"/>
  <c r="Q41" i="8"/>
  <c r="Q27" i="8"/>
  <c r="Q26" i="8"/>
  <c r="Q25" i="8"/>
  <c r="Q22" i="8"/>
  <c r="Q34" i="8"/>
  <c r="I166" i="8"/>
  <c r="I167" i="8"/>
  <c r="I168" i="8"/>
  <c r="I169" i="8"/>
  <c r="I170" i="8"/>
  <c r="I171" i="8"/>
  <c r="I172" i="8"/>
  <c r="I173" i="8"/>
  <c r="I174" i="8"/>
  <c r="I165" i="8"/>
  <c r="I148" i="8"/>
  <c r="I149" i="8"/>
  <c r="I150" i="8"/>
  <c r="I151" i="8"/>
  <c r="I152" i="8"/>
  <c r="I153" i="8"/>
  <c r="I154" i="8"/>
  <c r="I155" i="8"/>
  <c r="I156" i="8"/>
  <c r="I157" i="8"/>
  <c r="I132" i="8"/>
  <c r="I133" i="8"/>
  <c r="I134" i="8"/>
  <c r="I135" i="8"/>
  <c r="I136" i="8"/>
  <c r="I137" i="8"/>
  <c r="I138" i="8"/>
  <c r="I139" i="8"/>
  <c r="I140" i="8"/>
  <c r="I141" i="8"/>
  <c r="I116" i="8"/>
  <c r="I117" i="8"/>
  <c r="I118" i="8"/>
  <c r="I119" i="8"/>
  <c r="I120" i="8"/>
  <c r="I121" i="8"/>
  <c r="I122" i="8"/>
  <c r="I123" i="8"/>
  <c r="I124" i="8"/>
  <c r="I125" i="8"/>
  <c r="I100" i="8"/>
  <c r="I101" i="8"/>
  <c r="I102" i="8"/>
  <c r="I103" i="8"/>
  <c r="I104" i="8"/>
  <c r="I105" i="8"/>
  <c r="I106" i="8"/>
  <c r="I107" i="8"/>
  <c r="I108" i="8"/>
  <c r="I109" i="8"/>
  <c r="I84" i="8"/>
  <c r="I85" i="8"/>
  <c r="I86" i="8"/>
  <c r="I87" i="8"/>
  <c r="I88" i="8"/>
  <c r="I89" i="8"/>
  <c r="I90" i="8"/>
  <c r="I91" i="8"/>
  <c r="I92" i="8"/>
  <c r="I93" i="8"/>
  <c r="I68" i="8"/>
  <c r="I69" i="8"/>
  <c r="I70" i="8"/>
  <c r="I71" i="8"/>
  <c r="I72" i="8"/>
  <c r="I73" i="8"/>
  <c r="I74" i="8"/>
  <c r="I75" i="8"/>
  <c r="I76" i="8"/>
  <c r="I77" i="8"/>
  <c r="I52" i="8"/>
  <c r="I53" i="8"/>
  <c r="I54" i="8"/>
  <c r="I55" i="8"/>
  <c r="I56" i="8"/>
  <c r="I57" i="8"/>
  <c r="I58" i="8"/>
  <c r="I59" i="8"/>
  <c r="I60" i="8"/>
  <c r="I61" i="8"/>
  <c r="I38" i="8"/>
  <c r="I37" i="8"/>
  <c r="I39" i="8"/>
  <c r="I40" i="8"/>
  <c r="I41" i="8"/>
  <c r="I42" i="8"/>
  <c r="I43" i="8"/>
  <c r="I44" i="8"/>
  <c r="I45" i="8"/>
  <c r="I46" i="8"/>
  <c r="I21" i="8"/>
  <c r="B36" i="8"/>
  <c r="I22" i="8"/>
  <c r="I23" i="8"/>
  <c r="I24" i="8"/>
  <c r="I25" i="8"/>
  <c r="I26" i="8"/>
  <c r="I27" i="8"/>
  <c r="I28" i="8"/>
  <c r="I29" i="8"/>
  <c r="I30" i="8"/>
  <c r="B167" i="8"/>
  <c r="B150" i="8"/>
  <c r="B134" i="8"/>
  <c r="B118" i="8"/>
  <c r="B102" i="8"/>
  <c r="B86" i="8"/>
  <c r="B70" i="8"/>
  <c r="B54" i="8"/>
  <c r="B39" i="8"/>
  <c r="B164" i="8"/>
  <c r="B147" i="8"/>
  <c r="B131" i="8"/>
  <c r="B115" i="8"/>
  <c r="B99" i="8"/>
  <c r="B83" i="8"/>
  <c r="B67" i="8"/>
  <c r="B51" i="8"/>
  <c r="L177" i="8"/>
  <c r="K177" i="8"/>
  <c r="J177" i="8"/>
  <c r="I177" i="8"/>
  <c r="H176" i="8"/>
  <c r="B166" i="8"/>
  <c r="B165" i="8"/>
  <c r="J164" i="8"/>
  <c r="I164" i="8"/>
  <c r="H164" i="8"/>
  <c r="C164" i="8"/>
  <c r="L160" i="8"/>
  <c r="K160" i="8"/>
  <c r="J160" i="8"/>
  <c r="I160" i="8"/>
  <c r="H159" i="8"/>
  <c r="B149" i="8"/>
  <c r="B148" i="8"/>
  <c r="J147" i="8"/>
  <c r="I147" i="8"/>
  <c r="H147" i="8"/>
  <c r="C147" i="8"/>
  <c r="L144" i="8"/>
  <c r="K144" i="8"/>
  <c r="J144" i="8"/>
  <c r="I144" i="8"/>
  <c r="H143" i="8"/>
  <c r="B133" i="8"/>
  <c r="B132" i="8"/>
  <c r="J131" i="8"/>
  <c r="I131" i="8"/>
  <c r="H131" i="8"/>
  <c r="C131" i="8"/>
  <c r="L128" i="8"/>
  <c r="K128" i="8"/>
  <c r="J128" i="8"/>
  <c r="I128" i="8"/>
  <c r="H127" i="8"/>
  <c r="B117" i="8"/>
  <c r="B116" i="8"/>
  <c r="J115" i="8"/>
  <c r="I115" i="8"/>
  <c r="H115" i="8"/>
  <c r="C115" i="8"/>
  <c r="L112" i="8"/>
  <c r="K112" i="8"/>
  <c r="J112" i="8"/>
  <c r="I112" i="8"/>
  <c r="H111" i="8"/>
  <c r="B101" i="8"/>
  <c r="B100" i="8"/>
  <c r="J99" i="8"/>
  <c r="I99" i="8"/>
  <c r="H99" i="8"/>
  <c r="C99" i="8"/>
  <c r="L96" i="8"/>
  <c r="K96" i="8"/>
  <c r="J96" i="8"/>
  <c r="I96" i="8"/>
  <c r="H95" i="8"/>
  <c r="B85" i="8"/>
  <c r="B84" i="8"/>
  <c r="J83" i="8"/>
  <c r="I83" i="8"/>
  <c r="H83" i="8"/>
  <c r="C83" i="8"/>
  <c r="L80" i="8"/>
  <c r="K80" i="8"/>
  <c r="J80" i="8"/>
  <c r="I80" i="8"/>
  <c r="H79" i="8"/>
  <c r="B69" i="8"/>
  <c r="B68" i="8"/>
  <c r="J67" i="8"/>
  <c r="I67" i="8"/>
  <c r="H67" i="8"/>
  <c r="C67" i="8"/>
  <c r="L64" i="8"/>
  <c r="K64" i="8"/>
  <c r="J64" i="8"/>
  <c r="I64" i="8"/>
  <c r="H63" i="8"/>
  <c r="B53" i="8"/>
  <c r="B52" i="8"/>
  <c r="J51" i="8"/>
  <c r="I51" i="8"/>
  <c r="H51" i="8"/>
  <c r="C51" i="8"/>
  <c r="L48" i="8"/>
  <c r="K48" i="8"/>
  <c r="J48" i="8"/>
  <c r="I48" i="8"/>
  <c r="H47" i="8"/>
  <c r="B38" i="8"/>
  <c r="B37" i="8"/>
  <c r="J36" i="8"/>
  <c r="I36" i="8"/>
  <c r="H36" i="8"/>
  <c r="C36" i="8"/>
  <c r="P13" i="9"/>
  <c r="P14" i="9"/>
  <c r="P15" i="9"/>
  <c r="P16" i="9"/>
  <c r="P17" i="9"/>
  <c r="P18" i="9"/>
  <c r="P19" i="9"/>
  <c r="P20" i="9"/>
  <c r="P21" i="9"/>
  <c r="P22" i="9"/>
  <c r="P23" i="9"/>
  <c r="P24" i="9"/>
  <c r="P25" i="9"/>
  <c r="P26" i="9"/>
  <c r="P27" i="9"/>
  <c r="P28" i="9"/>
  <c r="P29" i="9"/>
  <c r="P30" i="9"/>
  <c r="P31" i="9"/>
  <c r="P32" i="9"/>
  <c r="P33" i="9"/>
  <c r="P34" i="9"/>
  <c r="P35" i="9"/>
  <c r="P36" i="9"/>
  <c r="K52" i="5"/>
  <c r="K78" i="5"/>
  <c r="K104" i="5"/>
  <c r="K130" i="5"/>
  <c r="E130" i="5"/>
  <c r="E52" i="5"/>
  <c r="E78" i="5"/>
  <c r="E104" i="5"/>
  <c r="AT11" i="7"/>
  <c r="AP11" i="7"/>
  <c r="D145" i="5"/>
  <c r="J93" i="5"/>
  <c r="D144" i="5"/>
  <c r="J92" i="5"/>
  <c r="D142" i="5"/>
  <c r="J90" i="5"/>
  <c r="D141" i="5"/>
  <c r="J88" i="5"/>
  <c r="J87" i="5"/>
  <c r="AT10" i="7"/>
  <c r="AT12" i="7"/>
  <c r="AT16" i="7"/>
  <c r="AT13" i="7"/>
  <c r="AT17" i="7"/>
  <c r="AT18" i="7"/>
  <c r="AT19" i="7"/>
  <c r="AT20" i="7"/>
  <c r="AT21" i="7"/>
  <c r="AT22" i="7"/>
  <c r="AT23" i="7"/>
  <c r="AT24" i="7"/>
  <c r="AT25" i="7"/>
  <c r="AT26" i="7"/>
  <c r="AT27" i="7"/>
  <c r="AU17" i="7"/>
  <c r="AU18" i="7"/>
  <c r="AU19" i="7"/>
  <c r="AU20" i="7"/>
  <c r="AU21" i="7"/>
  <c r="AU22" i="7"/>
  <c r="AU23" i="7"/>
  <c r="AU24" i="7"/>
  <c r="AU25" i="7"/>
  <c r="AU26" i="7"/>
  <c r="AP12" i="7"/>
  <c r="AP13" i="7"/>
  <c r="AP17" i="7"/>
  <c r="AP18" i="7"/>
  <c r="AP19" i="7"/>
  <c r="AP20" i="7"/>
  <c r="AP21" i="7"/>
  <c r="AP22" i="7"/>
  <c r="AP23" i="7"/>
  <c r="AP24" i="7"/>
  <c r="AP25" i="7"/>
  <c r="AP26" i="7"/>
  <c r="AP27" i="7"/>
  <c r="AP10" i="7"/>
  <c r="AP16" i="7"/>
  <c r="AQ17" i="7"/>
  <c r="AQ18" i="7"/>
  <c r="AQ19" i="7"/>
  <c r="AQ20" i="7"/>
  <c r="AQ21" i="7"/>
  <c r="AQ22" i="7"/>
  <c r="AQ23" i="7"/>
  <c r="AQ24" i="7"/>
  <c r="AQ25" i="7"/>
  <c r="AQ26" i="7"/>
  <c r="AQ27" i="7"/>
  <c r="AM17" i="7"/>
  <c r="AM18" i="7"/>
  <c r="AM19" i="7"/>
  <c r="AM20" i="7"/>
  <c r="AM21" i="7"/>
  <c r="AM22" i="7"/>
  <c r="AM23" i="7"/>
  <c r="AM24" i="7"/>
  <c r="AM25" i="7"/>
  <c r="AM26" i="7"/>
  <c r="AM27" i="7"/>
  <c r="AL13" i="7"/>
  <c r="AL17" i="7"/>
  <c r="AL18" i="7"/>
  <c r="AL19" i="7"/>
  <c r="AL20" i="7"/>
  <c r="AL21" i="7"/>
  <c r="AL22" i="7"/>
  <c r="AL23" i="7"/>
  <c r="AL24" i="7"/>
  <c r="AL25" i="7"/>
  <c r="AL26" i="7"/>
  <c r="AL27" i="7"/>
  <c r="AL10" i="7"/>
  <c r="AL11" i="7"/>
  <c r="AL12" i="7"/>
  <c r="AL16" i="7"/>
  <c r="AR17" i="7"/>
  <c r="AR18" i="7"/>
  <c r="AR19" i="7"/>
  <c r="AR20" i="7"/>
  <c r="AR21" i="7"/>
  <c r="AR22" i="7"/>
  <c r="AR23" i="7"/>
  <c r="AR24" i="7"/>
  <c r="AR25" i="7"/>
  <c r="AR26" i="7"/>
  <c r="AR27" i="7"/>
  <c r="AN17" i="7"/>
  <c r="AN18" i="7"/>
  <c r="AN19" i="7"/>
  <c r="AN20" i="7"/>
  <c r="AN21" i="7"/>
  <c r="AN22" i="7"/>
  <c r="AN23" i="7"/>
  <c r="AN24" i="7"/>
  <c r="AN25" i="7"/>
  <c r="AN26" i="7"/>
  <c r="AN27" i="7"/>
  <c r="AJ17" i="7"/>
  <c r="AJ18" i="7"/>
  <c r="AJ19" i="7"/>
  <c r="AJ20" i="7"/>
  <c r="AJ21" i="7"/>
  <c r="AJ22" i="7"/>
  <c r="AJ23" i="7"/>
  <c r="AJ24" i="7"/>
  <c r="AJ25" i="7"/>
  <c r="AJ26" i="7"/>
  <c r="AJ27" i="7"/>
  <c r="BC17" i="7"/>
  <c r="BC18" i="7"/>
  <c r="BC19" i="7"/>
  <c r="BC20" i="7"/>
  <c r="BC21" i="7"/>
  <c r="BC22" i="7"/>
  <c r="BC23" i="7"/>
  <c r="BC24" i="7"/>
  <c r="BC25" i="7"/>
  <c r="BC26" i="7"/>
  <c r="BC27" i="7"/>
  <c r="BB17" i="7"/>
  <c r="BB18" i="7"/>
  <c r="BB19" i="7"/>
  <c r="BB20" i="7"/>
  <c r="BB21" i="7"/>
  <c r="BB22" i="7"/>
  <c r="BB23" i="7"/>
  <c r="BB24" i="7"/>
  <c r="BB25" i="7"/>
  <c r="BB26" i="7"/>
  <c r="BB27" i="7"/>
  <c r="BA17" i="7"/>
  <c r="BA18" i="7"/>
  <c r="BA19" i="7"/>
  <c r="BA20" i="7"/>
  <c r="BA21" i="7"/>
  <c r="BA22" i="7"/>
  <c r="BA23" i="7"/>
  <c r="BA24" i="7"/>
  <c r="BA25" i="7"/>
  <c r="BA26" i="7"/>
  <c r="BA27" i="7"/>
  <c r="AZ17" i="7"/>
  <c r="AZ18" i="7"/>
  <c r="AZ19" i="7"/>
  <c r="AZ20" i="7"/>
  <c r="AZ21" i="7"/>
  <c r="AZ22" i="7"/>
  <c r="AZ23" i="7"/>
  <c r="AZ24" i="7"/>
  <c r="AZ25" i="7"/>
  <c r="AZ26" i="7"/>
  <c r="AZ27" i="7"/>
  <c r="AY17" i="7"/>
  <c r="AY18" i="7"/>
  <c r="AY19" i="7"/>
  <c r="AY20" i="7"/>
  <c r="AY21" i="7"/>
  <c r="AY22" i="7"/>
  <c r="AY23" i="7"/>
  <c r="AY24" i="7"/>
  <c r="AY25" i="7"/>
  <c r="AY26" i="7"/>
  <c r="AY27" i="7"/>
  <c r="AX17" i="7"/>
  <c r="AX18" i="7"/>
  <c r="AX19" i="7"/>
  <c r="AX20" i="7"/>
  <c r="AX21" i="7"/>
  <c r="AX22" i="7"/>
  <c r="AX23" i="7"/>
  <c r="AX24" i="7"/>
  <c r="AX25" i="7"/>
  <c r="AX26" i="7"/>
  <c r="AX27" i="7"/>
  <c r="AW17" i="7"/>
  <c r="AW18" i="7"/>
  <c r="AW19" i="7"/>
  <c r="AW20" i="7"/>
  <c r="AW21" i="7"/>
  <c r="AW22" i="7"/>
  <c r="AW23" i="7"/>
  <c r="AW24" i="7"/>
  <c r="AW25" i="7"/>
  <c r="AW26" i="7"/>
  <c r="AW27" i="7"/>
  <c r="AV17" i="7"/>
  <c r="AV18" i="7"/>
  <c r="AV19" i="7"/>
  <c r="AV20" i="7"/>
  <c r="AV21" i="7"/>
  <c r="AV22" i="7"/>
  <c r="AV23" i="7"/>
  <c r="AV24" i="7"/>
  <c r="AV25" i="7"/>
  <c r="AV26" i="7"/>
  <c r="AV27" i="7"/>
  <c r="K17" i="7"/>
  <c r="K18" i="7"/>
  <c r="K19" i="7"/>
  <c r="K20" i="7"/>
  <c r="K21" i="7"/>
  <c r="K22" i="7"/>
  <c r="K23" i="7"/>
  <c r="K24" i="7"/>
  <c r="K25" i="7"/>
  <c r="K26" i="7"/>
  <c r="K27" i="7"/>
  <c r="AF17" i="7"/>
  <c r="AF18" i="7"/>
  <c r="AF19" i="7"/>
  <c r="AF20" i="7"/>
  <c r="AF21" i="7"/>
  <c r="AF22" i="7"/>
  <c r="AF23" i="7"/>
  <c r="AF24" i="7"/>
  <c r="AF25" i="7"/>
  <c r="AF26" i="7"/>
  <c r="AF27" i="7"/>
  <c r="AE17" i="7"/>
  <c r="AE18" i="7"/>
  <c r="AE19" i="7"/>
  <c r="AE20" i="7"/>
  <c r="AE21" i="7"/>
  <c r="AE22" i="7"/>
  <c r="AE23" i="7"/>
  <c r="AE24" i="7"/>
  <c r="AE25" i="7"/>
  <c r="AE26" i="7"/>
  <c r="AE27" i="7"/>
  <c r="AA17" i="7"/>
  <c r="AA18" i="7"/>
  <c r="AA19" i="7"/>
  <c r="AA20" i="7"/>
  <c r="AA21" i="7"/>
  <c r="AA22" i="7"/>
  <c r="AA23" i="7"/>
  <c r="AA24" i="7"/>
  <c r="AA25" i="7"/>
  <c r="AA26" i="7"/>
  <c r="AA27" i="7"/>
  <c r="AD17" i="7"/>
  <c r="AD18" i="7"/>
  <c r="AD19" i="7"/>
  <c r="AD20" i="7"/>
  <c r="AD21" i="7"/>
  <c r="AD22" i="7"/>
  <c r="AD23" i="7"/>
  <c r="AD24" i="7"/>
  <c r="AD25" i="7"/>
  <c r="AD26" i="7"/>
  <c r="AD27" i="7"/>
  <c r="AC17" i="7"/>
  <c r="AC18" i="7"/>
  <c r="AC19" i="7"/>
  <c r="AC20" i="7"/>
  <c r="AC21" i="7"/>
  <c r="AC22" i="7"/>
  <c r="AC23" i="7"/>
  <c r="AC24" i="7"/>
  <c r="AC25" i="7"/>
  <c r="AC26" i="7"/>
  <c r="AC27" i="7"/>
  <c r="Z17" i="7"/>
  <c r="Z18" i="7"/>
  <c r="Z19" i="7"/>
  <c r="Z20" i="7"/>
  <c r="Z21" i="7"/>
  <c r="Z22" i="7"/>
  <c r="Z23" i="7"/>
  <c r="Z24" i="7"/>
  <c r="Z25" i="7"/>
  <c r="Z26" i="7"/>
  <c r="Z27" i="7"/>
  <c r="Y17" i="7"/>
  <c r="Y18" i="7"/>
  <c r="Y19" i="7"/>
  <c r="Y20" i="7"/>
  <c r="Y21" i="7"/>
  <c r="Y22" i="7"/>
  <c r="Y23" i="7"/>
  <c r="Y24" i="7"/>
  <c r="Y25" i="7"/>
  <c r="Y26" i="7"/>
  <c r="Y27" i="7"/>
  <c r="AB17" i="7"/>
  <c r="AB18" i="7"/>
  <c r="AB19" i="7"/>
  <c r="AB20" i="7"/>
  <c r="AB21" i="7"/>
  <c r="AB22" i="7"/>
  <c r="AB23" i="7"/>
  <c r="AB24" i="7"/>
  <c r="AB25" i="7"/>
  <c r="AB26" i="7"/>
  <c r="AB27" i="7"/>
  <c r="X17" i="7"/>
  <c r="X18" i="7"/>
  <c r="X19" i="7"/>
  <c r="X20" i="7"/>
  <c r="X21" i="7"/>
  <c r="X22" i="7"/>
  <c r="X23" i="7"/>
  <c r="X24" i="7"/>
  <c r="X25" i="7"/>
  <c r="X26" i="7"/>
  <c r="X27" i="7"/>
  <c r="B7" i="7"/>
  <c r="AV7" i="7" s="1"/>
  <c r="S6" i="7"/>
  <c r="X7" i="7"/>
  <c r="AR7" i="7"/>
  <c r="AN7" i="7"/>
  <c r="T22" i="7"/>
  <c r="R22" i="7"/>
  <c r="B22" i="7"/>
  <c r="W22" i="7" s="1"/>
  <c r="T21" i="7"/>
  <c r="R21" i="7"/>
  <c r="B21" i="7"/>
  <c r="W21" i="7" s="1"/>
  <c r="T20" i="7"/>
  <c r="R20" i="7"/>
  <c r="B20" i="7"/>
  <c r="V20" i="7" s="1"/>
  <c r="T19" i="7"/>
  <c r="R19" i="7"/>
  <c r="B19" i="7"/>
  <c r="V19" i="7" s="1"/>
  <c r="T18" i="7"/>
  <c r="R18" i="7"/>
  <c r="B18" i="7"/>
  <c r="W18" i="7" s="1"/>
  <c r="T17" i="7"/>
  <c r="R17" i="7"/>
  <c r="B17" i="7"/>
  <c r="W17" i="7" s="1"/>
  <c r="T16" i="7"/>
  <c r="R16" i="7"/>
  <c r="B16" i="7"/>
  <c r="W16" i="7" s="1"/>
  <c r="T15" i="7"/>
  <c r="R15" i="7"/>
  <c r="B15" i="7"/>
  <c r="T14" i="7"/>
  <c r="R14" i="7"/>
  <c r="B14" i="7"/>
  <c r="T13" i="7"/>
  <c r="R13" i="7"/>
  <c r="B13" i="7"/>
  <c r="T27" i="7"/>
  <c r="R27" i="7"/>
  <c r="B27" i="7"/>
  <c r="W27" i="7" s="1"/>
  <c r="T26" i="7"/>
  <c r="R26" i="7"/>
  <c r="B26" i="7"/>
  <c r="W26" i="7" s="1"/>
  <c r="T25" i="7"/>
  <c r="R25" i="7"/>
  <c r="B25" i="7"/>
  <c r="W25" i="7" s="1"/>
  <c r="T24" i="7"/>
  <c r="R24" i="7"/>
  <c r="B24" i="7"/>
  <c r="W24" i="7" s="1"/>
  <c r="T23" i="7"/>
  <c r="R23" i="7"/>
  <c r="B23" i="7"/>
  <c r="W23" i="7" s="1"/>
  <c r="AZ16" i="7"/>
  <c r="AR16" i="7"/>
  <c r="AU16" i="7"/>
  <c r="AN16" i="7"/>
  <c r="AQ16" i="7"/>
  <c r="J63" i="5"/>
  <c r="AJ16" i="7"/>
  <c r="AM16" i="7"/>
  <c r="AV16" i="7"/>
  <c r="AB16" i="7"/>
  <c r="AF16" i="7"/>
  <c r="J61" i="5"/>
  <c r="X16" i="7"/>
  <c r="V15" i="7"/>
  <c r="AN15" i="7"/>
  <c r="AR15" i="7"/>
  <c r="AJ15" i="7"/>
  <c r="AZ15" i="7"/>
  <c r="AV15" i="7"/>
  <c r="AF15" i="7"/>
  <c r="X15" i="7"/>
  <c r="AB15" i="7"/>
  <c r="V14" i="7"/>
  <c r="AR14" i="7"/>
  <c r="AJ14" i="7"/>
  <c r="AZ14" i="7"/>
  <c r="AV14" i="7"/>
  <c r="AN14" i="7"/>
  <c r="AF14" i="7"/>
  <c r="X14" i="7"/>
  <c r="AB14" i="7"/>
  <c r="W13" i="7"/>
  <c r="AR13" i="7"/>
  <c r="AU13" i="7"/>
  <c r="J116" i="5"/>
  <c r="AN13" i="7"/>
  <c r="AQ13" i="7"/>
  <c r="AJ13" i="7"/>
  <c r="AM13" i="7"/>
  <c r="J114" i="5"/>
  <c r="AZ13" i="7"/>
  <c r="AV13" i="7"/>
  <c r="AB13" i="7"/>
  <c r="AF13" i="7"/>
  <c r="J113" i="5"/>
  <c r="X13" i="7"/>
  <c r="V13" i="7"/>
  <c r="W19" i="7"/>
  <c r="W14" i="7"/>
  <c r="W20" i="7"/>
  <c r="W15" i="7"/>
  <c r="V16" i="7"/>
  <c r="Q48" i="8"/>
  <c r="AE26" i="9"/>
  <c r="AD26" i="9"/>
  <c r="AC26" i="9"/>
  <c r="AB26" i="9"/>
  <c r="AA26" i="9"/>
  <c r="Z26" i="9"/>
  <c r="Y26" i="9"/>
  <c r="X26" i="9"/>
  <c r="W26" i="9"/>
  <c r="V26" i="9"/>
  <c r="U26" i="9"/>
  <c r="S26" i="9"/>
  <c r="Q26" i="9"/>
  <c r="K26" i="9"/>
  <c r="J26" i="9"/>
  <c r="AE25" i="9"/>
  <c r="AD25" i="9"/>
  <c r="AC25" i="9"/>
  <c r="AB25" i="9"/>
  <c r="AA25" i="9"/>
  <c r="Z25" i="9"/>
  <c r="Y25" i="9"/>
  <c r="X25" i="9"/>
  <c r="W25" i="9"/>
  <c r="V25" i="9"/>
  <c r="U25" i="9"/>
  <c r="S25" i="9"/>
  <c r="Q25" i="9"/>
  <c r="K25" i="9"/>
  <c r="J25" i="9"/>
  <c r="AE24" i="9"/>
  <c r="AD24" i="9"/>
  <c r="AC24" i="9"/>
  <c r="AB24" i="9"/>
  <c r="AA24" i="9"/>
  <c r="Z24" i="9"/>
  <c r="Y24" i="9"/>
  <c r="X24" i="9"/>
  <c r="W24" i="9"/>
  <c r="V24" i="9"/>
  <c r="U24" i="9"/>
  <c r="S24" i="9"/>
  <c r="Q24" i="9"/>
  <c r="K24" i="9"/>
  <c r="J24" i="9"/>
  <c r="AE23" i="9"/>
  <c r="AD23" i="9"/>
  <c r="AC23" i="9"/>
  <c r="AB23" i="9"/>
  <c r="AA23" i="9"/>
  <c r="Z23" i="9"/>
  <c r="Y23" i="9"/>
  <c r="X23" i="9"/>
  <c r="W23" i="9"/>
  <c r="V23" i="9"/>
  <c r="U23" i="9"/>
  <c r="S23" i="9"/>
  <c r="Q23" i="9"/>
  <c r="K23" i="9"/>
  <c r="J23" i="9"/>
  <c r="AE22" i="9"/>
  <c r="AD22" i="9"/>
  <c r="AC22" i="9"/>
  <c r="AB22" i="9"/>
  <c r="AA22" i="9"/>
  <c r="Z22" i="9"/>
  <c r="Y22" i="9"/>
  <c r="X22" i="9"/>
  <c r="W22" i="9"/>
  <c r="V22" i="9"/>
  <c r="U22" i="9"/>
  <c r="S22" i="9"/>
  <c r="Q22" i="9"/>
  <c r="K22" i="9"/>
  <c r="J22" i="9"/>
  <c r="AE21" i="9"/>
  <c r="AD21" i="9"/>
  <c r="AC21" i="9"/>
  <c r="AB21" i="9"/>
  <c r="AA21" i="9"/>
  <c r="Z21" i="9"/>
  <c r="Y21" i="9"/>
  <c r="X21" i="9"/>
  <c r="W21" i="9"/>
  <c r="V21" i="9"/>
  <c r="U21" i="9"/>
  <c r="S21" i="9"/>
  <c r="Q21" i="9"/>
  <c r="K21" i="9"/>
  <c r="J21" i="9"/>
  <c r="AE20" i="9"/>
  <c r="AD20" i="9"/>
  <c r="AC20" i="9"/>
  <c r="AB20" i="9"/>
  <c r="AA20" i="9"/>
  <c r="Z20" i="9"/>
  <c r="Y20" i="9"/>
  <c r="X20" i="9"/>
  <c r="W20" i="9"/>
  <c r="V20" i="9"/>
  <c r="U20" i="9"/>
  <c r="S20" i="9"/>
  <c r="Q20" i="9"/>
  <c r="K20" i="9"/>
  <c r="J20" i="9"/>
  <c r="AE19" i="9"/>
  <c r="AD19" i="9"/>
  <c r="AC19" i="9"/>
  <c r="AB19" i="9"/>
  <c r="AA19" i="9"/>
  <c r="Z19" i="9"/>
  <c r="Y19" i="9"/>
  <c r="X19" i="9"/>
  <c r="W19" i="9"/>
  <c r="V19" i="9"/>
  <c r="U19" i="9"/>
  <c r="S19" i="9"/>
  <c r="Q19" i="9"/>
  <c r="K19" i="9"/>
  <c r="J19" i="9"/>
  <c r="AE18" i="9"/>
  <c r="AD18" i="9"/>
  <c r="AC18" i="9"/>
  <c r="AB18" i="9"/>
  <c r="AA18" i="9"/>
  <c r="Z18" i="9"/>
  <c r="Y18" i="9"/>
  <c r="X18" i="9"/>
  <c r="W18" i="9"/>
  <c r="V18" i="9"/>
  <c r="U18" i="9"/>
  <c r="S18" i="9"/>
  <c r="Q18" i="9"/>
  <c r="K18" i="9"/>
  <c r="J18" i="9"/>
  <c r="AE17" i="9"/>
  <c r="AD17" i="9"/>
  <c r="AC17" i="9"/>
  <c r="AB17" i="9"/>
  <c r="AA17" i="9"/>
  <c r="Z17" i="9"/>
  <c r="Y17" i="9"/>
  <c r="X17" i="9"/>
  <c r="W17" i="9"/>
  <c r="V17" i="9"/>
  <c r="U17" i="9"/>
  <c r="S17" i="9"/>
  <c r="Q17" i="9"/>
  <c r="K17" i="9"/>
  <c r="J17" i="9"/>
  <c r="A21" i="1"/>
  <c r="B4" i="8"/>
  <c r="R17" i="8"/>
  <c r="V48" i="8" s="1"/>
  <c r="AC37" i="9"/>
  <c r="X37" i="9"/>
  <c r="AE8" i="9"/>
  <c r="AE9" i="9"/>
  <c r="AE10" i="9"/>
  <c r="AE11" i="9"/>
  <c r="L42" i="9" s="1"/>
  <c r="A37" i="4" s="1"/>
  <c r="AE12" i="9"/>
  <c r="AE13" i="9"/>
  <c r="AE14" i="9"/>
  <c r="AE15" i="9"/>
  <c r="AE16" i="9"/>
  <c r="AE27" i="9"/>
  <c r="AE28" i="9"/>
  <c r="AE29" i="9"/>
  <c r="AE30" i="9"/>
  <c r="AE31" i="9"/>
  <c r="AE32" i="9"/>
  <c r="AE33" i="9"/>
  <c r="AE34" i="9"/>
  <c r="AE35" i="9"/>
  <c r="AE36" i="9"/>
  <c r="AD13" i="9"/>
  <c r="AD14" i="9"/>
  <c r="AD15" i="9"/>
  <c r="AD16" i="9"/>
  <c r="AD27" i="9"/>
  <c r="AD28" i="9"/>
  <c r="AD29" i="9"/>
  <c r="AD30" i="9"/>
  <c r="AD31" i="9"/>
  <c r="AD32" i="9"/>
  <c r="AD33" i="9"/>
  <c r="AD34" i="9"/>
  <c r="AD35" i="9"/>
  <c r="AD36" i="9"/>
  <c r="AC13" i="9"/>
  <c r="AC14" i="9"/>
  <c r="AC15" i="9"/>
  <c r="AC16" i="9"/>
  <c r="AC27" i="9"/>
  <c r="AC28" i="9"/>
  <c r="AC29" i="9"/>
  <c r="AC30" i="9"/>
  <c r="AC31" i="9"/>
  <c r="AC32" i="9"/>
  <c r="AC33" i="9"/>
  <c r="AC34" i="9"/>
  <c r="AC35" i="9"/>
  <c r="AC36" i="9"/>
  <c r="AB8" i="9"/>
  <c r="AB9" i="9"/>
  <c r="AB10" i="9"/>
  <c r="AB11" i="9"/>
  <c r="AB12" i="9"/>
  <c r="AB13" i="9"/>
  <c r="AB14" i="9"/>
  <c r="AB15" i="9"/>
  <c r="AB16" i="9"/>
  <c r="AB27" i="9"/>
  <c r="AB28" i="9"/>
  <c r="AB29" i="9"/>
  <c r="AB30" i="9"/>
  <c r="AB31" i="9"/>
  <c r="AB32" i="9"/>
  <c r="AB33" i="9"/>
  <c r="AB34" i="9"/>
  <c r="AB35" i="9"/>
  <c r="AB36" i="9"/>
  <c r="AA13" i="9"/>
  <c r="AA14" i="9"/>
  <c r="AA15" i="9"/>
  <c r="AA16" i="9"/>
  <c r="AA27" i="9"/>
  <c r="AA28" i="9"/>
  <c r="AA29" i="9"/>
  <c r="AA30" i="9"/>
  <c r="AA31" i="9"/>
  <c r="AA32" i="9"/>
  <c r="AA33" i="9"/>
  <c r="AA34" i="9"/>
  <c r="AA35" i="9"/>
  <c r="AA36" i="9"/>
  <c r="Y13" i="9"/>
  <c r="Y14" i="9"/>
  <c r="Y15" i="9"/>
  <c r="Y16" i="9"/>
  <c r="Y27" i="9"/>
  <c r="Y28" i="9"/>
  <c r="Y29" i="9"/>
  <c r="Y30" i="9"/>
  <c r="Y31" i="9"/>
  <c r="Y32" i="9"/>
  <c r="Y33" i="9"/>
  <c r="Y34" i="9"/>
  <c r="Y35" i="9"/>
  <c r="Y36" i="9"/>
  <c r="X13" i="9"/>
  <c r="X14" i="9"/>
  <c r="X15" i="9"/>
  <c r="X16" i="9"/>
  <c r="X27" i="9"/>
  <c r="X28" i="9"/>
  <c r="X29" i="9"/>
  <c r="X30" i="9"/>
  <c r="X31" i="9"/>
  <c r="X32" i="9"/>
  <c r="X33" i="9"/>
  <c r="X34" i="9"/>
  <c r="X35" i="9"/>
  <c r="X36" i="9"/>
  <c r="W8" i="9"/>
  <c r="W9" i="9"/>
  <c r="W10" i="9"/>
  <c r="W11" i="9"/>
  <c r="W12" i="9"/>
  <c r="W13" i="9"/>
  <c r="W14" i="9"/>
  <c r="W15" i="9"/>
  <c r="W16" i="9"/>
  <c r="W27" i="9"/>
  <c r="W28" i="9"/>
  <c r="W29" i="9"/>
  <c r="W30" i="9"/>
  <c r="W31" i="9"/>
  <c r="W32" i="9"/>
  <c r="W33" i="9"/>
  <c r="W34" i="9"/>
  <c r="W35" i="9"/>
  <c r="W36" i="9"/>
  <c r="V13" i="9"/>
  <c r="V14" i="9"/>
  <c r="V15" i="9"/>
  <c r="V16" i="9"/>
  <c r="V27" i="9"/>
  <c r="V28" i="9"/>
  <c r="V29" i="9"/>
  <c r="V30" i="9"/>
  <c r="V31" i="9"/>
  <c r="V32" i="9"/>
  <c r="V33" i="9"/>
  <c r="V34" i="9"/>
  <c r="V35" i="9"/>
  <c r="V36" i="9"/>
  <c r="Z13" i="9"/>
  <c r="Z14" i="9"/>
  <c r="Z15" i="9"/>
  <c r="Z16" i="9"/>
  <c r="Z27" i="9"/>
  <c r="Z28" i="9"/>
  <c r="Z29" i="9"/>
  <c r="Z30" i="9"/>
  <c r="Z31" i="9"/>
  <c r="Z32" i="9"/>
  <c r="Z33" i="9"/>
  <c r="Z34" i="9"/>
  <c r="Z35" i="9"/>
  <c r="Z36" i="9"/>
  <c r="U13" i="9"/>
  <c r="U14" i="9"/>
  <c r="U15" i="9"/>
  <c r="U16" i="9"/>
  <c r="U27" i="9"/>
  <c r="U28" i="9"/>
  <c r="U29" i="9"/>
  <c r="U30" i="9"/>
  <c r="U31" i="9"/>
  <c r="U32" i="9"/>
  <c r="U33" i="9"/>
  <c r="U34" i="9"/>
  <c r="U35" i="9"/>
  <c r="U36" i="9"/>
  <c r="S8" i="9"/>
  <c r="S9" i="9"/>
  <c r="S10" i="9"/>
  <c r="S11" i="9"/>
  <c r="S12" i="9"/>
  <c r="S13" i="9"/>
  <c r="S14" i="9"/>
  <c r="S15" i="9"/>
  <c r="S16" i="9"/>
  <c r="S27" i="9"/>
  <c r="S28" i="9"/>
  <c r="S29" i="9"/>
  <c r="S30" i="9"/>
  <c r="S31" i="9"/>
  <c r="S32" i="9"/>
  <c r="S33" i="9"/>
  <c r="S34" i="9"/>
  <c r="S35" i="9"/>
  <c r="S36" i="9"/>
  <c r="J8" i="9"/>
  <c r="J9" i="9"/>
  <c r="U9" i="9"/>
  <c r="J10" i="9"/>
  <c r="J11" i="9"/>
  <c r="J12" i="9"/>
  <c r="U12" i="9"/>
  <c r="J13" i="9"/>
  <c r="J14" i="9"/>
  <c r="J15" i="9"/>
  <c r="J16" i="9"/>
  <c r="J27" i="9"/>
  <c r="J28" i="9"/>
  <c r="J29" i="9"/>
  <c r="J30" i="9"/>
  <c r="J31" i="9"/>
  <c r="J32" i="9"/>
  <c r="J33" i="9"/>
  <c r="J34" i="9"/>
  <c r="J35" i="9"/>
  <c r="J36" i="9"/>
  <c r="J7" i="9"/>
  <c r="Q12" i="9"/>
  <c r="Q13" i="9"/>
  <c r="Q14" i="9"/>
  <c r="Q15" i="9"/>
  <c r="Q16" i="9"/>
  <c r="Q27" i="9"/>
  <c r="Q28" i="9"/>
  <c r="Q29" i="9"/>
  <c r="Q30" i="9"/>
  <c r="Q31" i="9"/>
  <c r="Q32" i="9"/>
  <c r="Q33" i="9"/>
  <c r="Q34" i="9"/>
  <c r="Q35" i="9"/>
  <c r="Q36" i="9"/>
  <c r="K8" i="9"/>
  <c r="P8" i="9"/>
  <c r="K9" i="9"/>
  <c r="P9" i="9"/>
  <c r="K10" i="9"/>
  <c r="P10" i="9"/>
  <c r="K11" i="9"/>
  <c r="P11" i="9"/>
  <c r="K12" i="9"/>
  <c r="P12" i="9"/>
  <c r="K13" i="9"/>
  <c r="K14" i="9"/>
  <c r="K15" i="9"/>
  <c r="K16" i="9"/>
  <c r="K27" i="9"/>
  <c r="K28" i="9"/>
  <c r="K29" i="9"/>
  <c r="K30" i="9"/>
  <c r="K31" i="9"/>
  <c r="K32" i="9"/>
  <c r="K33" i="9"/>
  <c r="K34" i="9"/>
  <c r="K35" i="9"/>
  <c r="K36" i="9"/>
  <c r="K7" i="9"/>
  <c r="P7" i="9"/>
  <c r="S7" i="9"/>
  <c r="Z9" i="9"/>
  <c r="Z10" i="9"/>
  <c r="Z11" i="9"/>
  <c r="B8" i="7"/>
  <c r="R50" i="7" s="1"/>
  <c r="B9" i="7"/>
  <c r="B10" i="7"/>
  <c r="B11" i="7"/>
  <c r="B12" i="7"/>
  <c r="V12" i="7" s="1"/>
  <c r="T12" i="7"/>
  <c r="R12" i="7"/>
  <c r="R8" i="7"/>
  <c r="R9" i="7"/>
  <c r="R10" i="7"/>
  <c r="R11" i="7"/>
  <c r="R7" i="7"/>
  <c r="T8" i="7"/>
  <c r="T9" i="7"/>
  <c r="T10" i="7"/>
  <c r="T11" i="7"/>
  <c r="T7" i="7"/>
  <c r="M11" i="5"/>
  <c r="D11" i="5"/>
  <c r="W7" i="9"/>
  <c r="AB7" i="9"/>
  <c r="AG16" i="9" a="1"/>
  <c r="AG16" i="9" s="1"/>
  <c r="AL18" i="9" a="1"/>
  <c r="AL18" i="9" s="1"/>
  <c r="AI13" i="9" a="1"/>
  <c r="AI13" i="9" s="1"/>
  <c r="AN15" i="9" a="1"/>
  <c r="AN15" i="9" s="1"/>
  <c r="AG15" i="9" a="1"/>
  <c r="AG15" i="9" s="1"/>
  <c r="AL17" i="9" a="1"/>
  <c r="AL17" i="9" s="1"/>
  <c r="AI16" i="9" a="1"/>
  <c r="AI16" i="9" s="1"/>
  <c r="AN18" i="9" a="1"/>
  <c r="AN18" i="9" s="1"/>
  <c r="AG14" i="9" a="1"/>
  <c r="AG14" i="9" s="1"/>
  <c r="AL16" i="9" a="1"/>
  <c r="AL16" i="9" s="1"/>
  <c r="AI15" i="9" a="1"/>
  <c r="AI15" i="9" s="1"/>
  <c r="AN17" i="9" a="1"/>
  <c r="AN17" i="9" s="1"/>
  <c r="AG13" i="9" a="1"/>
  <c r="AG13" i="9" s="1"/>
  <c r="AL15" i="9" a="1"/>
  <c r="AL15" i="9" s="1"/>
  <c r="AI14" i="9" a="1"/>
  <c r="AI14" i="9" s="1"/>
  <c r="AN16" i="9" a="1"/>
  <c r="AN16" i="9" s="1"/>
  <c r="Q7" i="9"/>
  <c r="Q11" i="9"/>
  <c r="Q10" i="9"/>
  <c r="Q9" i="9"/>
  <c r="V12" i="9"/>
  <c r="X12" i="9"/>
  <c r="Y9" i="9"/>
  <c r="Z12" i="9"/>
  <c r="AA12" i="9"/>
  <c r="AC12" i="9"/>
  <c r="Y12" i="9"/>
  <c r="AD11" i="9"/>
  <c r="AA11" i="9"/>
  <c r="AC11" i="9"/>
  <c r="U11" i="9"/>
  <c r="AA10" i="9"/>
  <c r="AC10" i="9"/>
  <c r="AD10" i="9"/>
  <c r="U10" i="9"/>
  <c r="AA9" i="9"/>
  <c r="AC9" i="9"/>
  <c r="AD9" i="9"/>
  <c r="V9" i="9"/>
  <c r="X9" i="9"/>
  <c r="Q8" i="9"/>
  <c r="AE16" i="7"/>
  <c r="AC16" i="7"/>
  <c r="AD16" i="7"/>
  <c r="AY16" i="7"/>
  <c r="AW16" i="7"/>
  <c r="AX16" i="7"/>
  <c r="BC16" i="7"/>
  <c r="J67" i="5"/>
  <c r="BA16" i="7"/>
  <c r="BB16" i="7"/>
  <c r="AA16" i="7"/>
  <c r="Y16" i="7"/>
  <c r="Z16" i="7"/>
  <c r="AM15" i="7"/>
  <c r="AL15" i="7"/>
  <c r="AT15" i="7"/>
  <c r="AU15" i="7"/>
  <c r="Y15" i="7"/>
  <c r="Z15" i="7"/>
  <c r="AA15" i="7"/>
  <c r="AW15" i="7"/>
  <c r="AX15" i="7"/>
  <c r="AY15" i="7"/>
  <c r="AP15" i="7"/>
  <c r="AQ15" i="7"/>
  <c r="AC15" i="7"/>
  <c r="AD15" i="7"/>
  <c r="AE15" i="7"/>
  <c r="BA15" i="7"/>
  <c r="BB15" i="7"/>
  <c r="BC15" i="7"/>
  <c r="BC14" i="7"/>
  <c r="BA14" i="7"/>
  <c r="BB14" i="7"/>
  <c r="D61" i="5"/>
  <c r="AM14" i="7"/>
  <c r="D62" i="5"/>
  <c r="AL14" i="7"/>
  <c r="AP14" i="7"/>
  <c r="AQ14" i="7"/>
  <c r="D63" i="5"/>
  <c r="AT14" i="7"/>
  <c r="AU14" i="7"/>
  <c r="AA14" i="7"/>
  <c r="Y14" i="7"/>
  <c r="Z14" i="7"/>
  <c r="AC14" i="7"/>
  <c r="AD14" i="7"/>
  <c r="AE14" i="7"/>
  <c r="AY14" i="7"/>
  <c r="D66" i="5"/>
  <c r="AW14" i="7"/>
  <c r="AX14" i="7"/>
  <c r="AE13" i="7"/>
  <c r="AC13" i="7"/>
  <c r="AD13" i="7"/>
  <c r="AW13" i="7"/>
  <c r="AX13" i="7"/>
  <c r="AY13" i="7"/>
  <c r="J118" i="5"/>
  <c r="AA13" i="7"/>
  <c r="Y13" i="7"/>
  <c r="Z13" i="7"/>
  <c r="BA13" i="7"/>
  <c r="BB13" i="7"/>
  <c r="BC13" i="7"/>
  <c r="J119" i="5"/>
  <c r="AR12" i="7"/>
  <c r="AU12" i="7"/>
  <c r="J142" i="5"/>
  <c r="AN12" i="7"/>
  <c r="AQ12" i="7"/>
  <c r="J141" i="5"/>
  <c r="AJ12" i="7"/>
  <c r="AM12" i="7"/>
  <c r="AZ12" i="7"/>
  <c r="AV12" i="7"/>
  <c r="AB12" i="7"/>
  <c r="AF12" i="7"/>
  <c r="J139" i="5"/>
  <c r="X12" i="7"/>
  <c r="V11" i="7"/>
  <c r="AR11" i="7"/>
  <c r="AU11" i="7"/>
  <c r="D116" i="5"/>
  <c r="AZ11" i="7"/>
  <c r="AV11" i="7"/>
  <c r="AN11" i="7"/>
  <c r="AQ11" i="7"/>
  <c r="D115" i="5"/>
  <c r="AJ11" i="7"/>
  <c r="AM11" i="7"/>
  <c r="D114" i="5"/>
  <c r="AB11" i="7"/>
  <c r="AF11" i="7"/>
  <c r="D113" i="5"/>
  <c r="X11" i="7"/>
  <c r="V10" i="7"/>
  <c r="AR10" i="7"/>
  <c r="AU10" i="7"/>
  <c r="D90" i="5"/>
  <c r="AJ10" i="7"/>
  <c r="AM10" i="7"/>
  <c r="D88" i="5"/>
  <c r="AZ10" i="7"/>
  <c r="AV10" i="7"/>
  <c r="AN10" i="7"/>
  <c r="AQ10" i="7"/>
  <c r="D89" i="5"/>
  <c r="AF10" i="7"/>
  <c r="D87" i="5"/>
  <c r="X10" i="7"/>
  <c r="AB10" i="7"/>
  <c r="V9" i="7"/>
  <c r="AN9" i="7"/>
  <c r="AR9" i="7"/>
  <c r="AV9" i="7"/>
  <c r="AJ9" i="7"/>
  <c r="AZ9" i="7"/>
  <c r="AB9" i="7"/>
  <c r="AF9" i="7"/>
  <c r="X9" i="7"/>
  <c r="AR8" i="7"/>
  <c r="AN8" i="7"/>
  <c r="AJ8" i="7"/>
  <c r="AV8" i="7"/>
  <c r="AW8" i="7"/>
  <c r="AX8" i="7"/>
  <c r="AZ8" i="7"/>
  <c r="BA8" i="7"/>
  <c r="BB8" i="7"/>
  <c r="AU7" i="7"/>
  <c r="AQ7" i="7"/>
  <c r="AT7" i="7"/>
  <c r="AP7" i="7"/>
  <c r="AL7" i="7"/>
  <c r="U8" i="9"/>
  <c r="V8" i="9"/>
  <c r="X8" i="9"/>
  <c r="Y7" i="7"/>
  <c r="Z7" i="7" s="1"/>
  <c r="AA7" i="7"/>
  <c r="BC8" i="7"/>
  <c r="AB8" i="7"/>
  <c r="X8" i="7"/>
  <c r="AF8" i="7"/>
  <c r="W10" i="7"/>
  <c r="U7" i="9"/>
  <c r="Z8" i="9"/>
  <c r="AA8" i="9"/>
  <c r="AC8" i="9"/>
  <c r="AI10" i="9" s="1" a="1"/>
  <c r="AI10" i="9" s="1"/>
  <c r="Z7" i="9"/>
  <c r="AA7" i="9"/>
  <c r="Y8" i="9"/>
  <c r="W12" i="7"/>
  <c r="W11" i="7"/>
  <c r="W9" i="7"/>
  <c r="V7" i="7"/>
  <c r="Y7" i="9"/>
  <c r="AI8" i="9" a="1"/>
  <c r="AI8" i="9" s="1"/>
  <c r="AG8" i="9" a="1"/>
  <c r="AG8" i="9" s="1"/>
  <c r="AI12" i="9" a="1"/>
  <c r="AI12" i="9" s="1"/>
  <c r="AN14" i="9" a="1"/>
  <c r="AN14" i="9" s="1"/>
  <c r="AI11" i="9" a="1"/>
  <c r="AI11" i="9" s="1"/>
  <c r="AN13" i="9" a="1"/>
  <c r="AN13" i="9" s="1"/>
  <c r="AG12" i="9" a="1"/>
  <c r="AG12" i="9" s="1"/>
  <c r="AL14" i="9" a="1"/>
  <c r="AL14" i="9" s="1"/>
  <c r="AD12" i="9"/>
  <c r="V11" i="9"/>
  <c r="X11" i="9"/>
  <c r="Y11" i="9"/>
  <c r="Y10" i="9"/>
  <c r="V10" i="9"/>
  <c r="X10" i="9"/>
  <c r="D41" i="5"/>
  <c r="AD8" i="9"/>
  <c r="AE12" i="7"/>
  <c r="AC12" i="7"/>
  <c r="AD12" i="7"/>
  <c r="AY12" i="7"/>
  <c r="AW12" i="7"/>
  <c r="AX12" i="7"/>
  <c r="AA12" i="7"/>
  <c r="Y12" i="7"/>
  <c r="Z12" i="7"/>
  <c r="BC12" i="7"/>
  <c r="J145" i="5"/>
  <c r="BA12" i="7"/>
  <c r="BB12" i="7"/>
  <c r="AY11" i="7"/>
  <c r="D118" i="5"/>
  <c r="AW11" i="7"/>
  <c r="AX11" i="7"/>
  <c r="AE11" i="7"/>
  <c r="AC11" i="7"/>
  <c r="AD11" i="7"/>
  <c r="BC11" i="7"/>
  <c r="D119" i="5"/>
  <c r="BA11" i="7"/>
  <c r="BB11" i="7"/>
  <c r="AA11" i="7"/>
  <c r="Y11" i="7"/>
  <c r="Z11" i="7"/>
  <c r="AA10" i="7"/>
  <c r="Y10" i="7"/>
  <c r="Z10" i="7"/>
  <c r="BC10" i="7"/>
  <c r="D93" i="5"/>
  <c r="BA10" i="7"/>
  <c r="BB10" i="7"/>
  <c r="AC10" i="7"/>
  <c r="AD10" i="7"/>
  <c r="AE10" i="7"/>
  <c r="AY10" i="7"/>
  <c r="D92" i="5"/>
  <c r="AW10" i="7"/>
  <c r="AX10" i="7"/>
  <c r="AW9" i="7"/>
  <c r="AX9" i="7"/>
  <c r="AY9" i="7"/>
  <c r="AE9" i="7"/>
  <c r="AC9" i="7"/>
  <c r="AD9" i="7"/>
  <c r="AU9" i="7"/>
  <c r="AT9" i="7"/>
  <c r="BA9" i="7"/>
  <c r="BB9" i="7"/>
  <c r="BC9" i="7"/>
  <c r="AQ9" i="7"/>
  <c r="AP9" i="7"/>
  <c r="AA9" i="7"/>
  <c r="Y9" i="7"/>
  <c r="Z9" i="7"/>
  <c r="AM9" i="7"/>
  <c r="AL9" i="7"/>
  <c r="AY8" i="7"/>
  <c r="J40" i="5"/>
  <c r="AM8" i="7"/>
  <c r="D36" i="5"/>
  <c r="AL8" i="7"/>
  <c r="AP8" i="7"/>
  <c r="AQ8" i="7"/>
  <c r="D37" i="5"/>
  <c r="AT8" i="7"/>
  <c r="AU8" i="7"/>
  <c r="AD7" i="9"/>
  <c r="V7" i="9"/>
  <c r="X7" i="9"/>
  <c r="AF10" i="9" s="1" a="1"/>
  <c r="AF10" i="9" s="1"/>
  <c r="J35" i="5"/>
  <c r="AA8" i="7"/>
  <c r="Y8" i="7"/>
  <c r="Z8" i="7"/>
  <c r="AE8" i="7"/>
  <c r="AC8" i="7"/>
  <c r="AD8" i="7"/>
  <c r="AC7" i="9"/>
  <c r="AN12" i="9" s="1" a="1"/>
  <c r="AN12" i="9" s="1"/>
  <c r="AL12" i="9" a="1"/>
  <c r="AL12" i="9" s="1"/>
  <c r="AG11" i="9" a="1"/>
  <c r="AG11" i="9" s="1"/>
  <c r="AL13" i="9" a="1"/>
  <c r="AL13" i="9" s="1"/>
  <c r="J41" i="5"/>
  <c r="D38" i="5"/>
  <c r="D40" i="5"/>
  <c r="D35" i="5"/>
  <c r="J37" i="5"/>
  <c r="W7" i="7" l="1"/>
  <c r="Z37" i="9"/>
  <c r="R49" i="7"/>
  <c r="W32" i="7"/>
  <c r="V8" i="7"/>
  <c r="U37" i="9"/>
  <c r="W8" i="7"/>
  <c r="L46" i="9"/>
  <c r="V47" i="7"/>
  <c r="V28" i="7"/>
  <c r="AH10" i="9" a="1"/>
  <c r="AH10" i="9" s="1"/>
  <c r="AG10" i="9" a="1"/>
  <c r="AG10" i="9" s="1"/>
  <c r="AL11" i="9" a="1"/>
  <c r="AL11" i="9" s="1"/>
  <c r="U44" i="22"/>
  <c r="AH9" i="9" a="1"/>
  <c r="AH9" i="9" s="1"/>
  <c r="AG9" i="9" a="1"/>
  <c r="AG9" i="9" s="1"/>
  <c r="AF9" i="9" a="1"/>
  <c r="AF9" i="9" s="1"/>
  <c r="AN11" i="9" a="1"/>
  <c r="AN11" i="9" s="1"/>
  <c r="AI9" i="9" a="1"/>
  <c r="AI9" i="9" s="1"/>
  <c r="AN10" i="9" a="1"/>
  <c r="AN10" i="9" s="1"/>
  <c r="AL10" i="9" a="1"/>
  <c r="AL10" i="9" s="1"/>
  <c r="C39" i="4"/>
  <c r="C58" i="4"/>
  <c r="A50" i="4"/>
  <c r="C50" i="4"/>
  <c r="A54" i="4"/>
  <c r="B54" i="4"/>
  <c r="L54" i="4" s="1"/>
  <c r="C54" i="4"/>
  <c r="C46" i="4"/>
  <c r="I46" i="4"/>
  <c r="D62" i="4"/>
  <c r="D58" i="4"/>
  <c r="Z55" i="7" a="1"/>
  <c r="Z55" i="7" s="1"/>
  <c r="AA72" i="7" a="1"/>
  <c r="AA72" i="7" s="1"/>
  <c r="Z71" i="7" a="1"/>
  <c r="Z71" i="7" s="1"/>
  <c r="Z69" i="7" a="1"/>
  <c r="Z69" i="7" s="1"/>
  <c r="AA69" i="7" a="1"/>
  <c r="AA69" i="7" s="1"/>
  <c r="AA68" i="7" a="1"/>
  <c r="AA68" i="7" s="1"/>
  <c r="AA67" i="7" a="1"/>
  <c r="AA67" i="7" s="1"/>
  <c r="Z54" i="7" a="1"/>
  <c r="Z54" i="7" s="1"/>
  <c r="Z65" i="7" a="1"/>
  <c r="Z65" i="7" s="1"/>
  <c r="Z72" i="7" a="1"/>
  <c r="Z72" i="7" s="1"/>
  <c r="Z57" i="7" a="1"/>
  <c r="Z57" i="7" s="1"/>
  <c r="AA71" i="7" a="1"/>
  <c r="AA71" i="7" s="1"/>
  <c r="Z67" i="7" a="1"/>
  <c r="Z67" i="7" s="1"/>
  <c r="Z62" i="7" a="1"/>
  <c r="Z62" i="7" s="1"/>
  <c r="Z66" i="7" a="1"/>
  <c r="Z66" i="7" s="1"/>
  <c r="Z60" i="7" a="1"/>
  <c r="Z60" i="7" s="1"/>
  <c r="Z68" i="7" a="1"/>
  <c r="Z68" i="7" s="1"/>
  <c r="AA65" i="7" a="1"/>
  <c r="AA65" i="7" s="1"/>
  <c r="Z59" i="7" a="1"/>
  <c r="Z59" i="7" s="1"/>
  <c r="AA66" i="7" a="1"/>
  <c r="AA66" i="7" s="1"/>
  <c r="Z53" i="7" a="1"/>
  <c r="Z53" i="7" s="1"/>
  <c r="Z74" i="7" a="1"/>
  <c r="Z74" i="7" s="1"/>
  <c r="AA74" i="7" a="1"/>
  <c r="AA74" i="7" s="1"/>
  <c r="AW7" i="7"/>
  <c r="AX7" i="7" s="1"/>
  <c r="AY7" i="7"/>
  <c r="A19" i="4"/>
  <c r="D39" i="4"/>
  <c r="AF7" i="7"/>
  <c r="AB7" i="7"/>
  <c r="D66" i="4"/>
  <c r="AZ7" i="7"/>
  <c r="Z56" i="7" a="1"/>
  <c r="Z56" i="7" s="1"/>
  <c r="AL70" i="7" a="1"/>
  <c r="AL70" i="7" s="1"/>
  <c r="AJ7" i="7"/>
  <c r="AM7" i="7" s="1"/>
  <c r="A66" i="4"/>
  <c r="B39" i="4"/>
  <c r="F39" i="4" s="1"/>
  <c r="L39" i="4" s="1"/>
  <c r="B66" i="4"/>
  <c r="F66" i="4" s="1"/>
  <c r="L66" i="4" s="1"/>
  <c r="S49" i="26"/>
  <c r="U49" i="25"/>
  <c r="S49" i="25"/>
  <c r="U49" i="24"/>
  <c r="S49" i="24"/>
  <c r="M181" i="24"/>
  <c r="Q4" i="28"/>
  <c r="Q21" i="28" s="1"/>
  <c r="R21" i="28" s="1"/>
  <c r="Q13" i="28"/>
  <c r="Q43" i="28" s="1"/>
  <c r="R43" i="28" s="1"/>
  <c r="Q11" i="28"/>
  <c r="Q41" i="28" s="1"/>
  <c r="T41" i="28" s="1"/>
  <c r="Q9" i="28"/>
  <c r="Q39" i="28" s="1"/>
  <c r="T39" i="28" s="1"/>
  <c r="Q7" i="28"/>
  <c r="Q37" i="28" s="1"/>
  <c r="R37" i="28" s="1"/>
  <c r="Q5" i="28"/>
  <c r="Q22" i="28" s="1"/>
  <c r="T22" i="28" s="1"/>
  <c r="R14" i="28"/>
  <c r="R12" i="28"/>
  <c r="R10" i="28"/>
  <c r="R8" i="28"/>
  <c r="R6" i="28"/>
  <c r="R4" i="28"/>
  <c r="R11" i="28"/>
  <c r="R5" i="28"/>
  <c r="Q14" i="28"/>
  <c r="Q31" i="28" s="1"/>
  <c r="R31" i="28" s="1"/>
  <c r="Q12" i="28"/>
  <c r="Q29" i="28" s="1"/>
  <c r="Q10" i="28"/>
  <c r="Q40" i="28" s="1"/>
  <c r="R40" i="28" s="1"/>
  <c r="Q8" i="28"/>
  <c r="Q38" i="28" s="1"/>
  <c r="T38" i="28" s="1"/>
  <c r="Q6" i="28"/>
  <c r="Q36" i="28" s="1"/>
  <c r="R13" i="28"/>
  <c r="R9" i="28"/>
  <c r="R7" i="28"/>
  <c r="D42" i="28"/>
  <c r="U49" i="23"/>
  <c r="S49" i="23"/>
  <c r="C91" i="22"/>
  <c r="AG7" i="9" a="1"/>
  <c r="AG7" i="9" s="1"/>
  <c r="AN9" i="9" a="1"/>
  <c r="AN9" i="9" s="1"/>
  <c r="AI7" i="9" a="1"/>
  <c r="AI7" i="9" s="1"/>
  <c r="AL9" i="9" a="1"/>
  <c r="AL9" i="9" s="1"/>
  <c r="F121" i="28"/>
  <c r="F57" i="28"/>
  <c r="F26" i="28"/>
  <c r="F74" i="25"/>
  <c r="F107" i="24"/>
  <c r="F43" i="24"/>
  <c r="F155" i="22"/>
  <c r="F91" i="22"/>
  <c r="F26" i="22"/>
  <c r="F138" i="19"/>
  <c r="AH7" i="9" a="1"/>
  <c r="AH7" i="9" s="1"/>
  <c r="AF7" i="9" a="1"/>
  <c r="AF7" i="9" s="1"/>
  <c r="F26" i="19"/>
  <c r="F122" i="19"/>
  <c r="F58" i="19"/>
  <c r="C170" i="19"/>
  <c r="F170" i="19"/>
  <c r="F106" i="19"/>
  <c r="C43" i="19"/>
  <c r="F43" i="19"/>
  <c r="F74" i="19"/>
  <c r="F154" i="19"/>
  <c r="F90" i="19"/>
  <c r="M181" i="21"/>
  <c r="F75" i="21"/>
  <c r="F123" i="21"/>
  <c r="F59" i="21"/>
  <c r="F139" i="21"/>
  <c r="F26" i="21"/>
  <c r="F43" i="21"/>
  <c r="F155" i="21"/>
  <c r="F91" i="21"/>
  <c r="F107" i="21"/>
  <c r="F171" i="21"/>
  <c r="F43" i="22"/>
  <c r="F107" i="22"/>
  <c r="F171" i="22"/>
  <c r="F59" i="22"/>
  <c r="F123" i="22"/>
  <c r="F75" i="22"/>
  <c r="F139" i="22"/>
  <c r="M182" i="23"/>
  <c r="F75" i="23"/>
  <c r="F138" i="23"/>
  <c r="F26" i="23"/>
  <c r="F91" i="23"/>
  <c r="F155" i="23"/>
  <c r="F43" i="23"/>
  <c r="F107" i="23"/>
  <c r="F171" i="23"/>
  <c r="F59" i="23"/>
  <c r="F123" i="23"/>
  <c r="F58" i="24"/>
  <c r="F123" i="24"/>
  <c r="F75" i="24"/>
  <c r="F139" i="24"/>
  <c r="F171" i="24"/>
  <c r="F26" i="24"/>
  <c r="F91" i="24"/>
  <c r="F155" i="24"/>
  <c r="F139" i="25"/>
  <c r="F90" i="25"/>
  <c r="F155" i="25"/>
  <c r="F43" i="25"/>
  <c r="F107" i="25"/>
  <c r="F26" i="25"/>
  <c r="F58" i="25"/>
  <c r="F123" i="25"/>
  <c r="F171" i="25"/>
  <c r="F171" i="26"/>
  <c r="F107" i="26"/>
  <c r="F43" i="26"/>
  <c r="F155" i="26"/>
  <c r="F90" i="26"/>
  <c r="F26" i="26"/>
  <c r="F139" i="26"/>
  <c r="F74" i="26"/>
  <c r="F123" i="26"/>
  <c r="F58" i="26"/>
  <c r="F58" i="27"/>
  <c r="F122" i="27"/>
  <c r="B43" i="27"/>
  <c r="E74" i="27"/>
  <c r="F74" i="27"/>
  <c r="C122" i="27"/>
  <c r="F138" i="27"/>
  <c r="F26" i="27"/>
  <c r="F90" i="27"/>
  <c r="F154" i="27"/>
  <c r="F43" i="27"/>
  <c r="F106" i="27"/>
  <c r="F170" i="27"/>
  <c r="C57" i="28"/>
  <c r="F73" i="28"/>
  <c r="B89" i="28"/>
  <c r="D105" i="28"/>
  <c r="E121" i="28"/>
  <c r="F137" i="28"/>
  <c r="D154" i="28"/>
  <c r="D170" i="28"/>
  <c r="F89" i="28"/>
  <c r="F154" i="28"/>
  <c r="F42" i="28"/>
  <c r="F105" i="28"/>
  <c r="F170" i="28"/>
  <c r="F137" i="8"/>
  <c r="F89" i="8"/>
  <c r="D153" i="8"/>
  <c r="F153" i="8"/>
  <c r="F42" i="8"/>
  <c r="F105" i="8"/>
  <c r="F170" i="8"/>
  <c r="F57" i="8"/>
  <c r="F121" i="8"/>
  <c r="D73" i="8"/>
  <c r="C171" i="26"/>
  <c r="D139" i="26"/>
  <c r="D123" i="26"/>
  <c r="B74" i="26"/>
  <c r="D58" i="26"/>
  <c r="C43" i="26"/>
  <c r="B26" i="26"/>
  <c r="B43" i="24"/>
  <c r="E91" i="24"/>
  <c r="C43" i="24"/>
  <c r="B58" i="24"/>
  <c r="D139" i="24"/>
  <c r="D91" i="24"/>
  <c r="C123" i="24"/>
  <c r="D26" i="24"/>
  <c r="D123" i="24"/>
  <c r="E123" i="24"/>
  <c r="N181" i="24"/>
  <c r="D123" i="25"/>
  <c r="E43" i="25"/>
  <c r="D58" i="25"/>
  <c r="E74" i="25"/>
  <c r="C107" i="25"/>
  <c r="D155" i="25"/>
  <c r="M181" i="25"/>
  <c r="C58" i="25"/>
  <c r="B107" i="25"/>
  <c r="C171" i="25"/>
  <c r="C155" i="26"/>
  <c r="B155" i="26"/>
  <c r="M181" i="26"/>
  <c r="U49" i="27"/>
  <c r="D138" i="27"/>
  <c r="D154" i="27"/>
  <c r="B90" i="27"/>
  <c r="E170" i="27"/>
  <c r="B26" i="27"/>
  <c r="E106" i="27"/>
  <c r="N180" i="27"/>
  <c r="M180" i="27"/>
  <c r="M180" i="28"/>
  <c r="E57" i="28"/>
  <c r="N180" i="28"/>
  <c r="C105" i="28"/>
  <c r="B59" i="23"/>
  <c r="D138" i="23"/>
  <c r="D155" i="23"/>
  <c r="C26" i="23"/>
  <c r="D75" i="23"/>
  <c r="D59" i="23"/>
  <c r="B123" i="23"/>
  <c r="C75" i="23"/>
  <c r="E43" i="23"/>
  <c r="B107" i="23"/>
  <c r="E75" i="23"/>
  <c r="B155" i="23"/>
  <c r="E155" i="23"/>
  <c r="E123" i="23"/>
  <c r="E26" i="23"/>
  <c r="E75" i="22"/>
  <c r="D26" i="22"/>
  <c r="E43" i="22"/>
  <c r="E59" i="22"/>
  <c r="D75" i="22"/>
  <c r="E91" i="22"/>
  <c r="B107" i="22"/>
  <c r="B123" i="22"/>
  <c r="B139" i="22"/>
  <c r="E155" i="22"/>
  <c r="M181" i="22"/>
  <c r="B171" i="22"/>
  <c r="S49" i="22"/>
  <c r="U49" i="22"/>
  <c r="B91" i="22"/>
  <c r="D171" i="22"/>
  <c r="D43" i="22"/>
  <c r="C43" i="22"/>
  <c r="B43" i="22"/>
  <c r="D139" i="22"/>
  <c r="C59" i="22"/>
  <c r="N181" i="22"/>
  <c r="B91" i="21"/>
  <c r="E75" i="21"/>
  <c r="B59" i="21"/>
  <c r="D43" i="21"/>
  <c r="C123" i="21"/>
  <c r="B139" i="21"/>
  <c r="C155" i="21"/>
  <c r="E123" i="21"/>
  <c r="E26" i="21"/>
  <c r="E171" i="21"/>
  <c r="U49" i="21"/>
  <c r="S49" i="21"/>
  <c r="D26" i="21"/>
  <c r="E43" i="21"/>
  <c r="D155" i="21"/>
  <c r="E155" i="21"/>
  <c r="C91" i="21"/>
  <c r="E107" i="21"/>
  <c r="B170" i="19"/>
  <c r="M180" i="19"/>
  <c r="B154" i="19"/>
  <c r="D122" i="19"/>
  <c r="B74" i="19"/>
  <c r="D170" i="19"/>
  <c r="D138" i="19"/>
  <c r="D43" i="19"/>
  <c r="S49" i="19"/>
  <c r="U49" i="19"/>
  <c r="A16" i="4"/>
  <c r="E43" i="19"/>
  <c r="B26" i="19"/>
  <c r="D106" i="19"/>
  <c r="C74" i="19"/>
  <c r="S48" i="8"/>
  <c r="B36" i="4"/>
  <c r="I36" i="4" s="1"/>
  <c r="B26" i="8"/>
  <c r="F26" i="8"/>
  <c r="B16" i="4"/>
  <c r="D16" i="4" s="1"/>
  <c r="L16" i="4" s="1"/>
  <c r="AG74" i="7" a="1"/>
  <c r="AG74" i="7" s="1"/>
  <c r="L37" i="9"/>
  <c r="L47" i="9"/>
  <c r="L40" i="9"/>
  <c r="A17" i="4"/>
  <c r="AA37" i="9"/>
  <c r="Z38" i="9"/>
  <c r="P37" i="9"/>
  <c r="U38" i="9"/>
  <c r="L45" i="9"/>
  <c r="V37" i="9"/>
  <c r="L48" i="9"/>
  <c r="L38" i="9"/>
  <c r="AA70" i="7" a="1"/>
  <c r="AA70" i="7" s="1"/>
  <c r="AL58" i="7" a="1"/>
  <c r="AL58" i="7" s="1"/>
  <c r="J79" i="5" s="1"/>
  <c r="K79" i="5" s="1"/>
  <c r="Z70" i="7" a="1"/>
  <c r="Z70" i="7" s="1"/>
  <c r="Z58" i="7" a="1"/>
  <c r="Z58" i="7" s="1"/>
  <c r="B63" i="4"/>
  <c r="H63" i="4" s="1"/>
  <c r="A67" i="4"/>
  <c r="D51" i="4"/>
  <c r="B55" i="4"/>
  <c r="F55" i="4" s="1"/>
  <c r="B67" i="4"/>
  <c r="G67" i="4" s="1"/>
  <c r="D55" i="4"/>
  <c r="C63" i="4"/>
  <c r="D20" i="4"/>
  <c r="B59" i="4"/>
  <c r="G59" i="4" s="1"/>
  <c r="A59" i="4"/>
  <c r="C67" i="4"/>
  <c r="A47" i="4"/>
  <c r="C55" i="4"/>
  <c r="C20" i="4"/>
  <c r="C59" i="4"/>
  <c r="C47" i="4"/>
  <c r="B47" i="4"/>
  <c r="G47" i="4" s="1"/>
  <c r="D67" i="4"/>
  <c r="A55" i="4"/>
  <c r="A40" i="4"/>
  <c r="A63" i="4"/>
  <c r="B51" i="4"/>
  <c r="E51" i="4" s="1"/>
  <c r="B20" i="4"/>
  <c r="H20" i="4" s="1"/>
  <c r="C51" i="4"/>
  <c r="C40" i="4"/>
  <c r="I47" i="4"/>
  <c r="A51" i="4"/>
  <c r="D59" i="4"/>
  <c r="B40" i="4"/>
  <c r="G40" i="4" s="1"/>
  <c r="D47" i="4"/>
  <c r="D40" i="4"/>
  <c r="D63" i="4"/>
  <c r="A20" i="4"/>
  <c r="AL61" i="7" a="1"/>
  <c r="AL61" i="7" s="1"/>
  <c r="D131" i="5" s="1"/>
  <c r="E131" i="5" s="1"/>
  <c r="Z73" i="7" a="1"/>
  <c r="Z73" i="7" s="1"/>
  <c r="AA73" i="7" a="1"/>
  <c r="AA73" i="7" s="1"/>
  <c r="Z61" i="7" a="1"/>
  <c r="Z61" i="7" s="1"/>
  <c r="AG61" i="7" a="1"/>
  <c r="AG61" i="7" s="1"/>
  <c r="D127" i="5" s="1"/>
  <c r="E127" i="5" s="1"/>
  <c r="AJ68" i="7" a="1"/>
  <c r="AJ68" i="7" s="1"/>
  <c r="AH59" i="7" a="1"/>
  <c r="AH59" i="7" s="1"/>
  <c r="D102" i="5" s="1"/>
  <c r="E102" i="5" s="1"/>
  <c r="S49" i="7"/>
  <c r="V27" i="7"/>
  <c r="V18" i="7"/>
  <c r="V23" i="7"/>
  <c r="AM68" i="7" a="1"/>
  <c r="AM68" i="7" s="1"/>
  <c r="B58" i="4"/>
  <c r="L58" i="4" s="1"/>
  <c r="A46" i="4"/>
  <c r="B62" i="4"/>
  <c r="F62" i="4" s="1"/>
  <c r="L62" i="4" s="1"/>
  <c r="A39" i="4"/>
  <c r="B50" i="4"/>
  <c r="L50" i="4" s="1"/>
  <c r="C19" i="4"/>
  <c r="D46" i="4"/>
  <c r="Q49" i="7"/>
  <c r="T50" i="7"/>
  <c r="V25" i="7"/>
  <c r="V22" i="7"/>
  <c r="A58" i="4"/>
  <c r="A62" i="4"/>
  <c r="D50" i="4"/>
  <c r="D19" i="4"/>
  <c r="C66" i="4"/>
  <c r="B19" i="4"/>
  <c r="F19" i="4" s="1"/>
  <c r="L19" i="4" s="1"/>
  <c r="T49" i="7"/>
  <c r="V17" i="7"/>
  <c r="V21" i="7"/>
  <c r="V26" i="7"/>
  <c r="V24" i="7"/>
  <c r="V30" i="7"/>
  <c r="AL68" i="7" a="1"/>
  <c r="AL68" i="7" s="1"/>
  <c r="Q50" i="7"/>
  <c r="D146" i="5"/>
  <c r="J68" i="5"/>
  <c r="E66" i="4"/>
  <c r="J42" i="5"/>
  <c r="F54" i="4"/>
  <c r="M66" i="4"/>
  <c r="J146" i="5"/>
  <c r="M20" i="4"/>
  <c r="F20" i="4"/>
  <c r="L20" i="4" s="1"/>
  <c r="I66" i="4"/>
  <c r="G55" i="4"/>
  <c r="G66" i="4"/>
  <c r="J120" i="5"/>
  <c r="I20" i="4"/>
  <c r="H51" i="4"/>
  <c r="M47" i="4"/>
  <c r="D94" i="5"/>
  <c r="J94" i="5"/>
  <c r="G62" i="4"/>
  <c r="D42" i="5"/>
  <c r="D68" i="5"/>
  <c r="H58" i="4"/>
  <c r="D120" i="5"/>
  <c r="G54" i="4"/>
  <c r="H55" i="4"/>
  <c r="M55" i="4"/>
  <c r="I55" i="4"/>
  <c r="M63" i="4"/>
  <c r="I58" i="4"/>
  <c r="I54" i="4"/>
  <c r="H54" i="4"/>
  <c r="E55" i="4"/>
  <c r="E63" i="4"/>
  <c r="M54" i="4"/>
  <c r="L55" i="4"/>
  <c r="L56" i="4" s="1"/>
  <c r="M9" i="5" s="1"/>
  <c r="E54" i="4"/>
  <c r="U48" i="8"/>
  <c r="A36" i="4"/>
  <c r="J17" i="4"/>
  <c r="AB37" i="9"/>
  <c r="AH60" i="7" a="1"/>
  <c r="AH60" i="7" s="1"/>
  <c r="J102" i="5" s="1"/>
  <c r="K102" i="5" s="1"/>
  <c r="AK68" i="7" a="1"/>
  <c r="AK68" i="7" s="1"/>
  <c r="P38" i="9"/>
  <c r="AH66" i="7" a="1"/>
  <c r="AH66" i="7" s="1"/>
  <c r="E73" i="8"/>
  <c r="AH65" i="7" a="1"/>
  <c r="AH65" i="7" s="1"/>
  <c r="C42" i="8"/>
  <c r="E57" i="8"/>
  <c r="B105" i="8"/>
  <c r="D121" i="8"/>
  <c r="E137" i="8"/>
  <c r="D170" i="8"/>
  <c r="C17" i="4"/>
  <c r="B17" i="4"/>
  <c r="AG60" i="7" a="1"/>
  <c r="AG60" i="7" s="1"/>
  <c r="J101" i="5" s="1"/>
  <c r="K101" i="5" s="1"/>
  <c r="AK70" i="7" a="1"/>
  <c r="AK70" i="7" s="1"/>
  <c r="AF65" i="7" a="1"/>
  <c r="AF65" i="7" s="1"/>
  <c r="AK58" i="7" a="1"/>
  <c r="AK58" i="7" s="1"/>
  <c r="J77" i="5" s="1"/>
  <c r="K77" i="5" s="1"/>
  <c r="AH67" i="7" a="1"/>
  <c r="AH67" i="7" s="1"/>
  <c r="AG65" i="7" a="1"/>
  <c r="AG65" i="7" s="1"/>
  <c r="L43" i="9"/>
  <c r="B38" i="4" s="1"/>
  <c r="AG69" i="7" a="1"/>
  <c r="AG69" i="7" s="1"/>
  <c r="C26" i="8"/>
  <c r="F73" i="8"/>
  <c r="B121" i="8"/>
  <c r="C37" i="4"/>
  <c r="B37" i="4"/>
  <c r="M37" i="4" s="1"/>
  <c r="AK74" i="7" a="1"/>
  <c r="AK74" i="7" s="1"/>
  <c r="AG56" i="7" a="1"/>
  <c r="AG56" i="7" s="1"/>
  <c r="J49" i="5" s="1"/>
  <c r="K49" i="5" s="1"/>
  <c r="AG67" i="7" a="1"/>
  <c r="AG67" i="7" s="1"/>
  <c r="AF72" i="7" a="1"/>
  <c r="AF72" i="7" s="1"/>
  <c r="AJ66" i="7" a="1"/>
  <c r="AJ66" i="7" s="1"/>
  <c r="AI66" i="7" a="1"/>
  <c r="AI66" i="7" s="1"/>
  <c r="AH70" i="7" a="1"/>
  <c r="AH70" i="7" s="1"/>
  <c r="E170" i="8"/>
  <c r="AH72" i="7" a="1"/>
  <c r="AH72" i="7" s="1"/>
  <c r="AI68" i="7" a="1"/>
  <c r="AI68" i="7" s="1"/>
  <c r="V38" i="9"/>
  <c r="AH55" i="7" a="1"/>
  <c r="AH55" i="7" s="1"/>
  <c r="D50" i="5" s="1"/>
  <c r="E50" i="5" s="1"/>
  <c r="L41" i="9"/>
  <c r="K17" i="4"/>
  <c r="AA38" i="9"/>
  <c r="J37" i="4"/>
  <c r="AK72" i="7" a="1"/>
  <c r="AK72" i="7" s="1"/>
  <c r="AJ69" i="7" a="1"/>
  <c r="AJ69" i="7" s="1"/>
  <c r="AK71" i="7" a="1"/>
  <c r="AK71" i="7" s="1"/>
  <c r="AG54" i="7" a="1"/>
  <c r="AG54" i="7" s="1"/>
  <c r="J23" i="5" s="1"/>
  <c r="K23" i="5" s="1"/>
  <c r="AI73" i="7" a="1"/>
  <c r="AI73" i="7" s="1"/>
  <c r="AH58" i="7" a="1"/>
  <c r="AH58" i="7" s="1"/>
  <c r="J76" i="5" s="1"/>
  <c r="K76" i="5" s="1"/>
  <c r="AK62" i="7" a="1"/>
  <c r="AK62" i="7" s="1"/>
  <c r="J129" i="5" s="1"/>
  <c r="K129" i="5" s="1"/>
  <c r="AK66" i="7" a="1"/>
  <c r="AK66" i="7" s="1"/>
  <c r="AG59" i="7" a="1"/>
  <c r="AG59" i="7" s="1"/>
  <c r="D101" i="5" s="1"/>
  <c r="E101" i="5" s="1"/>
  <c r="AG55" i="7" a="1"/>
  <c r="AG55" i="7" s="1"/>
  <c r="D49" i="5" s="1"/>
  <c r="E49" i="5" s="1"/>
  <c r="AH56" i="7" a="1"/>
  <c r="AH56" i="7" s="1"/>
  <c r="J50" i="5" s="1"/>
  <c r="K50" i="5" s="1"/>
  <c r="AJ71" i="7" a="1"/>
  <c r="AJ71" i="7" s="1"/>
  <c r="AK73" i="7" a="1"/>
  <c r="AK73" i="7" s="1"/>
  <c r="AF68" i="7" a="1"/>
  <c r="AF68" i="7" s="1"/>
  <c r="AG70" i="7" a="1"/>
  <c r="AG70" i="7" s="1"/>
  <c r="AI71" i="7" a="1"/>
  <c r="AI71" i="7" s="1"/>
  <c r="AH53" i="7" a="1"/>
  <c r="AH53" i="7" s="1"/>
  <c r="D24" i="5" s="1"/>
  <c r="E24" i="5" s="1"/>
  <c r="AK60" i="7" a="1"/>
  <c r="AK60" i="7" s="1"/>
  <c r="J103" i="5" s="1"/>
  <c r="K103" i="5" s="1"/>
  <c r="AK56" i="7" a="1"/>
  <c r="AK56" i="7" s="1"/>
  <c r="J51" i="5" s="1"/>
  <c r="K51" i="5" s="1"/>
  <c r="AG58" i="7" a="1"/>
  <c r="AG58" i="7" s="1"/>
  <c r="J75" i="5" s="1"/>
  <c r="K75" i="5" s="1"/>
  <c r="AH71" i="7" a="1"/>
  <c r="AH71" i="7" s="1"/>
  <c r="AH73" i="7" a="1"/>
  <c r="AH73" i="7" s="1"/>
  <c r="AF74" i="7" a="1"/>
  <c r="AF74" i="7" s="1"/>
  <c r="AJ73" i="7" a="1"/>
  <c r="AJ73" i="7" s="1"/>
  <c r="K37" i="4"/>
  <c r="AJ65" i="7" a="1"/>
  <c r="AJ65" i="7" s="1"/>
  <c r="AK67" i="7" a="1"/>
  <c r="AK67" i="7" s="1"/>
  <c r="AF70" i="7" a="1"/>
  <c r="AF70" i="7" s="1"/>
  <c r="AG72" i="7" a="1"/>
  <c r="AG72" i="7" s="1"/>
  <c r="AI69" i="7" a="1"/>
  <c r="AI69" i="7" s="1"/>
  <c r="AH68" i="7" a="1"/>
  <c r="AH68" i="7" s="1"/>
  <c r="AK55" i="7" a="1"/>
  <c r="AK55" i="7" s="1"/>
  <c r="D51" i="5" s="1"/>
  <c r="E51" i="5" s="1"/>
  <c r="AK53" i="7" a="1"/>
  <c r="AK53" i="7" s="1"/>
  <c r="D25" i="5" s="1"/>
  <c r="E25" i="5" s="1"/>
  <c r="AF73" i="7" a="1"/>
  <c r="AF73" i="7" s="1"/>
  <c r="AG53" i="7" a="1"/>
  <c r="AG53" i="7" s="1"/>
  <c r="D23" i="5" s="1"/>
  <c r="E23" i="5" s="1"/>
  <c r="AH61" i="7" a="1"/>
  <c r="AH61" i="7" s="1"/>
  <c r="D128" i="5" s="1"/>
  <c r="E128" i="5" s="1"/>
  <c r="AH69" i="7" a="1"/>
  <c r="AH69" i="7" s="1"/>
  <c r="AJ67" i="7" a="1"/>
  <c r="AJ67" i="7" s="1"/>
  <c r="AK69" i="7" a="1"/>
  <c r="AK69" i="7" s="1"/>
  <c r="AG62" i="7" a="1"/>
  <c r="AG62" i="7" s="1"/>
  <c r="J127" i="5" s="1"/>
  <c r="K127" i="5" s="1"/>
  <c r="AG66" i="7" a="1"/>
  <c r="AG66" i="7" s="1"/>
  <c r="AI67" i="7" a="1"/>
  <c r="AI67" i="7" s="1"/>
  <c r="AH62" i="7" a="1"/>
  <c r="AH62" i="7" s="1"/>
  <c r="J128" i="5" s="1"/>
  <c r="K128" i="5" s="1"/>
  <c r="AK54" i="7" a="1"/>
  <c r="AK54" i="7" s="1"/>
  <c r="J25" i="5" s="1"/>
  <c r="K25" i="5" s="1"/>
  <c r="AF71" i="7" a="1"/>
  <c r="AF71" i="7" s="1"/>
  <c r="AG73" i="7" a="1"/>
  <c r="AG73" i="7" s="1"/>
  <c r="AI74" i="7" a="1"/>
  <c r="AI74" i="7" s="1"/>
  <c r="W37" i="9"/>
  <c r="AK59" i="7" a="1"/>
  <c r="AK59" i="7" s="1"/>
  <c r="D103" i="5" s="1"/>
  <c r="E103" i="5" s="1"/>
  <c r="AK57" i="7" a="1"/>
  <c r="AK57" i="7" s="1"/>
  <c r="D77" i="5" s="1"/>
  <c r="E77" i="5" s="1"/>
  <c r="AF66" i="7" a="1"/>
  <c r="AF66" i="7" s="1"/>
  <c r="AG68" i="7" a="1"/>
  <c r="AG68" i="7" s="1"/>
  <c r="AI65" i="7" a="1"/>
  <c r="AI65" i="7" s="1"/>
  <c r="AJ72" i="7" a="1"/>
  <c r="AJ72" i="7" s="1"/>
  <c r="AJ74" i="7" a="1"/>
  <c r="AJ74" i="7" s="1"/>
  <c r="AF69" i="7" a="1"/>
  <c r="AF69" i="7" s="1"/>
  <c r="AG71" i="7" a="1"/>
  <c r="AG71" i="7" s="1"/>
  <c r="AI72" i="7" a="1"/>
  <c r="AI72" i="7" s="1"/>
  <c r="AH54" i="7" a="1"/>
  <c r="AH54" i="7" s="1"/>
  <c r="J24" i="5" s="1"/>
  <c r="K24" i="5" s="1"/>
  <c r="AK61" i="7" a="1"/>
  <c r="AK61" i="7" s="1"/>
  <c r="D129" i="5" s="1"/>
  <c r="E129" i="5" s="1"/>
  <c r="AK65" i="7" a="1"/>
  <c r="AK65" i="7" s="1"/>
  <c r="AG57" i="7" a="1"/>
  <c r="AG57" i="7" s="1"/>
  <c r="D75" i="5" s="1"/>
  <c r="E75" i="5" s="1"/>
  <c r="AH57" i="7" a="1"/>
  <c r="AH57" i="7" s="1"/>
  <c r="D76" i="5" s="1"/>
  <c r="E76" i="5" s="1"/>
  <c r="AH74" i="7" a="1"/>
  <c r="AH74" i="7" s="1"/>
  <c r="AJ70" i="7" a="1"/>
  <c r="AJ70" i="7" s="1"/>
  <c r="AF67" i="7" a="1"/>
  <c r="AF67" i="7" s="1"/>
  <c r="AI70" i="7" a="1"/>
  <c r="AI70" i="7" s="1"/>
  <c r="Q45" i="21"/>
  <c r="T45" i="21" s="1"/>
  <c r="Q45" i="24"/>
  <c r="T45" i="24" s="1"/>
  <c r="U45" i="24" s="1"/>
  <c r="Q45" i="19"/>
  <c r="T45" i="19" s="1"/>
  <c r="Q31" i="8"/>
  <c r="R31" i="8" s="1"/>
  <c r="V31" i="8" s="1"/>
  <c r="Q45" i="25"/>
  <c r="R45" i="25" s="1"/>
  <c r="V45" i="25" s="1"/>
  <c r="R40" i="27"/>
  <c r="S40" i="27" s="1"/>
  <c r="U40" i="27" s="1"/>
  <c r="Q26" i="27"/>
  <c r="T26" i="27" s="1"/>
  <c r="Q31" i="22"/>
  <c r="T31" i="22" s="1"/>
  <c r="Q31" i="26"/>
  <c r="T31" i="26" s="1"/>
  <c r="U31" i="26" s="1"/>
  <c r="Q26" i="26"/>
  <c r="R26" i="26" s="1"/>
  <c r="V26" i="26" s="1"/>
  <c r="V22" i="27"/>
  <c r="R39" i="23"/>
  <c r="V39" i="23" s="1"/>
  <c r="R38" i="22"/>
  <c r="S38" i="22" s="1"/>
  <c r="U38" i="22" s="1"/>
  <c r="R36" i="22"/>
  <c r="S36" i="22" s="1"/>
  <c r="U36" i="22" s="1"/>
  <c r="Q30" i="22"/>
  <c r="T30" i="22" s="1"/>
  <c r="Q26" i="22"/>
  <c r="R26" i="22" s="1"/>
  <c r="V26" i="22" s="1"/>
  <c r="Q24" i="27"/>
  <c r="T24" i="27" s="1"/>
  <c r="R42" i="22"/>
  <c r="Q24" i="22"/>
  <c r="T24" i="22" s="1"/>
  <c r="V22" i="23"/>
  <c r="V44" i="23"/>
  <c r="R35" i="23"/>
  <c r="S35" i="23" s="1"/>
  <c r="U35" i="23" s="1"/>
  <c r="Q43" i="19"/>
  <c r="T43" i="19" s="1"/>
  <c r="Q27" i="23"/>
  <c r="T27" i="23" s="1"/>
  <c r="V38" i="25"/>
  <c r="V40" i="25"/>
  <c r="R31" i="19"/>
  <c r="V31" i="19" s="1"/>
  <c r="Q25" i="23"/>
  <c r="R25" i="23" s="1"/>
  <c r="V25" i="23" s="1"/>
  <c r="Q23" i="21"/>
  <c r="T23" i="21" s="1"/>
  <c r="R44" i="22"/>
  <c r="V44" i="22" s="1"/>
  <c r="Q28" i="22"/>
  <c r="T28" i="22" s="1"/>
  <c r="Q36" i="27"/>
  <c r="R36" i="27" s="1"/>
  <c r="V36" i="27" s="1"/>
  <c r="Q28" i="25"/>
  <c r="R28" i="25" s="1"/>
  <c r="S28" i="25" s="1"/>
  <c r="R38" i="23"/>
  <c r="S38" i="23" s="1"/>
  <c r="U38" i="23" s="1"/>
  <c r="Q30" i="25"/>
  <c r="T30" i="25" s="1"/>
  <c r="U30" i="25" s="1"/>
  <c r="Q21" i="26"/>
  <c r="R21" i="26" s="1"/>
  <c r="S21" i="26" s="1"/>
  <c r="T40" i="25"/>
  <c r="Q23" i="24"/>
  <c r="T23" i="24" s="1"/>
  <c r="Q26" i="25"/>
  <c r="T26" i="25" s="1"/>
  <c r="T41" i="22"/>
  <c r="S40" i="25"/>
  <c r="Q36" i="23"/>
  <c r="T36" i="23" s="1"/>
  <c r="R44" i="25"/>
  <c r="V44" i="25" s="1"/>
  <c r="Q37" i="26"/>
  <c r="T37" i="26" s="1"/>
  <c r="T38" i="25"/>
  <c r="Q24" i="23"/>
  <c r="T24" i="23" s="1"/>
  <c r="S40" i="23"/>
  <c r="Q37" i="22"/>
  <c r="R37" i="22" s="1"/>
  <c r="V37" i="22" s="1"/>
  <c r="Q27" i="22"/>
  <c r="T27" i="22" s="1"/>
  <c r="V41" i="22"/>
  <c r="S22" i="23"/>
  <c r="R45" i="26"/>
  <c r="V45" i="26" s="1"/>
  <c r="S41" i="22"/>
  <c r="Q42" i="19"/>
  <c r="T42" i="19" s="1"/>
  <c r="Q26" i="21"/>
  <c r="T26" i="21" s="1"/>
  <c r="R23" i="22"/>
  <c r="V23" i="22" s="1"/>
  <c r="Q26" i="23"/>
  <c r="R26" i="23" s="1"/>
  <c r="V26" i="23" s="1"/>
  <c r="Q24" i="25"/>
  <c r="T24" i="25" s="1"/>
  <c r="Q28" i="26"/>
  <c r="R28" i="26" s="1"/>
  <c r="Q25" i="26"/>
  <c r="R29" i="22"/>
  <c r="T40" i="23"/>
  <c r="R39" i="25"/>
  <c r="S39" i="25" s="1"/>
  <c r="U39" i="25" s="1"/>
  <c r="Q43" i="22"/>
  <c r="T43" i="22" s="1"/>
  <c r="T39" i="27"/>
  <c r="Q27" i="19"/>
  <c r="Q29" i="21"/>
  <c r="T29" i="21" s="1"/>
  <c r="T22" i="23"/>
  <c r="Q29" i="8"/>
  <c r="Q23" i="19"/>
  <c r="R23" i="19" s="1"/>
  <c r="V23" i="19" s="1"/>
  <c r="Q22" i="22"/>
  <c r="R22" i="22" s="1"/>
  <c r="Q36" i="19"/>
  <c r="R37" i="21"/>
  <c r="V37" i="21" s="1"/>
  <c r="Q27" i="21"/>
  <c r="T27" i="21" s="1"/>
  <c r="S39" i="27"/>
  <c r="V41" i="24"/>
  <c r="V39" i="27"/>
  <c r="Q25" i="27"/>
  <c r="T25" i="27" s="1"/>
  <c r="V40" i="23"/>
  <c r="Q35" i="8"/>
  <c r="T35" i="8" s="1"/>
  <c r="Q25" i="21"/>
  <c r="T28" i="21"/>
  <c r="R28" i="21"/>
  <c r="S28" i="21" s="1"/>
  <c r="T44" i="19"/>
  <c r="R44" i="19"/>
  <c r="V44" i="19" s="1"/>
  <c r="R40" i="26"/>
  <c r="S40" i="26" s="1"/>
  <c r="T40" i="26"/>
  <c r="Q30" i="19"/>
  <c r="T30" i="19" s="1"/>
  <c r="R41" i="19"/>
  <c r="S41" i="19" s="1"/>
  <c r="U41" i="19" s="1"/>
  <c r="Q24" i="26"/>
  <c r="R31" i="25"/>
  <c r="V31" i="25" s="1"/>
  <c r="Q42" i="21"/>
  <c r="T42" i="21" s="1"/>
  <c r="Q22" i="21"/>
  <c r="Q25" i="25"/>
  <c r="R25" i="25" s="1"/>
  <c r="V25" i="25" s="1"/>
  <c r="Q21" i="25"/>
  <c r="Q39" i="8"/>
  <c r="T39" i="8" s="1"/>
  <c r="Q40" i="8"/>
  <c r="Q25" i="19"/>
  <c r="T25" i="19" s="1"/>
  <c r="R36" i="21"/>
  <c r="V36" i="21" s="1"/>
  <c r="Q21" i="23"/>
  <c r="Q23" i="25"/>
  <c r="Q22" i="26"/>
  <c r="T22" i="26" s="1"/>
  <c r="T41" i="26"/>
  <c r="R41" i="26"/>
  <c r="S41" i="26" s="1"/>
  <c r="R28" i="27"/>
  <c r="T28" i="27"/>
  <c r="R34" i="8"/>
  <c r="V34" i="8" s="1"/>
  <c r="R41" i="27"/>
  <c r="V41" i="27" s="1"/>
  <c r="T41" i="27"/>
  <c r="T29" i="27"/>
  <c r="R29" i="27"/>
  <c r="T35" i="26"/>
  <c r="R35" i="26"/>
  <c r="T29" i="25"/>
  <c r="R29" i="25"/>
  <c r="S29" i="25" s="1"/>
  <c r="R36" i="26"/>
  <c r="S36" i="26" s="1"/>
  <c r="T36" i="26"/>
  <c r="Q30" i="23"/>
  <c r="R30" i="23" s="1"/>
  <c r="V30" i="23" s="1"/>
  <c r="R37" i="24"/>
  <c r="V37" i="24" s="1"/>
  <c r="Q43" i="24"/>
  <c r="T43" i="24" s="1"/>
  <c r="Q27" i="24"/>
  <c r="Q27" i="27"/>
  <c r="Q43" i="25"/>
  <c r="R44" i="8"/>
  <c r="V44" i="8" s="1"/>
  <c r="Q38" i="8"/>
  <c r="T38" i="8" s="1"/>
  <c r="Q28" i="23"/>
  <c r="R39" i="24"/>
  <c r="Q25" i="24"/>
  <c r="Q21" i="24"/>
  <c r="T21" i="24" s="1"/>
  <c r="R29" i="26"/>
  <c r="Q43" i="26"/>
  <c r="T43" i="26" s="1"/>
  <c r="Q43" i="27"/>
  <c r="R43" i="27" s="1"/>
  <c r="Q27" i="26"/>
  <c r="R41" i="23"/>
  <c r="V41" i="23" s="1"/>
  <c r="Q21" i="8"/>
  <c r="T21" i="8" s="1"/>
  <c r="R43" i="21"/>
  <c r="Q35" i="19"/>
  <c r="R35" i="19" s="1"/>
  <c r="Q37" i="23"/>
  <c r="R37" i="23" s="1"/>
  <c r="V37" i="23" s="1"/>
  <c r="R35" i="24"/>
  <c r="S35" i="24" s="1"/>
  <c r="U35" i="24" s="1"/>
  <c r="Q42" i="27"/>
  <c r="R42" i="27" s="1"/>
  <c r="R31" i="24"/>
  <c r="V31" i="24" s="1"/>
  <c r="R29" i="24"/>
  <c r="Q26" i="19"/>
  <c r="T26" i="19" s="1"/>
  <c r="Q40" i="19"/>
  <c r="Q35" i="21"/>
  <c r="Q21" i="21"/>
  <c r="Q31" i="27"/>
  <c r="Q45" i="27"/>
  <c r="T45" i="22"/>
  <c r="U45" i="22" s="1"/>
  <c r="R45" i="22"/>
  <c r="V45" i="22" s="1"/>
  <c r="Q23" i="8"/>
  <c r="R23" i="8" s="1"/>
  <c r="V23" i="8" s="1"/>
  <c r="Q36" i="8"/>
  <c r="Q43" i="8"/>
  <c r="Q30" i="8"/>
  <c r="Q29" i="23"/>
  <c r="Q43" i="23"/>
  <c r="Q36" i="24"/>
  <c r="T36" i="24" s="1"/>
  <c r="Q22" i="24"/>
  <c r="Q38" i="24"/>
  <c r="R38" i="24" s="1"/>
  <c r="V38" i="24" s="1"/>
  <c r="Q24" i="24"/>
  <c r="T40" i="24"/>
  <c r="R40" i="24"/>
  <c r="V40" i="24" s="1"/>
  <c r="Q42" i="24"/>
  <c r="Q28" i="24"/>
  <c r="Q44" i="24"/>
  <c r="Q30" i="24"/>
  <c r="R23" i="26"/>
  <c r="T23" i="26"/>
  <c r="T42" i="26"/>
  <c r="R42" i="26"/>
  <c r="S42" i="26" s="1"/>
  <c r="T44" i="26"/>
  <c r="U44" i="26" s="1"/>
  <c r="R44" i="26"/>
  <c r="V44" i="26" s="1"/>
  <c r="Q44" i="27"/>
  <c r="Q30" i="27"/>
  <c r="T22" i="8"/>
  <c r="Q38" i="19"/>
  <c r="R38" i="19" s="1"/>
  <c r="Q24" i="19"/>
  <c r="T31" i="23"/>
  <c r="U31" i="23" s="1"/>
  <c r="R31" i="23"/>
  <c r="V31" i="23" s="1"/>
  <c r="Q28" i="8"/>
  <c r="R41" i="8"/>
  <c r="S41" i="8" s="1"/>
  <c r="T41" i="8" s="1"/>
  <c r="T26" i="8"/>
  <c r="R26" i="8"/>
  <c r="V26" i="8" s="1"/>
  <c r="R22" i="8"/>
  <c r="S22" i="8" s="1"/>
  <c r="U22" i="8" s="1"/>
  <c r="Q24" i="8"/>
  <c r="Q37" i="8"/>
  <c r="R38" i="26"/>
  <c r="Q26" i="24"/>
  <c r="Q45" i="23"/>
  <c r="Q30" i="26"/>
  <c r="T37" i="19"/>
  <c r="R37" i="19"/>
  <c r="T40" i="22"/>
  <c r="R40" i="22"/>
  <c r="V40" i="22" s="1"/>
  <c r="Q36" i="25"/>
  <c r="R36" i="25" s="1"/>
  <c r="V36" i="25" s="1"/>
  <c r="Q22" i="25"/>
  <c r="T42" i="25"/>
  <c r="R42" i="25"/>
  <c r="S42" i="25" s="1"/>
  <c r="S22" i="27"/>
  <c r="T22" i="27"/>
  <c r="R38" i="27"/>
  <c r="T38" i="27"/>
  <c r="Q38" i="21"/>
  <c r="Q24" i="21"/>
  <c r="R40" i="21"/>
  <c r="V40" i="21" s="1"/>
  <c r="T40" i="21"/>
  <c r="Q44" i="21"/>
  <c r="Q30" i="21"/>
  <c r="Q21" i="22"/>
  <c r="Q35" i="22"/>
  <c r="Q39" i="22"/>
  <c r="Q25" i="22"/>
  <c r="R23" i="23"/>
  <c r="V23" i="23" s="1"/>
  <c r="T23" i="23"/>
  <c r="T42" i="23"/>
  <c r="R42" i="23"/>
  <c r="S42" i="23" s="1"/>
  <c r="T37" i="25"/>
  <c r="R37" i="25"/>
  <c r="V37" i="25" s="1"/>
  <c r="Q41" i="25"/>
  <c r="Q27" i="25"/>
  <c r="Q21" i="27"/>
  <c r="Q35" i="27"/>
  <c r="Q37" i="27"/>
  <c r="Q23" i="27"/>
  <c r="T44" i="23"/>
  <c r="U44" i="23" s="1"/>
  <c r="T42" i="8"/>
  <c r="R42" i="8"/>
  <c r="S42" i="8" s="1"/>
  <c r="R27" i="8"/>
  <c r="V27" i="8" s="1"/>
  <c r="T27" i="8"/>
  <c r="T25" i="8"/>
  <c r="R25" i="8"/>
  <c r="V25" i="8" s="1"/>
  <c r="T34" i="8"/>
  <c r="T21" i="19"/>
  <c r="R21" i="19"/>
  <c r="T28" i="19"/>
  <c r="R28" i="19"/>
  <c r="S28" i="19" s="1"/>
  <c r="T39" i="19"/>
  <c r="R39" i="19"/>
  <c r="V39" i="19" s="1"/>
  <c r="T39" i="21"/>
  <c r="R39" i="21"/>
  <c r="V39" i="21" s="1"/>
  <c r="S50" i="7"/>
  <c r="T22" i="19"/>
  <c r="R22" i="19"/>
  <c r="V22" i="19" s="1"/>
  <c r="T29" i="19"/>
  <c r="R29" i="19"/>
  <c r="T31" i="21"/>
  <c r="R31" i="21"/>
  <c r="V31" i="21" s="1"/>
  <c r="S41" i="24"/>
  <c r="T41" i="24"/>
  <c r="R39" i="26"/>
  <c r="T39" i="26"/>
  <c r="S38" i="25"/>
  <c r="R41" i="21"/>
  <c r="T35" i="25"/>
  <c r="R35" i="25"/>
  <c r="C89" i="8"/>
  <c r="E89" i="8"/>
  <c r="D89" i="8"/>
  <c r="C153" i="8"/>
  <c r="B153" i="8"/>
  <c r="D90" i="19"/>
  <c r="E90" i="19"/>
  <c r="W45" i="7"/>
  <c r="V36" i="7"/>
  <c r="W33" i="7"/>
  <c r="W40" i="7"/>
  <c r="E42" i="8"/>
  <c r="B89" i="8"/>
  <c r="C137" i="8"/>
  <c r="C57" i="8"/>
  <c r="D154" i="19"/>
  <c r="B106" i="19"/>
  <c r="D58" i="19"/>
  <c r="C58" i="19"/>
  <c r="E91" i="21"/>
  <c r="B43" i="21"/>
  <c r="D139" i="21"/>
  <c r="B59" i="22"/>
  <c r="D107" i="22"/>
  <c r="E139" i="22"/>
  <c r="C75" i="21"/>
  <c r="C139" i="21"/>
  <c r="V43" i="7"/>
  <c r="E154" i="19"/>
  <c r="B58" i="19"/>
  <c r="C154" i="19"/>
  <c r="E139" i="21"/>
  <c r="E26" i="22"/>
  <c r="D155" i="22"/>
  <c r="C75" i="22"/>
  <c r="C26" i="21"/>
  <c r="B42" i="8"/>
  <c r="D57" i="8"/>
  <c r="C105" i="8"/>
  <c r="E121" i="8"/>
  <c r="B138" i="19"/>
  <c r="C122" i="19"/>
  <c r="E58" i="19"/>
  <c r="D91" i="21"/>
  <c r="B75" i="21"/>
  <c r="D107" i="21"/>
  <c r="B171" i="21"/>
  <c r="C26" i="22"/>
  <c r="B75" i="22"/>
  <c r="D91" i="22"/>
  <c r="C139" i="22"/>
  <c r="C155" i="22"/>
  <c r="W29" i="7"/>
  <c r="D26" i="8"/>
  <c r="E26" i="8"/>
  <c r="C73" i="8"/>
  <c r="E153" i="8"/>
  <c r="B90" i="19"/>
  <c r="C90" i="19"/>
  <c r="B26" i="21"/>
  <c r="D42" i="8"/>
  <c r="B73" i="8"/>
  <c r="D105" i="8"/>
  <c r="E105" i="8"/>
  <c r="D137" i="8"/>
  <c r="B137" i="8"/>
  <c r="B170" i="8"/>
  <c r="C26" i="19"/>
  <c r="E26" i="19"/>
  <c r="E170" i="19"/>
  <c r="C138" i="19"/>
  <c r="E138" i="19"/>
  <c r="E122" i="19"/>
  <c r="C106" i="19"/>
  <c r="E106" i="19"/>
  <c r="D74" i="19"/>
  <c r="B43" i="19"/>
  <c r="D75" i="21"/>
  <c r="D59" i="21"/>
  <c r="C59" i="21"/>
  <c r="E59" i="21"/>
  <c r="C107" i="21"/>
  <c r="B107" i="21"/>
  <c r="C171" i="21"/>
  <c r="D171" i="21"/>
  <c r="D59" i="22"/>
  <c r="C107" i="22"/>
  <c r="E107" i="22"/>
  <c r="D123" i="22"/>
  <c r="C123" i="22"/>
  <c r="E123" i="22"/>
  <c r="C171" i="22"/>
  <c r="E171" i="22"/>
  <c r="C43" i="23"/>
  <c r="D43" i="23"/>
  <c r="B91" i="23"/>
  <c r="C91" i="23"/>
  <c r="D107" i="23"/>
  <c r="C107" i="23"/>
  <c r="E107" i="23"/>
  <c r="E171" i="23"/>
  <c r="D171" i="23"/>
  <c r="E43" i="24"/>
  <c r="D43" i="24"/>
  <c r="D58" i="24"/>
  <c r="C75" i="24"/>
  <c r="E75" i="24"/>
  <c r="B75" i="24"/>
  <c r="C91" i="24"/>
  <c r="B91" i="24"/>
  <c r="E107" i="24"/>
  <c r="C107" i="24"/>
  <c r="D107" i="24"/>
  <c r="C139" i="24"/>
  <c r="E139" i="24"/>
  <c r="B139" i="24"/>
  <c r="C155" i="24"/>
  <c r="D155" i="24"/>
  <c r="M180" i="8"/>
  <c r="N180" i="8"/>
  <c r="N180" i="19"/>
  <c r="N181" i="21"/>
  <c r="N182" i="23"/>
  <c r="N181" i="25"/>
  <c r="N181" i="26"/>
  <c r="B57" i="8"/>
  <c r="C121" i="8"/>
  <c r="C170" i="8"/>
  <c r="D26" i="19"/>
  <c r="B122" i="19"/>
  <c r="E74" i="19"/>
  <c r="B123" i="21"/>
  <c r="B26" i="22"/>
  <c r="B155" i="22"/>
  <c r="D123" i="21"/>
  <c r="C43" i="21"/>
  <c r="D26" i="23"/>
  <c r="B43" i="23"/>
  <c r="D91" i="23"/>
  <c r="B171" i="23"/>
  <c r="B26" i="24"/>
  <c r="E58" i="24"/>
  <c r="B107" i="24"/>
  <c r="B155" i="24"/>
  <c r="C26" i="24"/>
  <c r="C58" i="24"/>
  <c r="D171" i="25"/>
  <c r="B155" i="21"/>
  <c r="B26" i="23"/>
  <c r="E91" i="23"/>
  <c r="E26" i="24"/>
  <c r="D75" i="24"/>
  <c r="B123" i="24"/>
  <c r="E155" i="24"/>
  <c r="C171" i="23"/>
  <c r="C155" i="23"/>
  <c r="E59" i="23"/>
  <c r="C59" i="23"/>
  <c r="B75" i="23"/>
  <c r="C123" i="23"/>
  <c r="D123" i="23"/>
  <c r="E138" i="23"/>
  <c r="C138" i="23"/>
  <c r="B138" i="23"/>
  <c r="B26" i="25"/>
  <c r="E26" i="25"/>
  <c r="D26" i="25"/>
  <c r="C26" i="25"/>
  <c r="C43" i="25"/>
  <c r="D43" i="25"/>
  <c r="B43" i="25"/>
  <c r="B58" i="25"/>
  <c r="E58" i="25"/>
  <c r="D74" i="25"/>
  <c r="B74" i="25"/>
  <c r="C74" i="25"/>
  <c r="C90" i="25"/>
  <c r="E90" i="25"/>
  <c r="D90" i="25"/>
  <c r="B90" i="25"/>
  <c r="E107" i="25"/>
  <c r="D107" i="25"/>
  <c r="B123" i="25"/>
  <c r="C123" i="25"/>
  <c r="E123" i="25"/>
  <c r="C139" i="25"/>
  <c r="D139" i="25"/>
  <c r="E139" i="25"/>
  <c r="B139" i="25"/>
  <c r="E155" i="25"/>
  <c r="B155" i="25"/>
  <c r="C155" i="25"/>
  <c r="E171" i="24"/>
  <c r="D171" i="24"/>
  <c r="B171" i="24"/>
  <c r="C171" i="24"/>
  <c r="B171" i="25"/>
  <c r="E171" i="25"/>
  <c r="E171" i="26"/>
  <c r="D171" i="26"/>
  <c r="B171" i="26"/>
  <c r="D155" i="26"/>
  <c r="E155" i="26"/>
  <c r="B139" i="26"/>
  <c r="C139" i="26"/>
  <c r="E139" i="26"/>
  <c r="C123" i="26"/>
  <c r="B123" i="26"/>
  <c r="E123" i="26"/>
  <c r="C107" i="26"/>
  <c r="D107" i="26"/>
  <c r="E107" i="26"/>
  <c r="B107" i="26"/>
  <c r="C90" i="26"/>
  <c r="E90" i="26"/>
  <c r="D90" i="26"/>
  <c r="B90" i="26"/>
  <c r="E74" i="26"/>
  <c r="C74" i="26"/>
  <c r="D74" i="26"/>
  <c r="E58" i="26"/>
  <c r="B58" i="26"/>
  <c r="C58" i="26"/>
  <c r="D43" i="26"/>
  <c r="E43" i="26"/>
  <c r="B43" i="26"/>
  <c r="C26" i="26"/>
  <c r="D26" i="26"/>
  <c r="E26" i="26"/>
  <c r="C26" i="27"/>
  <c r="E26" i="27"/>
  <c r="D26" i="27"/>
  <c r="D43" i="27"/>
  <c r="C43" i="27"/>
  <c r="E43" i="27"/>
  <c r="D58" i="27"/>
  <c r="E58" i="27"/>
  <c r="C58" i="27"/>
  <c r="B58" i="27"/>
  <c r="D74" i="27"/>
  <c r="C74" i="27"/>
  <c r="B74" i="27"/>
  <c r="E90" i="27"/>
  <c r="C90" i="27"/>
  <c r="D90" i="27"/>
  <c r="C106" i="27"/>
  <c r="D106" i="27"/>
  <c r="B106" i="27"/>
  <c r="E122" i="27"/>
  <c r="D122" i="27"/>
  <c r="B122" i="27"/>
  <c r="C138" i="27"/>
  <c r="E138" i="27"/>
  <c r="B138" i="27"/>
  <c r="C154" i="27"/>
  <c r="B154" i="27"/>
  <c r="E154" i="27"/>
  <c r="B170" i="27"/>
  <c r="D170" i="27"/>
  <c r="C170" i="27"/>
  <c r="E26" i="28"/>
  <c r="C26" i="28"/>
  <c r="B26" i="28"/>
  <c r="D26" i="28"/>
  <c r="B42" i="28"/>
  <c r="C42" i="28"/>
  <c r="E42" i="28"/>
  <c r="D57" i="28"/>
  <c r="B57" i="28"/>
  <c r="C73" i="28"/>
  <c r="E73" i="28"/>
  <c r="D73" i="28"/>
  <c r="B73" i="28"/>
  <c r="C89" i="28"/>
  <c r="D89" i="28"/>
  <c r="E89" i="28"/>
  <c r="B105" i="28"/>
  <c r="E105" i="28"/>
  <c r="C121" i="28"/>
  <c r="B121" i="28"/>
  <c r="D121" i="28"/>
  <c r="D137" i="28"/>
  <c r="C137" i="28"/>
  <c r="E137" i="28"/>
  <c r="B137" i="28"/>
  <c r="E154" i="28"/>
  <c r="C154" i="28"/>
  <c r="B154" i="28"/>
  <c r="B170" i="28"/>
  <c r="C170" i="28"/>
  <c r="E170" i="28"/>
  <c r="H59" i="4" l="1"/>
  <c r="AA76" i="7"/>
  <c r="H66" i="4"/>
  <c r="D54" i="4"/>
  <c r="B46" i="4"/>
  <c r="C62" i="4"/>
  <c r="V29" i="19"/>
  <c r="I63" i="4"/>
  <c r="V29" i="24"/>
  <c r="U31" i="21"/>
  <c r="U44" i="19"/>
  <c r="U31" i="19"/>
  <c r="E62" i="4"/>
  <c r="G20" i="4"/>
  <c r="G39" i="4"/>
  <c r="I51" i="4"/>
  <c r="Z76" i="7"/>
  <c r="M62" i="4"/>
  <c r="I62" i="4"/>
  <c r="E39" i="4"/>
  <c r="E20" i="4"/>
  <c r="I40" i="4"/>
  <c r="I39" i="4"/>
  <c r="M39" i="4"/>
  <c r="H39" i="4"/>
  <c r="G58" i="4"/>
  <c r="H40" i="4"/>
  <c r="H62" i="4"/>
  <c r="F47" i="4"/>
  <c r="H47" i="4"/>
  <c r="AL73" i="7" a="1"/>
  <c r="AL73" i="7" s="1"/>
  <c r="AL55" i="7" a="1"/>
  <c r="AL55" i="7" s="1"/>
  <c r="D53" i="5" s="1"/>
  <c r="AM72" i="7" a="1"/>
  <c r="AM72" i="7" s="1"/>
  <c r="AM71" i="7" a="1"/>
  <c r="AM71" i="7" s="1"/>
  <c r="AL69" i="7" a="1"/>
  <c r="AL69" i="7" s="1"/>
  <c r="AM66" i="7" a="1"/>
  <c r="AM66" i="7" s="1"/>
  <c r="AL62" i="7" a="1"/>
  <c r="AL62" i="7" s="1"/>
  <c r="J131" i="5" s="1"/>
  <c r="AM67" i="7" a="1"/>
  <c r="AM67" i="7" s="1"/>
  <c r="AL56" i="7" a="1"/>
  <c r="AL56" i="7" s="1"/>
  <c r="J53" i="5" s="1"/>
  <c r="AL72" i="7" a="1"/>
  <c r="AL72" i="7" s="1"/>
  <c r="AL53" i="7" a="1"/>
  <c r="AL53" i="7" s="1"/>
  <c r="D27" i="5" s="1"/>
  <c r="AM74" i="7" a="1"/>
  <c r="AM74" i="7" s="1"/>
  <c r="AM70" i="7" a="1"/>
  <c r="AM70" i="7" s="1"/>
  <c r="AL59" i="7" a="1"/>
  <c r="AL59" i="7" s="1"/>
  <c r="D105" i="5" s="1"/>
  <c r="AL71" i="7" a="1"/>
  <c r="AL71" i="7" s="1"/>
  <c r="AL67" i="7" a="1"/>
  <c r="AL67" i="7" s="1"/>
  <c r="AL66" i="7" a="1"/>
  <c r="AL66" i="7" s="1"/>
  <c r="AL57" i="7" a="1"/>
  <c r="AL57" i="7" s="1"/>
  <c r="D79" i="5" s="1"/>
  <c r="AM69" i="7" a="1"/>
  <c r="AM69" i="7" s="1"/>
  <c r="AM65" i="7" a="1"/>
  <c r="AM65" i="7" s="1"/>
  <c r="AL54" i="7" a="1"/>
  <c r="AL54" i="7" s="1"/>
  <c r="J27" i="5" s="1"/>
  <c r="AL65" i="7" a="1"/>
  <c r="AL65" i="7" s="1"/>
  <c r="AM73" i="7" a="1"/>
  <c r="AM73" i="7" s="1"/>
  <c r="AL74" i="7" a="1"/>
  <c r="AL74" i="7" s="1"/>
  <c r="AL60" i="7" a="1"/>
  <c r="AL60" i="7" s="1"/>
  <c r="J105" i="5" s="1"/>
  <c r="E40" i="4"/>
  <c r="L47" i="4"/>
  <c r="M67" i="4"/>
  <c r="E47" i="4"/>
  <c r="I59" i="4"/>
  <c r="M59" i="4"/>
  <c r="AC7" i="7"/>
  <c r="AD7" i="7" s="1"/>
  <c r="AE7" i="7"/>
  <c r="F67" i="4"/>
  <c r="L67" i="4" s="1"/>
  <c r="L68" i="4" s="1"/>
  <c r="M13" i="5" s="1"/>
  <c r="I67" i="4"/>
  <c r="M40" i="4"/>
  <c r="E59" i="4"/>
  <c r="H67" i="4"/>
  <c r="AH7" i="7"/>
  <c r="AI7" i="7"/>
  <c r="E67" i="4"/>
  <c r="F40" i="4"/>
  <c r="L40" i="4" s="1"/>
  <c r="BA7" i="7"/>
  <c r="BB7" i="7" s="1"/>
  <c r="BC7" i="7"/>
  <c r="Q30" i="28"/>
  <c r="T30" i="28" s="1"/>
  <c r="U30" i="28" s="1"/>
  <c r="T21" i="28"/>
  <c r="T43" i="28"/>
  <c r="U43" i="28" s="1"/>
  <c r="Q24" i="28"/>
  <c r="T24" i="28" s="1"/>
  <c r="T37" i="28"/>
  <c r="V37" i="28"/>
  <c r="R38" i="28"/>
  <c r="V38" i="28" s="1"/>
  <c r="Q23" i="28"/>
  <c r="D7" i="4" s="1"/>
  <c r="Q35" i="28"/>
  <c r="T35" i="28" s="1"/>
  <c r="Q25" i="28"/>
  <c r="R25" i="28" s="1"/>
  <c r="V25" i="28" s="1"/>
  <c r="R22" i="28"/>
  <c r="V22" i="28" s="1"/>
  <c r="V40" i="28"/>
  <c r="S40" i="28"/>
  <c r="R41" i="28"/>
  <c r="V41" i="28" s="1"/>
  <c r="Q27" i="28"/>
  <c r="T27" i="28" s="1"/>
  <c r="T40" i="28"/>
  <c r="S37" i="28"/>
  <c r="Q34" i="28"/>
  <c r="T34" i="28" s="1"/>
  <c r="V31" i="28"/>
  <c r="V28" i="27"/>
  <c r="T31" i="28"/>
  <c r="U31" i="28" s="1"/>
  <c r="Q28" i="28"/>
  <c r="T28" i="28" s="1"/>
  <c r="V43" i="28"/>
  <c r="Q42" i="28"/>
  <c r="R42" i="28" s="1"/>
  <c r="V42" i="28" s="1"/>
  <c r="Q44" i="28"/>
  <c r="T44" i="28" s="1"/>
  <c r="U44" i="28" s="1"/>
  <c r="R39" i="28"/>
  <c r="V39" i="28" s="1"/>
  <c r="Q26" i="28"/>
  <c r="T26" i="28" s="1"/>
  <c r="V42" i="22"/>
  <c r="T44" i="8"/>
  <c r="U44" i="8" s="1"/>
  <c r="V43" i="21"/>
  <c r="V29" i="27"/>
  <c r="W40" i="28"/>
  <c r="W30" i="28"/>
  <c r="W30" i="23"/>
  <c r="V29" i="22"/>
  <c r="F36" i="4"/>
  <c r="G36" i="4"/>
  <c r="H36" i="4"/>
  <c r="E36" i="4"/>
  <c r="C36" i="4"/>
  <c r="G16" i="4"/>
  <c r="I16" i="4"/>
  <c r="C16" i="4"/>
  <c r="M16" i="4"/>
  <c r="E16" i="4"/>
  <c r="H16" i="4"/>
  <c r="B18" i="4"/>
  <c r="M18" i="4" s="1"/>
  <c r="D36" i="4"/>
  <c r="F16" i="4"/>
  <c r="C18" i="4"/>
  <c r="AF76" i="7"/>
  <c r="C38" i="4"/>
  <c r="A18" i="4"/>
  <c r="AH76" i="7"/>
  <c r="A38" i="4"/>
  <c r="L17" i="4"/>
  <c r="H19" i="4"/>
  <c r="E19" i="4"/>
  <c r="F58" i="4"/>
  <c r="E58" i="4"/>
  <c r="E50" i="4"/>
  <c r="I50" i="4"/>
  <c r="L51" i="4"/>
  <c r="L52" i="4" s="1"/>
  <c r="M8" i="5" s="1"/>
  <c r="G51" i="4"/>
  <c r="L59" i="4"/>
  <c r="L60" i="4" s="1"/>
  <c r="M10" i="5" s="1"/>
  <c r="F59" i="4"/>
  <c r="F63" i="4"/>
  <c r="L63" i="4" s="1"/>
  <c r="L64" i="4" s="1"/>
  <c r="M12" i="5" s="1"/>
  <c r="G63" i="4"/>
  <c r="G50" i="4"/>
  <c r="F50" i="4"/>
  <c r="I19" i="4"/>
  <c r="F51" i="4"/>
  <c r="H50" i="4"/>
  <c r="M50" i="4"/>
  <c r="M58" i="4"/>
  <c r="M60" i="4" s="1"/>
  <c r="D10" i="5" s="1"/>
  <c r="G19" i="4"/>
  <c r="M51" i="4"/>
  <c r="M19" i="4"/>
  <c r="L37" i="4"/>
  <c r="M68" i="4"/>
  <c r="D13" i="5" s="1"/>
  <c r="M64" i="4"/>
  <c r="D12" i="5" s="1"/>
  <c r="M56" i="4"/>
  <c r="D9" i="5" s="1"/>
  <c r="AG76" i="7"/>
  <c r="AI76" i="7"/>
  <c r="AJ76" i="7"/>
  <c r="W30" i="8"/>
  <c r="U42" i="8" s="1"/>
  <c r="M17" i="4"/>
  <c r="F17" i="4"/>
  <c r="E37" i="4"/>
  <c r="F37" i="4"/>
  <c r="E17" i="4"/>
  <c r="AK76" i="7"/>
  <c r="M38" i="4"/>
  <c r="L38" i="4"/>
  <c r="R45" i="24"/>
  <c r="V45" i="24" s="1"/>
  <c r="R45" i="19"/>
  <c r="V45" i="19" s="1"/>
  <c r="R45" i="21"/>
  <c r="V45" i="21" s="1"/>
  <c r="U40" i="25"/>
  <c r="R31" i="22"/>
  <c r="V31" i="22" s="1"/>
  <c r="V40" i="27"/>
  <c r="T31" i="8"/>
  <c r="U31" i="8" s="1"/>
  <c r="S42" i="22"/>
  <c r="U42" i="22" s="1"/>
  <c r="T45" i="25"/>
  <c r="U45" i="25" s="1"/>
  <c r="R26" i="27"/>
  <c r="S26" i="27" s="1"/>
  <c r="U26" i="27" s="1"/>
  <c r="S39" i="23"/>
  <c r="U39" i="23" s="1"/>
  <c r="A15" i="4"/>
  <c r="R31" i="26"/>
  <c r="V31" i="26" s="1"/>
  <c r="T26" i="26"/>
  <c r="R24" i="27"/>
  <c r="S24" i="27" s="1"/>
  <c r="U24" i="27" s="1"/>
  <c r="S26" i="26"/>
  <c r="T26" i="22"/>
  <c r="V38" i="22"/>
  <c r="T36" i="27"/>
  <c r="R30" i="22"/>
  <c r="V30" i="22" s="1"/>
  <c r="V35" i="23"/>
  <c r="T23" i="19"/>
  <c r="V36" i="22"/>
  <c r="R24" i="22"/>
  <c r="V24" i="22" s="1"/>
  <c r="T26" i="23"/>
  <c r="R23" i="21"/>
  <c r="V23" i="21" s="1"/>
  <c r="T37" i="22"/>
  <c r="R27" i="23"/>
  <c r="V27" i="23" s="1"/>
  <c r="R43" i="19"/>
  <c r="V43" i="19" s="1"/>
  <c r="T28" i="25"/>
  <c r="U28" i="25" s="1"/>
  <c r="R42" i="19"/>
  <c r="S42" i="19" s="1"/>
  <c r="U42" i="19" s="1"/>
  <c r="S25" i="23"/>
  <c r="R29" i="21"/>
  <c r="V29" i="21" s="1"/>
  <c r="R25" i="27"/>
  <c r="V25" i="27" s="1"/>
  <c r="U22" i="23"/>
  <c r="R21" i="8"/>
  <c r="S21" i="8" s="1"/>
  <c r="U21" i="8" s="1"/>
  <c r="V39" i="25"/>
  <c r="R24" i="25"/>
  <c r="V24" i="25" s="1"/>
  <c r="R26" i="21"/>
  <c r="V26" i="21" s="1"/>
  <c r="V38" i="23"/>
  <c r="R28" i="22"/>
  <c r="V28" i="22" s="1"/>
  <c r="R24" i="23"/>
  <c r="V24" i="23" s="1"/>
  <c r="T25" i="23"/>
  <c r="R26" i="25"/>
  <c r="V26" i="25" s="1"/>
  <c r="R36" i="23"/>
  <c r="S36" i="23" s="1"/>
  <c r="U36" i="23" s="1"/>
  <c r="U39" i="27"/>
  <c r="R30" i="25"/>
  <c r="V30" i="25" s="1"/>
  <c r="R23" i="24"/>
  <c r="V23" i="24" s="1"/>
  <c r="S28" i="26"/>
  <c r="R27" i="22"/>
  <c r="S27" i="22" s="1"/>
  <c r="U27" i="22" s="1"/>
  <c r="U40" i="23"/>
  <c r="T21" i="26"/>
  <c r="U21" i="26" s="1"/>
  <c r="D6" i="4"/>
  <c r="U41" i="22"/>
  <c r="R37" i="26"/>
  <c r="V37" i="26" s="1"/>
  <c r="A29" i="4"/>
  <c r="R43" i="22"/>
  <c r="S43" i="22" s="1"/>
  <c r="U43" i="22" s="1"/>
  <c r="U38" i="25"/>
  <c r="R43" i="24"/>
  <c r="S43" i="24" s="1"/>
  <c r="U43" i="24" s="1"/>
  <c r="S43" i="21"/>
  <c r="U43" i="21" s="1"/>
  <c r="T28" i="26"/>
  <c r="V36" i="26"/>
  <c r="S41" i="27"/>
  <c r="U41" i="27" s="1"/>
  <c r="V21" i="26"/>
  <c r="T35" i="19"/>
  <c r="R43" i="8"/>
  <c r="V43" i="8" s="1"/>
  <c r="S29" i="22"/>
  <c r="U29" i="22" s="1"/>
  <c r="V29" i="25"/>
  <c r="S23" i="22"/>
  <c r="U23" i="22" s="1"/>
  <c r="R25" i="26"/>
  <c r="T25" i="26"/>
  <c r="T38" i="19"/>
  <c r="T42" i="27"/>
  <c r="T22" i="22"/>
  <c r="V41" i="19"/>
  <c r="U42" i="26"/>
  <c r="S40" i="24"/>
  <c r="U40" i="24" s="1"/>
  <c r="R36" i="24"/>
  <c r="V36" i="24" s="1"/>
  <c r="V40" i="26"/>
  <c r="D31" i="4"/>
  <c r="R27" i="21"/>
  <c r="V27" i="21" s="1"/>
  <c r="S23" i="19"/>
  <c r="U41" i="26"/>
  <c r="U28" i="21"/>
  <c r="S22" i="19"/>
  <c r="U22" i="19" s="1"/>
  <c r="U42" i="23"/>
  <c r="R38" i="8"/>
  <c r="S38" i="8" s="1"/>
  <c r="U38" i="8" s="1"/>
  <c r="T29" i="8"/>
  <c r="R29" i="8"/>
  <c r="S29" i="8" s="1"/>
  <c r="R27" i="19"/>
  <c r="T27" i="19"/>
  <c r="S36" i="25"/>
  <c r="T37" i="23"/>
  <c r="R42" i="21"/>
  <c r="S42" i="21" s="1"/>
  <c r="U42" i="21" s="1"/>
  <c r="R35" i="8"/>
  <c r="S35" i="8" s="1"/>
  <c r="U35" i="8" s="1"/>
  <c r="U29" i="25"/>
  <c r="V38" i="19"/>
  <c r="S38" i="19"/>
  <c r="R25" i="21"/>
  <c r="V25" i="21" s="1"/>
  <c r="T25" i="21"/>
  <c r="T25" i="25"/>
  <c r="R30" i="19"/>
  <c r="V30" i="19" s="1"/>
  <c r="S28" i="27"/>
  <c r="U28" i="27" s="1"/>
  <c r="S34" i="8"/>
  <c r="U34" i="8" s="1"/>
  <c r="T36" i="19"/>
  <c r="R36" i="19"/>
  <c r="S25" i="25"/>
  <c r="R39" i="8"/>
  <c r="S39" i="8" s="1"/>
  <c r="U39" i="8" s="1"/>
  <c r="B32" i="4"/>
  <c r="F32" i="4" s="1"/>
  <c r="S37" i="23"/>
  <c r="S37" i="21"/>
  <c r="U37" i="21" s="1"/>
  <c r="R22" i="21"/>
  <c r="T22" i="21"/>
  <c r="T42" i="24"/>
  <c r="R23" i="25"/>
  <c r="T23" i="25"/>
  <c r="S36" i="21"/>
  <c r="U36" i="21" s="1"/>
  <c r="V42" i="25"/>
  <c r="T23" i="8"/>
  <c r="S23" i="23"/>
  <c r="U23" i="23" s="1"/>
  <c r="R43" i="26"/>
  <c r="U36" i="26"/>
  <c r="T21" i="23"/>
  <c r="R21" i="23"/>
  <c r="T40" i="8"/>
  <c r="R40" i="8"/>
  <c r="T24" i="26"/>
  <c r="R24" i="26"/>
  <c r="V24" i="26" s="1"/>
  <c r="V35" i="24"/>
  <c r="R22" i="26"/>
  <c r="T21" i="25"/>
  <c r="R21" i="25"/>
  <c r="U40" i="26"/>
  <c r="S26" i="23"/>
  <c r="A5" i="4"/>
  <c r="S40" i="21"/>
  <c r="U40" i="21" s="1"/>
  <c r="B28" i="4"/>
  <c r="R25" i="19"/>
  <c r="V25" i="19" s="1"/>
  <c r="B30" i="4"/>
  <c r="S41" i="23"/>
  <c r="U41" i="23" s="1"/>
  <c r="T27" i="26"/>
  <c r="R27" i="26"/>
  <c r="V27" i="26" s="1"/>
  <c r="R27" i="27"/>
  <c r="V27" i="27" s="1"/>
  <c r="T27" i="27"/>
  <c r="S35" i="26"/>
  <c r="U35" i="26" s="1"/>
  <c r="V35" i="26"/>
  <c r="R42" i="24"/>
  <c r="V42" i="24" s="1"/>
  <c r="R26" i="19"/>
  <c r="V26" i="19" s="1"/>
  <c r="R21" i="24"/>
  <c r="V21" i="24" s="1"/>
  <c r="R25" i="24"/>
  <c r="T25" i="24"/>
  <c r="V42" i="23"/>
  <c r="S38" i="24"/>
  <c r="T36" i="25"/>
  <c r="T30" i="23"/>
  <c r="U30" i="23" s="1"/>
  <c r="D5" i="4"/>
  <c r="S25" i="8"/>
  <c r="U25" i="8" s="1"/>
  <c r="U42" i="25"/>
  <c r="D15" i="4"/>
  <c r="D32" i="4"/>
  <c r="D34" i="4"/>
  <c r="T43" i="27"/>
  <c r="V41" i="26"/>
  <c r="V39" i="24"/>
  <c r="S39" i="24"/>
  <c r="U39" i="24" s="1"/>
  <c r="R27" i="24"/>
  <c r="V27" i="24" s="1"/>
  <c r="T27" i="24"/>
  <c r="S37" i="24"/>
  <c r="U37" i="24" s="1"/>
  <c r="S26" i="8"/>
  <c r="U26" i="8" s="1"/>
  <c r="S37" i="22"/>
  <c r="S36" i="27"/>
  <c r="S29" i="24"/>
  <c r="U29" i="24" s="1"/>
  <c r="V29" i="26"/>
  <c r="S29" i="26"/>
  <c r="U29" i="26" s="1"/>
  <c r="T28" i="23"/>
  <c r="R28" i="23"/>
  <c r="V28" i="23" s="1"/>
  <c r="T43" i="25"/>
  <c r="R43" i="25"/>
  <c r="S29" i="27"/>
  <c r="U29" i="27" s="1"/>
  <c r="T27" i="25"/>
  <c r="R27" i="25"/>
  <c r="V27" i="25" s="1"/>
  <c r="V35" i="19"/>
  <c r="S35" i="19"/>
  <c r="V42" i="26"/>
  <c r="T37" i="27"/>
  <c r="R37" i="27"/>
  <c r="V37" i="27" s="1"/>
  <c r="T41" i="25"/>
  <c r="R41" i="25"/>
  <c r="B31" i="4"/>
  <c r="A31" i="4"/>
  <c r="T21" i="22"/>
  <c r="R21" i="22"/>
  <c r="V21" i="22" s="1"/>
  <c r="T29" i="28"/>
  <c r="R29" i="28"/>
  <c r="V29" i="28" s="1"/>
  <c r="U22" i="27"/>
  <c r="T22" i="25"/>
  <c r="R22" i="25"/>
  <c r="V22" i="25" s="1"/>
  <c r="V22" i="22"/>
  <c r="S22" i="22"/>
  <c r="R28" i="8"/>
  <c r="V28" i="8" s="1"/>
  <c r="B6" i="4"/>
  <c r="T44" i="24"/>
  <c r="U44" i="24" s="1"/>
  <c r="R44" i="24"/>
  <c r="V44" i="24" s="1"/>
  <c r="T22" i="24"/>
  <c r="R22" i="24"/>
  <c r="V22" i="24" s="1"/>
  <c r="T29" i="23"/>
  <c r="R29" i="23"/>
  <c r="V29" i="23" s="1"/>
  <c r="D13" i="4"/>
  <c r="B13" i="4"/>
  <c r="A13" i="4"/>
  <c r="T31" i="27"/>
  <c r="U31" i="27" s="1"/>
  <c r="R31" i="27"/>
  <c r="V31" i="27" s="1"/>
  <c r="B15" i="4"/>
  <c r="A32" i="4"/>
  <c r="V22" i="8"/>
  <c r="T23" i="27"/>
  <c r="R23" i="27"/>
  <c r="R35" i="22"/>
  <c r="V35" i="22" s="1"/>
  <c r="T35" i="22"/>
  <c r="S21" i="28"/>
  <c r="V21" i="28"/>
  <c r="T24" i="8"/>
  <c r="R24" i="8"/>
  <c r="V24" i="8" s="1"/>
  <c r="T44" i="27"/>
  <c r="U44" i="27" s="1"/>
  <c r="R44" i="27"/>
  <c r="V44" i="27" s="1"/>
  <c r="T30" i="24"/>
  <c r="U30" i="24" s="1"/>
  <c r="R30" i="24"/>
  <c r="V30" i="24" s="1"/>
  <c r="T45" i="27"/>
  <c r="U45" i="27" s="1"/>
  <c r="R45" i="27"/>
  <c r="V45" i="27" s="1"/>
  <c r="R40" i="19"/>
  <c r="V40" i="19" s="1"/>
  <c r="T40" i="19"/>
  <c r="D30" i="4"/>
  <c r="A30" i="4"/>
  <c r="V41" i="8"/>
  <c r="A34" i="4"/>
  <c r="T35" i="27"/>
  <c r="R35" i="27"/>
  <c r="V35" i="27" s="1"/>
  <c r="S37" i="25"/>
  <c r="U37" i="25" s="1"/>
  <c r="T25" i="22"/>
  <c r="R25" i="22"/>
  <c r="V25" i="22" s="1"/>
  <c r="T30" i="21"/>
  <c r="R30" i="21"/>
  <c r="V30" i="21" s="1"/>
  <c r="S37" i="19"/>
  <c r="U37" i="19" s="1"/>
  <c r="V37" i="19"/>
  <c r="T30" i="26"/>
  <c r="U30" i="26" s="1"/>
  <c r="R30" i="26"/>
  <c r="V30" i="26" s="1"/>
  <c r="R45" i="23"/>
  <c r="V45" i="23" s="1"/>
  <c r="T45" i="23"/>
  <c r="U45" i="23" s="1"/>
  <c r="V38" i="26"/>
  <c r="S38" i="26"/>
  <c r="U38" i="26" s="1"/>
  <c r="A6" i="4"/>
  <c r="T24" i="19"/>
  <c r="R24" i="19"/>
  <c r="V24" i="19" s="1"/>
  <c r="T28" i="24"/>
  <c r="R28" i="24"/>
  <c r="V28" i="24" s="1"/>
  <c r="D27" i="4"/>
  <c r="B27" i="4"/>
  <c r="R36" i="8"/>
  <c r="V36" i="8" s="1"/>
  <c r="T36" i="8"/>
  <c r="A27" i="4"/>
  <c r="R21" i="21"/>
  <c r="T21" i="21"/>
  <c r="B5" i="4"/>
  <c r="H5" i="4" s="1"/>
  <c r="R38" i="21"/>
  <c r="T38" i="21"/>
  <c r="R43" i="23"/>
  <c r="V43" i="23" s="1"/>
  <c r="T43" i="23"/>
  <c r="R30" i="8"/>
  <c r="V30" i="8" s="1"/>
  <c r="V42" i="8"/>
  <c r="T38" i="24"/>
  <c r="S39" i="19"/>
  <c r="U39" i="19" s="1"/>
  <c r="B34" i="4"/>
  <c r="E34" i="4" s="1"/>
  <c r="T21" i="27"/>
  <c r="R21" i="27"/>
  <c r="V21" i="27" s="1"/>
  <c r="R39" i="22"/>
  <c r="V39" i="22" s="1"/>
  <c r="T39" i="22"/>
  <c r="B29" i="4"/>
  <c r="T44" i="21"/>
  <c r="R44" i="21"/>
  <c r="V44" i="21" s="1"/>
  <c r="T24" i="21"/>
  <c r="R24" i="21"/>
  <c r="V24" i="21" s="1"/>
  <c r="V42" i="27"/>
  <c r="S42" i="27"/>
  <c r="T36" i="28"/>
  <c r="R36" i="28"/>
  <c r="V36" i="28" s="1"/>
  <c r="V38" i="27"/>
  <c r="S38" i="27"/>
  <c r="U38" i="27" s="1"/>
  <c r="S40" i="22"/>
  <c r="U40" i="22" s="1"/>
  <c r="T26" i="24"/>
  <c r="R26" i="24"/>
  <c r="V26" i="24" s="1"/>
  <c r="T37" i="8"/>
  <c r="R37" i="8"/>
  <c r="V37" i="8" s="1"/>
  <c r="D28" i="4"/>
  <c r="A28" i="4"/>
  <c r="D29" i="4"/>
  <c r="T30" i="27"/>
  <c r="U30" i="27" s="1"/>
  <c r="R30" i="27"/>
  <c r="V30" i="27" s="1"/>
  <c r="S23" i="26"/>
  <c r="U23" i="26" s="1"/>
  <c r="V23" i="26"/>
  <c r="T24" i="24"/>
  <c r="R24" i="24"/>
  <c r="V24" i="24" s="1"/>
  <c r="V43" i="27"/>
  <c r="S43" i="27"/>
  <c r="S26" i="22"/>
  <c r="T35" i="21"/>
  <c r="R35" i="21"/>
  <c r="V35" i="21" s="1"/>
  <c r="W30" i="25"/>
  <c r="W41" i="25"/>
  <c r="W41" i="24"/>
  <c r="W30" i="24"/>
  <c r="W41" i="23"/>
  <c r="W41" i="21"/>
  <c r="W30" i="21"/>
  <c r="V28" i="19"/>
  <c r="V21" i="19"/>
  <c r="S21" i="19"/>
  <c r="U21" i="19" s="1"/>
  <c r="V28" i="25"/>
  <c r="S23" i="8"/>
  <c r="U23" i="8" s="1"/>
  <c r="W30" i="27"/>
  <c r="W41" i="27"/>
  <c r="W41" i="26"/>
  <c r="W30" i="26"/>
  <c r="W41" i="8"/>
  <c r="V35" i="25"/>
  <c r="S35" i="25"/>
  <c r="U35" i="25" s="1"/>
  <c r="V41" i="21"/>
  <c r="S41" i="21"/>
  <c r="U41" i="21" s="1"/>
  <c r="W30" i="19"/>
  <c r="W41" i="19"/>
  <c r="V39" i="26"/>
  <c r="S39" i="26"/>
  <c r="U39" i="26" s="1"/>
  <c r="V28" i="21"/>
  <c r="U28" i="19"/>
  <c r="S27" i="8"/>
  <c r="U27" i="8" s="1"/>
  <c r="W41" i="22"/>
  <c r="W30" i="22"/>
  <c r="U41" i="24"/>
  <c r="S29" i="19"/>
  <c r="U29" i="19" s="1"/>
  <c r="S39" i="21"/>
  <c r="U39" i="21" s="1"/>
  <c r="V28" i="26"/>
  <c r="M14" i="5" l="1"/>
  <c r="L48" i="4"/>
  <c r="M7" i="5" s="1"/>
  <c r="L46" i="4"/>
  <c r="M46" i="4"/>
  <c r="M48" i="4" s="1"/>
  <c r="D7" i="5" s="1"/>
  <c r="H46" i="4"/>
  <c r="F46" i="4"/>
  <c r="G46" i="4"/>
  <c r="E46" i="4"/>
  <c r="U30" i="22"/>
  <c r="U31" i="22"/>
  <c r="U30" i="21"/>
  <c r="U44" i="21"/>
  <c r="U45" i="21"/>
  <c r="U45" i="19"/>
  <c r="U30" i="19"/>
  <c r="A14" i="4"/>
  <c r="K27" i="5"/>
  <c r="AO62" i="7" a="1"/>
  <c r="AO62" i="7" s="1"/>
  <c r="J132" i="5" s="1"/>
  <c r="K132" i="5" s="1"/>
  <c r="AO56" i="7" a="1"/>
  <c r="AO56" i="7" s="1"/>
  <c r="J54" i="5" s="1"/>
  <c r="K54" i="5" s="1"/>
  <c r="AN66" i="7" a="1"/>
  <c r="AN66" i="7" s="1"/>
  <c r="AO67" i="7" a="1"/>
  <c r="AO67" i="7" s="1"/>
  <c r="AN73" i="7" a="1"/>
  <c r="AN73" i="7" s="1"/>
  <c r="AO54" i="7" a="1"/>
  <c r="AO54" i="7" s="1"/>
  <c r="J28" i="5" s="1"/>
  <c r="K28" i="5" s="1"/>
  <c r="AO70" i="7" a="1"/>
  <c r="AO70" i="7" s="1"/>
  <c r="AN70" i="7" a="1"/>
  <c r="AN70" i="7" s="1"/>
  <c r="AN65" i="7" a="1"/>
  <c r="AN65" i="7" s="1"/>
  <c r="AO57" i="7" a="1"/>
  <c r="AO57" i="7" s="1"/>
  <c r="D80" i="5" s="1"/>
  <c r="E80" i="5" s="1"/>
  <c r="AN68" i="7" a="1"/>
  <c r="AN68" i="7" s="1"/>
  <c r="AO69" i="7" a="1"/>
  <c r="AO69" i="7" s="1"/>
  <c r="AN74" i="7" a="1"/>
  <c r="AN74" i="7" s="1"/>
  <c r="AO55" i="7" a="1"/>
  <c r="AO55" i="7" s="1"/>
  <c r="D54" i="5" s="1"/>
  <c r="E54" i="5" s="1"/>
  <c r="AO72" i="7" a="1"/>
  <c r="AO72" i="7" s="1"/>
  <c r="AN71" i="7" a="1"/>
  <c r="AN71" i="7" s="1"/>
  <c r="AO71" i="7" a="1"/>
  <c r="AO71" i="7" s="1"/>
  <c r="AO59" i="7" a="1"/>
  <c r="AO59" i="7" s="1"/>
  <c r="D106" i="5" s="1"/>
  <c r="E106" i="5" s="1"/>
  <c r="AN69" i="7" a="1"/>
  <c r="AN69" i="7" s="1"/>
  <c r="AO66" i="7" a="1"/>
  <c r="AO66" i="7" s="1"/>
  <c r="AN72" i="7" a="1"/>
  <c r="AN72" i="7" s="1"/>
  <c r="AO74" i="7" a="1"/>
  <c r="AO74" i="7" s="1"/>
  <c r="AO68" i="7" a="1"/>
  <c r="AO68" i="7" s="1"/>
  <c r="AO65" i="7" a="1"/>
  <c r="AO65" i="7" s="1"/>
  <c r="AO60" i="7" a="1"/>
  <c r="AO60" i="7" s="1"/>
  <c r="J106" i="5" s="1"/>
  <c r="K106" i="5" s="1"/>
  <c r="AN67" i="7" a="1"/>
  <c r="AN67" i="7" s="1"/>
  <c r="AO73" i="7" a="1"/>
  <c r="AO73" i="7" s="1"/>
  <c r="AO53" i="7" a="1"/>
  <c r="AO53" i="7" s="1"/>
  <c r="D28" i="5" s="1"/>
  <c r="E28" i="5" s="1"/>
  <c r="AO58" i="7" a="1"/>
  <c r="AO58" i="7" s="1"/>
  <c r="J80" i="5" s="1"/>
  <c r="AO61" i="7" a="1"/>
  <c r="AO61" i="7" s="1"/>
  <c r="D132" i="5" s="1"/>
  <c r="E27" i="5"/>
  <c r="E79" i="5"/>
  <c r="D81" i="5"/>
  <c r="E81" i="5" s="1"/>
  <c r="E53" i="5"/>
  <c r="K105" i="5"/>
  <c r="K53" i="5"/>
  <c r="AC70" i="7" a="1"/>
  <c r="AC70" i="7" s="1"/>
  <c r="AB67" i="7" a="1"/>
  <c r="AB67" i="7" s="1"/>
  <c r="AB72" i="7" a="1"/>
  <c r="AB72" i="7" s="1"/>
  <c r="AC73" i="7" a="1"/>
  <c r="AC73" i="7" s="1"/>
  <c r="AB73" i="7" a="1"/>
  <c r="AB73" i="7" s="1"/>
  <c r="AC57" i="7" a="1"/>
  <c r="AC57" i="7" s="1"/>
  <c r="AB74" i="7" a="1"/>
  <c r="AB74" i="7" s="1"/>
  <c r="AC55" i="7" a="1"/>
  <c r="AC55" i="7" s="1"/>
  <c r="AC72" i="7" a="1"/>
  <c r="AC72" i="7" s="1"/>
  <c r="AC67" i="7" a="1"/>
  <c r="AC67" i="7" s="1"/>
  <c r="AC71" i="7" a="1"/>
  <c r="AC71" i="7" s="1"/>
  <c r="AB69" i="7" a="1"/>
  <c r="AB69" i="7" s="1"/>
  <c r="AB70" i="7" a="1"/>
  <c r="AB70" i="7" s="1"/>
  <c r="AC59" i="7" a="1"/>
  <c r="AC59" i="7" s="1"/>
  <c r="AC65" i="7" a="1"/>
  <c r="AC65" i="7" s="1"/>
  <c r="AC56" i="7" a="1"/>
  <c r="AC56" i="7" s="1"/>
  <c r="AB66" i="7" a="1"/>
  <c r="AB66" i="7" s="1"/>
  <c r="AC53" i="7" a="1"/>
  <c r="AC53" i="7" s="1"/>
  <c r="AC62" i="7" a="1"/>
  <c r="AC62" i="7" s="1"/>
  <c r="AC69" i="7" a="1"/>
  <c r="AC69" i="7" s="1"/>
  <c r="AC54" i="7" a="1"/>
  <c r="AC54" i="7" s="1"/>
  <c r="AC68" i="7" a="1"/>
  <c r="AC68" i="7" s="1"/>
  <c r="AC66" i="7" a="1"/>
  <c r="AC66" i="7" s="1"/>
  <c r="AB71" i="7" a="1"/>
  <c r="AB71" i="7" s="1"/>
  <c r="AB65" i="7" a="1"/>
  <c r="AB65" i="7" s="1"/>
  <c r="AC74" i="7" a="1"/>
  <c r="AC74" i="7" s="1"/>
  <c r="AC60" i="7" a="1"/>
  <c r="AC60" i="7" s="1"/>
  <c r="AC61" i="7" a="1"/>
  <c r="AC61" i="7" s="1"/>
  <c r="AB68" i="7" a="1"/>
  <c r="AB68" i="7" s="1"/>
  <c r="AC58" i="7" a="1"/>
  <c r="AC58" i="7" s="1"/>
  <c r="AE73" i="7" a="1"/>
  <c r="AE73" i="7" s="1"/>
  <c r="AD59" i="7" a="1"/>
  <c r="AD59" i="7" s="1"/>
  <c r="D100" i="5" s="1"/>
  <c r="E100" i="5" s="1"/>
  <c r="AD67" i="7" a="1"/>
  <c r="AD67" i="7" s="1"/>
  <c r="AD55" i="7" a="1"/>
  <c r="AD55" i="7" s="1"/>
  <c r="D48" i="5" s="1"/>
  <c r="E48" i="5" s="1"/>
  <c r="AE67" i="7" a="1"/>
  <c r="AE67" i="7" s="1"/>
  <c r="AD57" i="7" a="1"/>
  <c r="AD57" i="7" s="1"/>
  <c r="D74" i="5" s="1"/>
  <c r="E74" i="5" s="1"/>
  <c r="AE74" i="7" a="1"/>
  <c r="AE74" i="7" s="1"/>
  <c r="AD70" i="7" a="1"/>
  <c r="AD70" i="7" s="1"/>
  <c r="AD72" i="7" a="1"/>
  <c r="AD72" i="7" s="1"/>
  <c r="AD58" i="7" a="1"/>
  <c r="AD58" i="7" s="1"/>
  <c r="J74" i="5" s="1"/>
  <c r="K74" i="5" s="1"/>
  <c r="AD60" i="7" a="1"/>
  <c r="AD60" i="7" s="1"/>
  <c r="J100" i="5" s="1"/>
  <c r="K100" i="5" s="1"/>
  <c r="AD65" i="7" a="1"/>
  <c r="AD65" i="7" s="1"/>
  <c r="AE66" i="7" a="1"/>
  <c r="AE66" i="7" s="1"/>
  <c r="AD53" i="7" a="1"/>
  <c r="AD53" i="7" s="1"/>
  <c r="D22" i="5" s="1"/>
  <c r="E22" i="5" s="1"/>
  <c r="AE70" i="7" a="1"/>
  <c r="AE70" i="7" s="1"/>
  <c r="AD54" i="7" a="1"/>
  <c r="AD54" i="7" s="1"/>
  <c r="J22" i="5" s="1"/>
  <c r="K22" i="5" s="1"/>
  <c r="AD74" i="7" a="1"/>
  <c r="AD74" i="7" s="1"/>
  <c r="AD71" i="7" a="1"/>
  <c r="AD71" i="7" s="1"/>
  <c r="AD66" i="7" a="1"/>
  <c r="AD66" i="7" s="1"/>
  <c r="AD69" i="7" a="1"/>
  <c r="AD69" i="7" s="1"/>
  <c r="AE69" i="7" a="1"/>
  <c r="AE69" i="7" s="1"/>
  <c r="AD73" i="7" a="1"/>
  <c r="AD73" i="7" s="1"/>
  <c r="AD68" i="7" a="1"/>
  <c r="AD68" i="7" s="1"/>
  <c r="AD62" i="7" a="1"/>
  <c r="AD62" i="7" s="1"/>
  <c r="J126" i="5" s="1"/>
  <c r="K126" i="5" s="1"/>
  <c r="AE65" i="7" a="1"/>
  <c r="AE65" i="7" s="1"/>
  <c r="AE71" i="7" a="1"/>
  <c r="AE71" i="7" s="1"/>
  <c r="AD61" i="7" a="1"/>
  <c r="AD61" i="7" s="1"/>
  <c r="D126" i="5" s="1"/>
  <c r="E126" i="5" s="1"/>
  <c r="AD56" i="7" a="1"/>
  <c r="AD56" i="7" s="1"/>
  <c r="J48" i="5" s="1"/>
  <c r="K48" i="5" s="1"/>
  <c r="AE72" i="7" a="1"/>
  <c r="AE72" i="7" s="1"/>
  <c r="AE68" i="7" a="1"/>
  <c r="AE68" i="7" s="1"/>
  <c r="K131" i="5"/>
  <c r="J133" i="5"/>
  <c r="K133" i="5" s="1"/>
  <c r="AM76" i="7"/>
  <c r="AL76" i="7"/>
  <c r="E105" i="5"/>
  <c r="D14" i="4"/>
  <c r="B14" i="4"/>
  <c r="M14" i="4" s="1"/>
  <c r="D8" i="4"/>
  <c r="K8" i="4" s="1"/>
  <c r="U21" i="28"/>
  <c r="R30" i="28"/>
  <c r="V30" i="28" s="1"/>
  <c r="U37" i="28"/>
  <c r="A26" i="4"/>
  <c r="D26" i="4"/>
  <c r="K26" i="4" s="1"/>
  <c r="R35" i="28"/>
  <c r="S35" i="28" s="1"/>
  <c r="U35" i="28" s="1"/>
  <c r="B26" i="4"/>
  <c r="F26" i="4" s="1"/>
  <c r="A7" i="4"/>
  <c r="R24" i="28"/>
  <c r="S24" i="28" s="1"/>
  <c r="U24" i="28" s="1"/>
  <c r="T23" i="28"/>
  <c r="K7" i="4" s="1"/>
  <c r="B7" i="4"/>
  <c r="G7" i="4" s="1"/>
  <c r="B8" i="4"/>
  <c r="E8" i="4" s="1"/>
  <c r="R23" i="28"/>
  <c r="V23" i="28" s="1"/>
  <c r="A8" i="4"/>
  <c r="B12" i="4"/>
  <c r="F12" i="4" s="1"/>
  <c r="D9" i="4"/>
  <c r="U40" i="28"/>
  <c r="S38" i="28"/>
  <c r="U38" i="28" s="1"/>
  <c r="S22" i="28"/>
  <c r="U22" i="28" s="1"/>
  <c r="B9" i="4"/>
  <c r="G9" i="4" s="1"/>
  <c r="S25" i="28"/>
  <c r="A9" i="4"/>
  <c r="T25" i="28"/>
  <c r="A25" i="4"/>
  <c r="D25" i="4"/>
  <c r="K25" i="4" s="1"/>
  <c r="B25" i="4"/>
  <c r="E25" i="4" s="1"/>
  <c r="S41" i="28"/>
  <c r="U41" i="28" s="1"/>
  <c r="D11" i="4"/>
  <c r="K11" i="4" s="1"/>
  <c r="A33" i="4"/>
  <c r="D33" i="4"/>
  <c r="K33" i="4" s="1"/>
  <c r="T42" i="28"/>
  <c r="B33" i="4"/>
  <c r="E33" i="4" s="1"/>
  <c r="A11" i="4"/>
  <c r="B11" i="4"/>
  <c r="G11" i="4" s="1"/>
  <c r="R27" i="28"/>
  <c r="S27" i="28" s="1"/>
  <c r="U27" i="28" s="1"/>
  <c r="D35" i="4"/>
  <c r="K35" i="4" s="1"/>
  <c r="B35" i="4"/>
  <c r="E35" i="4" s="1"/>
  <c r="A35" i="4"/>
  <c r="R34" i="28"/>
  <c r="V34" i="28" s="1"/>
  <c r="R26" i="28"/>
  <c r="S26" i="28" s="1"/>
  <c r="U26" i="28" s="1"/>
  <c r="A10" i="4"/>
  <c r="A12" i="4"/>
  <c r="B10" i="4"/>
  <c r="G10" i="4" s="1"/>
  <c r="D10" i="4"/>
  <c r="K10" i="4" s="1"/>
  <c r="D12" i="4"/>
  <c r="R28" i="28"/>
  <c r="V28" i="28" s="1"/>
  <c r="R44" i="28"/>
  <c r="V44" i="28" s="1"/>
  <c r="S39" i="28"/>
  <c r="U39" i="28" s="1"/>
  <c r="T30" i="8"/>
  <c r="K30" i="4"/>
  <c r="K29" i="4"/>
  <c r="K27" i="4"/>
  <c r="K32" i="4"/>
  <c r="K28" i="4"/>
  <c r="K15" i="4"/>
  <c r="K31" i="4"/>
  <c r="K6" i="4"/>
  <c r="T43" i="8"/>
  <c r="K34" i="4" s="1"/>
  <c r="U41" i="8"/>
  <c r="L18" i="4"/>
  <c r="E18" i="4"/>
  <c r="F38" i="4"/>
  <c r="I38" i="4" s="1"/>
  <c r="F18" i="4"/>
  <c r="I18" i="4" s="1"/>
  <c r="E38" i="4"/>
  <c r="M36" i="4"/>
  <c r="L36" i="4"/>
  <c r="M52" i="4"/>
  <c r="D8" i="5" s="1"/>
  <c r="D14" i="5"/>
  <c r="D37" i="4"/>
  <c r="I37" i="4"/>
  <c r="G37" i="4"/>
  <c r="H37" i="4"/>
  <c r="G17" i="4"/>
  <c r="D17" i="4"/>
  <c r="I17" i="4"/>
  <c r="H17" i="4"/>
  <c r="V26" i="27"/>
  <c r="U26" i="26"/>
  <c r="S24" i="22"/>
  <c r="U24" i="22" s="1"/>
  <c r="U25" i="23"/>
  <c r="U23" i="19"/>
  <c r="V24" i="27"/>
  <c r="U42" i="27"/>
  <c r="S26" i="21"/>
  <c r="U26" i="21" s="1"/>
  <c r="V21" i="8"/>
  <c r="S43" i="19"/>
  <c r="U43" i="19" s="1"/>
  <c r="U26" i="22"/>
  <c r="U26" i="23"/>
  <c r="U37" i="22"/>
  <c r="V38" i="8"/>
  <c r="M29" i="4" s="1"/>
  <c r="U36" i="27"/>
  <c r="S23" i="21"/>
  <c r="U23" i="21" s="1"/>
  <c r="S24" i="25"/>
  <c r="U24" i="25" s="1"/>
  <c r="S25" i="27"/>
  <c r="U25" i="27" s="1"/>
  <c r="S27" i="23"/>
  <c r="U27" i="23" s="1"/>
  <c r="S24" i="23"/>
  <c r="U24" i="23" s="1"/>
  <c r="S28" i="22"/>
  <c r="U28" i="22" s="1"/>
  <c r="V42" i="19"/>
  <c r="V42" i="21"/>
  <c r="S29" i="21"/>
  <c r="U29" i="21" s="1"/>
  <c r="S26" i="25"/>
  <c r="U26" i="25" s="1"/>
  <c r="V43" i="22"/>
  <c r="J60" i="5" s="1"/>
  <c r="U28" i="26"/>
  <c r="V36" i="23"/>
  <c r="D86" i="5" s="1"/>
  <c r="G32" i="4"/>
  <c r="V35" i="8"/>
  <c r="S42" i="24"/>
  <c r="U42" i="24" s="1"/>
  <c r="V43" i="24"/>
  <c r="J86" i="5" s="1"/>
  <c r="U35" i="19"/>
  <c r="F30" i="4"/>
  <c r="G28" i="4"/>
  <c r="S23" i="24"/>
  <c r="U23" i="24" s="1"/>
  <c r="V27" i="22"/>
  <c r="J59" i="5" s="1"/>
  <c r="E32" i="4"/>
  <c r="C28" i="4"/>
  <c r="S37" i="26"/>
  <c r="U37" i="26" s="1"/>
  <c r="E28" i="4"/>
  <c r="F28" i="4"/>
  <c r="H28" i="4"/>
  <c r="U37" i="23"/>
  <c r="C30" i="4"/>
  <c r="V39" i="8"/>
  <c r="M30" i="4" s="1"/>
  <c r="H32" i="4"/>
  <c r="C32" i="4"/>
  <c r="E30" i="4"/>
  <c r="U38" i="19"/>
  <c r="U36" i="25"/>
  <c r="S36" i="24"/>
  <c r="U36" i="24" s="1"/>
  <c r="S27" i="21"/>
  <c r="U27" i="21" s="1"/>
  <c r="U22" i="22"/>
  <c r="U29" i="8"/>
  <c r="V25" i="26"/>
  <c r="S25" i="26"/>
  <c r="U25" i="26" s="1"/>
  <c r="K5" i="4"/>
  <c r="S21" i="24"/>
  <c r="U21" i="24" s="1"/>
  <c r="V29" i="8"/>
  <c r="S24" i="21"/>
  <c r="U24" i="21" s="1"/>
  <c r="V27" i="19"/>
  <c r="J33" i="5" s="1"/>
  <c r="S27" i="19"/>
  <c r="U27" i="19" s="1"/>
  <c r="S25" i="21"/>
  <c r="U25" i="21" s="1"/>
  <c r="H30" i="4"/>
  <c r="S36" i="19"/>
  <c r="U36" i="19" s="1"/>
  <c r="V36" i="19"/>
  <c r="G30" i="4"/>
  <c r="S27" i="24"/>
  <c r="U27" i="24" s="1"/>
  <c r="S26" i="19"/>
  <c r="U26" i="19" s="1"/>
  <c r="U25" i="25"/>
  <c r="C34" i="4"/>
  <c r="S21" i="22"/>
  <c r="U21" i="22" s="1"/>
  <c r="S42" i="28"/>
  <c r="G34" i="4"/>
  <c r="S27" i="25"/>
  <c r="U27" i="25" s="1"/>
  <c r="S21" i="25"/>
  <c r="U21" i="25" s="1"/>
  <c r="V21" i="25"/>
  <c r="S21" i="23"/>
  <c r="U21" i="23" s="1"/>
  <c r="V21" i="23"/>
  <c r="D85" i="5" s="1"/>
  <c r="S43" i="26"/>
  <c r="U43" i="26" s="1"/>
  <c r="V43" i="26"/>
  <c r="J112" i="5" s="1"/>
  <c r="S26" i="24"/>
  <c r="U26" i="24" s="1"/>
  <c r="S36" i="28"/>
  <c r="U36" i="28" s="1"/>
  <c r="S27" i="27"/>
  <c r="U27" i="27" s="1"/>
  <c r="S24" i="26"/>
  <c r="U24" i="26" s="1"/>
  <c r="S40" i="8"/>
  <c r="U40" i="8" s="1"/>
  <c r="V40" i="8"/>
  <c r="V22" i="26"/>
  <c r="S22" i="26"/>
  <c r="U22" i="26" s="1"/>
  <c r="S25" i="19"/>
  <c r="U25" i="19" s="1"/>
  <c r="S23" i="25"/>
  <c r="U23" i="25" s="1"/>
  <c r="V23" i="25"/>
  <c r="V22" i="21"/>
  <c r="S22" i="21"/>
  <c r="U22" i="21" s="1"/>
  <c r="U38" i="24"/>
  <c r="S28" i="23"/>
  <c r="U28" i="23" s="1"/>
  <c r="S27" i="26"/>
  <c r="U27" i="26" s="1"/>
  <c r="S24" i="24"/>
  <c r="U24" i="24" s="1"/>
  <c r="S36" i="8"/>
  <c r="U36" i="8" s="1"/>
  <c r="V43" i="25"/>
  <c r="S43" i="25"/>
  <c r="U43" i="25" s="1"/>
  <c r="D138" i="5"/>
  <c r="U43" i="27"/>
  <c r="S28" i="24"/>
  <c r="U28" i="24" s="1"/>
  <c r="S22" i="24"/>
  <c r="U22" i="24" s="1"/>
  <c r="V25" i="24"/>
  <c r="J85" i="5" s="1"/>
  <c r="S25" i="24"/>
  <c r="U25" i="24" s="1"/>
  <c r="F27" i="4"/>
  <c r="C27" i="4"/>
  <c r="E27" i="4"/>
  <c r="M27" i="4"/>
  <c r="H27" i="4"/>
  <c r="G27" i="4"/>
  <c r="V41" i="25"/>
  <c r="S41" i="25"/>
  <c r="U41" i="25" s="1"/>
  <c r="H34" i="4"/>
  <c r="S35" i="21"/>
  <c r="U35" i="21" s="1"/>
  <c r="S37" i="8"/>
  <c r="U37" i="8" s="1"/>
  <c r="G29" i="4"/>
  <c r="H29" i="4"/>
  <c r="F29" i="4"/>
  <c r="C29" i="4"/>
  <c r="E29" i="4"/>
  <c r="S21" i="27"/>
  <c r="U21" i="27" s="1"/>
  <c r="S35" i="22"/>
  <c r="U35" i="22" s="1"/>
  <c r="S43" i="23"/>
  <c r="U43" i="23" s="1"/>
  <c r="C5" i="4"/>
  <c r="F5" i="4"/>
  <c r="E5" i="4"/>
  <c r="G5" i="4"/>
  <c r="S24" i="19"/>
  <c r="U24" i="19" s="1"/>
  <c r="S23" i="27"/>
  <c r="U23" i="27" s="1"/>
  <c r="V23" i="27"/>
  <c r="S29" i="23"/>
  <c r="U29" i="23" s="1"/>
  <c r="G6" i="4"/>
  <c r="H6" i="4"/>
  <c r="C6" i="4"/>
  <c r="F6" i="4"/>
  <c r="E6" i="4"/>
  <c r="S38" i="21"/>
  <c r="U38" i="21" s="1"/>
  <c r="V38" i="21"/>
  <c r="M28" i="4" s="1"/>
  <c r="G15" i="4"/>
  <c r="E15" i="4"/>
  <c r="C15" i="4"/>
  <c r="M15" i="4"/>
  <c r="H15" i="4"/>
  <c r="L15" i="4"/>
  <c r="F15" i="4"/>
  <c r="S28" i="8"/>
  <c r="I13" i="4"/>
  <c r="I33" i="4"/>
  <c r="K13" i="4"/>
  <c r="F34" i="4"/>
  <c r="M34" i="4"/>
  <c r="S39" i="22"/>
  <c r="U39" i="22" s="1"/>
  <c r="S21" i="21"/>
  <c r="U21" i="21" s="1"/>
  <c r="V21" i="21"/>
  <c r="S25" i="22"/>
  <c r="U25" i="22" s="1"/>
  <c r="S35" i="27"/>
  <c r="U35" i="27" s="1"/>
  <c r="S40" i="19"/>
  <c r="U40" i="19" s="1"/>
  <c r="S24" i="8"/>
  <c r="U24" i="8" s="1"/>
  <c r="M13" i="4"/>
  <c r="H13" i="4"/>
  <c r="F13" i="4"/>
  <c r="E13" i="4"/>
  <c r="C13" i="4"/>
  <c r="L13" i="4"/>
  <c r="G13" i="4"/>
  <c r="S22" i="25"/>
  <c r="U22" i="25" s="1"/>
  <c r="S29" i="28"/>
  <c r="U29" i="28" s="1"/>
  <c r="F31" i="4"/>
  <c r="H31" i="4"/>
  <c r="C31" i="4"/>
  <c r="E31" i="4"/>
  <c r="G31" i="4"/>
  <c r="S37" i="27"/>
  <c r="U37" i="27" s="1"/>
  <c r="D107" i="5" l="1"/>
  <c r="E107" i="5" s="1"/>
  <c r="J55" i="5"/>
  <c r="K55" i="5" s="1"/>
  <c r="E9" i="4"/>
  <c r="D55" i="5"/>
  <c r="E55" i="5" s="1"/>
  <c r="J107" i="5"/>
  <c r="K107" i="5" s="1"/>
  <c r="E132" i="5"/>
  <c r="D133" i="5"/>
  <c r="E133" i="5" s="1"/>
  <c r="J81" i="5"/>
  <c r="K81" i="5" s="1"/>
  <c r="K80" i="5"/>
  <c r="AD76" i="7"/>
  <c r="AE76" i="7"/>
  <c r="AB76" i="7"/>
  <c r="AC76" i="7"/>
  <c r="AO76" i="7"/>
  <c r="AN76" i="7"/>
  <c r="D29" i="5"/>
  <c r="E29" i="5" s="1"/>
  <c r="J29" i="5"/>
  <c r="K29" i="5" s="1"/>
  <c r="E14" i="4"/>
  <c r="K14" i="4"/>
  <c r="H14" i="4"/>
  <c r="G14" i="4"/>
  <c r="F14" i="4"/>
  <c r="C14" i="4"/>
  <c r="C8" i="4"/>
  <c r="F8" i="4"/>
  <c r="G8" i="4"/>
  <c r="U30" i="8"/>
  <c r="L14" i="4" s="1"/>
  <c r="V35" i="28"/>
  <c r="J138" i="5" s="1"/>
  <c r="U43" i="8"/>
  <c r="L34" i="4" s="1"/>
  <c r="L29" i="4"/>
  <c r="H26" i="4"/>
  <c r="C26" i="4"/>
  <c r="E26" i="4"/>
  <c r="G12" i="4"/>
  <c r="G26" i="4"/>
  <c r="F7" i="4"/>
  <c r="C7" i="4"/>
  <c r="K9" i="4"/>
  <c r="V24" i="28"/>
  <c r="M8" i="4" s="1"/>
  <c r="F35" i="4"/>
  <c r="H8" i="4"/>
  <c r="S23" i="28"/>
  <c r="U23" i="28" s="1"/>
  <c r="H9" i="4"/>
  <c r="C9" i="4"/>
  <c r="F9" i="4"/>
  <c r="E12" i="4"/>
  <c r="H12" i="4"/>
  <c r="M12" i="4"/>
  <c r="C12" i="4"/>
  <c r="H7" i="4"/>
  <c r="E7" i="4"/>
  <c r="U25" i="28"/>
  <c r="L9" i="4" s="1"/>
  <c r="H25" i="4"/>
  <c r="C25" i="4"/>
  <c r="F25" i="4"/>
  <c r="G25" i="4"/>
  <c r="M25" i="4"/>
  <c r="V27" i="28"/>
  <c r="M11" i="4" s="1"/>
  <c r="U42" i="28"/>
  <c r="S34" i="28"/>
  <c r="U34" i="28" s="1"/>
  <c r="L25" i="4" s="1"/>
  <c r="E10" i="4"/>
  <c r="G35" i="4"/>
  <c r="C33" i="4"/>
  <c r="V26" i="28"/>
  <c r="H33" i="4"/>
  <c r="G33" i="4"/>
  <c r="M33" i="4"/>
  <c r="L33" i="4"/>
  <c r="F33" i="4"/>
  <c r="H35" i="4"/>
  <c r="H11" i="4"/>
  <c r="C11" i="4"/>
  <c r="L30" i="4"/>
  <c r="C35" i="4"/>
  <c r="E11" i="4"/>
  <c r="F11" i="4"/>
  <c r="H10" i="4"/>
  <c r="C10" i="4"/>
  <c r="M35" i="4"/>
  <c r="F10" i="4"/>
  <c r="L35" i="4"/>
  <c r="S28" i="28"/>
  <c r="U28" i="28" s="1"/>
  <c r="L26" i="4"/>
  <c r="M6" i="4"/>
  <c r="M31" i="4"/>
  <c r="L10" i="4"/>
  <c r="M32" i="4"/>
  <c r="L8" i="4"/>
  <c r="M10" i="4"/>
  <c r="L32" i="4"/>
  <c r="L6" i="4"/>
  <c r="M5" i="4"/>
  <c r="I29" i="4"/>
  <c r="L28" i="4"/>
  <c r="L7" i="4"/>
  <c r="L11" i="4"/>
  <c r="L27" i="4"/>
  <c r="M7" i="4"/>
  <c r="L5" i="4"/>
  <c r="I10" i="4"/>
  <c r="L31" i="4"/>
  <c r="M9" i="4"/>
  <c r="I27" i="4"/>
  <c r="M26" i="4"/>
  <c r="I32" i="4"/>
  <c r="I9" i="4"/>
  <c r="I26" i="4"/>
  <c r="I5" i="4"/>
  <c r="I6" i="4"/>
  <c r="T28" i="8"/>
  <c r="K12" i="4" s="1"/>
  <c r="I28" i="4"/>
  <c r="I30" i="4"/>
  <c r="I11" i="4"/>
  <c r="I8" i="4"/>
  <c r="I31" i="4"/>
  <c r="G18" i="4"/>
  <c r="H18" i="4"/>
  <c r="G38" i="4"/>
  <c r="D38" i="4"/>
  <c r="D18" i="4"/>
  <c r="H38" i="4"/>
  <c r="J111" i="5"/>
  <c r="D137" i="5"/>
  <c r="D33" i="5"/>
  <c r="J34" i="5"/>
  <c r="D60" i="5"/>
  <c r="J99" i="5"/>
  <c r="D73" i="5"/>
  <c r="J73" i="5"/>
  <c r="J46" i="5"/>
  <c r="D59" i="5"/>
  <c r="J20" i="5"/>
  <c r="D34" i="5"/>
  <c r="D46" i="5"/>
  <c r="D112" i="5"/>
  <c r="D111" i="5"/>
  <c r="D99" i="5"/>
  <c r="J21" i="5"/>
  <c r="J98" i="5"/>
  <c r="D72" i="5"/>
  <c r="D98" i="5"/>
  <c r="D47" i="5"/>
  <c r="J125" i="5"/>
  <c r="D125" i="5"/>
  <c r="J47" i="5"/>
  <c r="J124" i="5"/>
  <c r="D124" i="5"/>
  <c r="J72" i="5"/>
  <c r="D21" i="5" l="1"/>
  <c r="I12" i="4"/>
  <c r="U28" i="8"/>
  <c r="D20" i="5" s="1"/>
  <c r="I7" i="4"/>
  <c r="J137" i="5"/>
  <c r="I25" i="4"/>
  <c r="L12" i="4"/>
  <c r="L21" i="4" s="1"/>
  <c r="M5" i="5" s="1"/>
  <c r="M41" i="4"/>
  <c r="D6" i="5" s="1"/>
  <c r="L41" i="4"/>
  <c r="M6" i="5" s="1"/>
  <c r="M21" i="4"/>
  <c r="D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Q3" authorId="0" shapeId="0" xr:uid="{00000000-0006-0000-0100-000001000000}">
      <text>
        <r>
          <rPr>
            <sz val="9"/>
            <color indexed="81"/>
            <rFont val="Tahoma"/>
            <family val="2"/>
          </rPr>
          <t>Maximum from all plant locations.</t>
        </r>
      </text>
    </comment>
    <comment ref="I34" authorId="0" shapeId="0" xr:uid="{00000000-0006-0000-01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49" authorId="0" shapeId="0" xr:uid="{00000000-0006-0000-01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65" authorId="0" shapeId="0" xr:uid="{00000000-0006-0000-01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81" authorId="0" shapeId="0" xr:uid="{00000000-0006-0000-01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97" authorId="0" shapeId="0" xr:uid="{00000000-0006-0000-01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13" authorId="0" shapeId="0" xr:uid="{00000000-0006-0000-01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29" authorId="0" shapeId="0" xr:uid="{00000000-0006-0000-01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45" authorId="0" shapeId="0" xr:uid="{00000000-0006-0000-01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61" authorId="0" shapeId="0" xr:uid="{00000000-0006-0000-01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78" authorId="0" shapeId="0" xr:uid="{00000000-0006-0000-01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Q3" authorId="0" shapeId="0" xr:uid="{00000000-0006-0000-0200-000001000000}">
      <text>
        <r>
          <rPr>
            <sz val="9"/>
            <color indexed="81"/>
            <rFont val="Tahoma"/>
            <family val="2"/>
          </rPr>
          <t>Maximum from all plant locations.</t>
        </r>
      </text>
    </comment>
    <comment ref="I34" authorId="0" shapeId="0" xr:uid="{00000000-0006-0000-02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51" authorId="0" shapeId="0" xr:uid="{00000000-0006-0000-02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66" authorId="0" shapeId="0" xr:uid="{00000000-0006-0000-02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82" authorId="0" shapeId="0" xr:uid="{00000000-0006-0000-02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98" authorId="0" shapeId="0" xr:uid="{00000000-0006-0000-02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14" authorId="0" shapeId="0" xr:uid="{00000000-0006-0000-02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30" authorId="0" shapeId="0" xr:uid="{00000000-0006-0000-02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46" authorId="0" shapeId="0" xr:uid="{00000000-0006-0000-02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62" authorId="0" shapeId="0" xr:uid="{00000000-0006-0000-02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78" authorId="0" shapeId="0" xr:uid="{00000000-0006-0000-02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Q3" authorId="0" shapeId="0" xr:uid="{00000000-0006-0000-0300-000001000000}">
      <text>
        <r>
          <rPr>
            <sz val="9"/>
            <color indexed="81"/>
            <rFont val="Tahoma"/>
            <family val="2"/>
          </rPr>
          <t>Maximum from all plant locations.</t>
        </r>
      </text>
    </comment>
    <comment ref="I34" authorId="0" shapeId="0" xr:uid="{00000000-0006-0000-03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50" authorId="0" shapeId="0" xr:uid="{00000000-0006-0000-03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67" authorId="0" shapeId="0" xr:uid="{00000000-0006-0000-03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83" authorId="0" shapeId="0" xr:uid="{00000000-0006-0000-03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99" authorId="0" shapeId="0" xr:uid="{00000000-0006-0000-03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15" authorId="0" shapeId="0" xr:uid="{00000000-0006-0000-03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31" authorId="0" shapeId="0" xr:uid="{00000000-0006-0000-03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47" authorId="0" shapeId="0" xr:uid="{00000000-0006-0000-03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63" authorId="0" shapeId="0" xr:uid="{00000000-0006-0000-03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79" authorId="0" shapeId="0" xr:uid="{00000000-0006-0000-03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Q3" authorId="0" shapeId="0" xr:uid="{00000000-0006-0000-0400-000001000000}">
      <text>
        <r>
          <rPr>
            <sz val="9"/>
            <color indexed="81"/>
            <rFont val="Tahoma"/>
            <family val="2"/>
          </rPr>
          <t>Maximum from all plant locations.</t>
        </r>
      </text>
    </comment>
    <comment ref="I34" authorId="0" shapeId="0" xr:uid="{00000000-0006-0000-04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50" authorId="0" shapeId="0" xr:uid="{00000000-0006-0000-04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67" authorId="0" shapeId="0" xr:uid="{00000000-0006-0000-04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83" authorId="0" shapeId="0" xr:uid="{00000000-0006-0000-04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99" authorId="0" shapeId="0" xr:uid="{00000000-0006-0000-04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15" authorId="0" shapeId="0" xr:uid="{00000000-0006-0000-04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31" authorId="0" shapeId="0" xr:uid="{00000000-0006-0000-04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47" authorId="0" shapeId="0" xr:uid="{00000000-0006-0000-04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63" authorId="0" shapeId="0" xr:uid="{00000000-0006-0000-04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79" authorId="0" shapeId="0" xr:uid="{00000000-0006-0000-04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Q3" authorId="0" shapeId="0" xr:uid="{00000000-0006-0000-0500-000001000000}">
      <text>
        <r>
          <rPr>
            <sz val="9"/>
            <color indexed="81"/>
            <rFont val="Tahoma"/>
            <family val="2"/>
          </rPr>
          <t>Maximum from all plant locations.</t>
        </r>
      </text>
    </comment>
    <comment ref="I34" authorId="0" shapeId="0" xr:uid="{00000000-0006-0000-05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50" authorId="0" shapeId="0" xr:uid="{00000000-0006-0000-05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67" authorId="0" shapeId="0" xr:uid="{00000000-0006-0000-05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83" authorId="0" shapeId="0" xr:uid="{00000000-0006-0000-05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99" authorId="0" shapeId="0" xr:uid="{00000000-0006-0000-05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15" authorId="0" shapeId="0" xr:uid="{00000000-0006-0000-05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31" authorId="0" shapeId="0" xr:uid="{00000000-0006-0000-05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47" authorId="0" shapeId="0" xr:uid="{00000000-0006-0000-05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63" authorId="0" shapeId="0" xr:uid="{00000000-0006-0000-05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79" authorId="0" shapeId="0" xr:uid="{00000000-0006-0000-05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Q3" authorId="0" shapeId="0" xr:uid="{00000000-0006-0000-0600-000001000000}">
      <text>
        <r>
          <rPr>
            <sz val="9"/>
            <color indexed="81"/>
            <rFont val="Tahoma"/>
            <family val="2"/>
          </rPr>
          <t>Maximum from all plant locations.</t>
        </r>
      </text>
    </comment>
    <comment ref="I34" authorId="0" shapeId="0" xr:uid="{00000000-0006-0000-06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50" authorId="0" shapeId="0" xr:uid="{00000000-0006-0000-06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66" authorId="0" shapeId="0" xr:uid="{00000000-0006-0000-06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83" authorId="0" shapeId="0" xr:uid="{00000000-0006-0000-06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99" authorId="0" shapeId="0" xr:uid="{00000000-0006-0000-06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15" authorId="0" shapeId="0" xr:uid="{00000000-0006-0000-06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31" authorId="0" shapeId="0" xr:uid="{00000000-0006-0000-06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47" authorId="0" shapeId="0" xr:uid="{00000000-0006-0000-06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63" authorId="0" shapeId="0" xr:uid="{00000000-0006-0000-06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79" authorId="0" shapeId="0" xr:uid="{00000000-0006-0000-06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Q3" authorId="0" shapeId="0" xr:uid="{00000000-0006-0000-0700-000001000000}">
      <text>
        <r>
          <rPr>
            <sz val="9"/>
            <color indexed="81"/>
            <rFont val="Tahoma"/>
            <family val="2"/>
          </rPr>
          <t>Maximum from all plant locations.</t>
        </r>
      </text>
    </comment>
    <comment ref="I34" authorId="0" shapeId="0" xr:uid="{00000000-0006-0000-07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50" authorId="0" shapeId="0" xr:uid="{00000000-0006-0000-07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66" authorId="0" shapeId="0" xr:uid="{00000000-0006-0000-07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82" authorId="0" shapeId="0" xr:uid="{00000000-0006-0000-07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98" authorId="0" shapeId="0" xr:uid="{00000000-0006-0000-07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15" authorId="0" shapeId="0" xr:uid="{00000000-0006-0000-07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31" authorId="0" shapeId="0" xr:uid="{00000000-0006-0000-07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47" authorId="0" shapeId="0" xr:uid="{00000000-0006-0000-07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63" authorId="0" shapeId="0" xr:uid="{00000000-0006-0000-07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79" authorId="0" shapeId="0" xr:uid="{00000000-0006-0000-07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Q3" authorId="0" shapeId="0" xr:uid="{00000000-0006-0000-0800-000001000000}">
      <text>
        <r>
          <rPr>
            <sz val="9"/>
            <color indexed="81"/>
            <rFont val="Tahoma"/>
            <family val="2"/>
          </rPr>
          <t>Maximum from all plant locations.</t>
        </r>
      </text>
    </comment>
    <comment ref="I34" authorId="0" shapeId="0" xr:uid="{00000000-0006-0000-08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50" authorId="0" shapeId="0" xr:uid="{00000000-0006-0000-08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66" authorId="0" shapeId="0" xr:uid="{00000000-0006-0000-08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82" authorId="0" shapeId="0" xr:uid="{00000000-0006-0000-08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98" authorId="0" shapeId="0" xr:uid="{00000000-0006-0000-08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15" authorId="0" shapeId="0" xr:uid="{00000000-0006-0000-08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31" authorId="0" shapeId="0" xr:uid="{00000000-0006-0000-08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47" authorId="0" shapeId="0" xr:uid="{00000000-0006-0000-08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63" authorId="0" shapeId="0" xr:uid="{00000000-0006-0000-08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79" authorId="0" shapeId="0" xr:uid="{00000000-0006-0000-08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Q3" authorId="0" shapeId="0" xr:uid="{00000000-0006-0000-0900-000001000000}">
      <text>
        <r>
          <rPr>
            <sz val="9"/>
            <color indexed="81"/>
            <rFont val="Tahoma"/>
            <family val="2"/>
          </rPr>
          <t>Maximum from all plant locations.</t>
        </r>
      </text>
    </comment>
    <comment ref="I34" authorId="0" shapeId="0" xr:uid="{00000000-0006-0000-09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50" authorId="0" shapeId="0" xr:uid="{00000000-0006-0000-09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66" authorId="0" shapeId="0" xr:uid="{00000000-0006-0000-09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82" authorId="0" shapeId="0" xr:uid="{00000000-0006-0000-09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98" authorId="0" shapeId="0" xr:uid="{00000000-0006-0000-09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14" authorId="0" shapeId="0" xr:uid="{00000000-0006-0000-09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30" authorId="0" shapeId="0" xr:uid="{00000000-0006-0000-09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46" authorId="0" shapeId="0" xr:uid="{00000000-0006-0000-09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62" authorId="0" shapeId="0" xr:uid="{00000000-0006-0000-09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78" authorId="0" shapeId="0" xr:uid="{00000000-0006-0000-09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Q3" authorId="0" shapeId="0" xr:uid="{00000000-0006-0000-0A00-000001000000}">
      <text>
        <r>
          <rPr>
            <sz val="9"/>
            <color indexed="81"/>
            <rFont val="Tahoma"/>
            <family val="2"/>
          </rPr>
          <t>Maximum from all plant locations.</t>
        </r>
      </text>
    </comment>
    <comment ref="I34" authorId="0" shapeId="0" xr:uid="{00000000-0006-0000-0A00-000002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49" authorId="0" shapeId="0" xr:uid="{00000000-0006-0000-0A00-000003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65" authorId="0" shapeId="0" xr:uid="{00000000-0006-0000-0A00-000004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81" authorId="0" shapeId="0" xr:uid="{00000000-0006-0000-0A00-000005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97" authorId="0" shapeId="0" xr:uid="{00000000-0006-0000-0A00-000006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13" authorId="0" shapeId="0" xr:uid="{00000000-0006-0000-0A00-000007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29" authorId="0" shapeId="0" xr:uid="{00000000-0006-0000-0A00-000008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45" authorId="0" shapeId="0" xr:uid="{00000000-0006-0000-0A00-000009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62" authorId="0" shapeId="0" xr:uid="{00000000-0006-0000-0A00-00000A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 ref="I178" authorId="0" shapeId="0" xr:uid="{00000000-0006-0000-0A00-00000B000000}">
      <text>
        <r>
          <rPr>
            <sz val="9"/>
            <color indexed="81"/>
            <rFont val="Tahoma"/>
            <family val="2"/>
          </rPr>
          <t>The emission unit number must be the county number followed by the site within the county and end in S. For example, your first site in Adair County would have emission unit number 01-01-S, and a second site in Adair County would be 01-02-S. Your first site in Adams County would be 02-01-S.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C6" authorId="0" shapeId="0" xr:uid="{00000000-0006-0000-0B00-000001000000}">
      <text>
        <r>
          <rPr>
            <sz val="9"/>
            <color indexed="81"/>
            <rFont val="Calibri"/>
            <family val="2"/>
            <scheme val="minor"/>
          </rPr>
          <t>The emission point number should be the county number followed by the site within the county, then the letters HR and end with the haul road number at that site.  For example, the first haul road at the first site in Adair County would have an emission point number of 01-01-HR01, while the second haul road at the first site in Adair County would have an emission point number of 01-01-HR02.  The first haul road at the second site in Adair County would be 01-02-HR01 and the second haul road at the second site in Adair County would be 01-02-HR02 and so on and so forth.  The first two digits of the emission point number represent the county number.  In this example, Adair County is “01” because it is the first county in alphabetical order.  The numbering scheme selected by the facility should remain constant across emissions inventory years to allow Iowa DNR to track emissions over time.</t>
        </r>
      </text>
    </comment>
    <comment ref="D6" authorId="0" shapeId="0" xr:uid="{00000000-0006-0000-0B00-000002000000}">
      <text>
        <r>
          <rPr>
            <sz val="9"/>
            <color indexed="81"/>
            <rFont val="Calibri"/>
            <family val="2"/>
          </rPr>
          <t>The emission unit number should be the county number followed by the site within the county, then the letters HR and end with the haul road number at that site.  For example, the first haul road at the first site in Adair County would have an emission unit number of 01-01-HR01, while the second haul road at the first site in Adair County would have an emission unit number of 01-01-HR02.  The first haul road at the second site in Adair County would be 01-02-HR01 and the second haul road at the second site in Adair County would be 01-02-HR02 and so on and so forth.  The first two digits of the emission unit number represent the county number.  In this example, Adair County is “01” because it is the first county in alphabetical order.  The numbering scheme selected by the facility should remain constant across emissions inventory years to allow Iowa DNR to track emissions over time.</t>
        </r>
      </text>
    </comment>
    <comment ref="G6" authorId="0" shapeId="0" xr:uid="{00000000-0006-0000-0B00-000003000000}">
      <text>
        <r>
          <rPr>
            <b/>
            <sz val="10"/>
            <color indexed="81"/>
            <rFont val="Calibri"/>
            <family val="2"/>
          </rPr>
          <t>Enter the average weight of all unloaded vehicles traveling on the road.</t>
        </r>
      </text>
    </comment>
    <comment ref="H6" authorId="0" shapeId="0" xr:uid="{00000000-0006-0000-0B00-000004000000}">
      <text>
        <r>
          <rPr>
            <b/>
            <sz val="10"/>
            <color indexed="81"/>
            <rFont val="Calibri"/>
            <family val="2"/>
          </rPr>
          <t>Enter the average weight of all loaded vehicles traveling on the road.</t>
        </r>
      </text>
    </comment>
    <comment ref="I6" authorId="0" shapeId="0" xr:uid="{00000000-0006-0000-0B00-000005000000}">
      <text>
        <r>
          <rPr>
            <b/>
            <sz val="10"/>
            <color indexed="81"/>
            <rFont val="Calibri"/>
            <family val="2"/>
          </rPr>
          <t>Enter the %.  If vehicles travel the same distance empty and full, this number should be entered as 50.</t>
        </r>
      </text>
    </comment>
    <comment ref="J6" authorId="0" shapeId="0" xr:uid="{00000000-0006-0000-0B00-000006000000}">
      <text>
        <r>
          <rPr>
            <sz val="9"/>
            <color indexed="81"/>
            <rFont val="Tahoma"/>
            <family val="2"/>
          </rPr>
          <t xml:space="preserve">Average Weight of the vehicle based on the distance traveled on site.
</t>
        </r>
      </text>
    </comment>
    <comment ref="L6" authorId="0" shapeId="0" xr:uid="{00000000-0006-0000-0B00-000007000000}">
      <text>
        <r>
          <rPr>
            <b/>
            <sz val="10"/>
            <color indexed="81"/>
            <rFont val="Calibri"/>
            <family val="2"/>
          </rPr>
          <t xml:space="preserve">Enter the length of the haul road round trip. </t>
        </r>
      </text>
    </comment>
    <comment ref="M6" authorId="0" shapeId="0" xr:uid="{00000000-0006-0000-0B00-000008000000}">
      <text>
        <r>
          <rPr>
            <sz val="9"/>
            <color indexed="81"/>
            <rFont val="Tahoma"/>
            <family val="2"/>
          </rPr>
          <t>Cubic yards/yr or cubic yards/day limits identified on the Concrete Plant tabs are converted to tons/yr limits.</t>
        </r>
      </text>
    </comment>
    <comment ref="N6" authorId="0" shapeId="0" xr:uid="{00000000-0006-0000-0B00-000009000000}">
      <text>
        <r>
          <rPr>
            <b/>
            <sz val="10"/>
            <color indexed="81"/>
            <rFont val="Calibri"/>
            <family val="2"/>
          </rPr>
          <t>If no permit limit (cubic yards/yr or cubic yards/day) exists, enter the maximum total annual throughput of the plant in tons.  Use the conversion tool above if needed.</t>
        </r>
      </text>
    </comment>
    <comment ref="O6" authorId="0" shapeId="0" xr:uid="{00000000-0006-0000-0B00-00000A000000}">
      <text>
        <r>
          <rPr>
            <b/>
            <sz val="10"/>
            <color indexed="81"/>
            <rFont val="Calibri"/>
            <family val="2"/>
          </rPr>
          <t>Enter the total tons of throughput. Use the conversion tool above if needed.</t>
        </r>
      </text>
    </comment>
    <comment ref="P6" authorId="0" shapeId="0" xr:uid="{00000000-0006-0000-0B00-00000B000000}">
      <text>
        <r>
          <rPr>
            <b/>
            <sz val="10"/>
            <color indexed="81"/>
            <rFont val="Calibri"/>
            <family val="2"/>
          </rPr>
          <t>Maximum Potential Annual Throughput divided by Mean Vehicle Weight.</t>
        </r>
      </text>
    </comment>
    <comment ref="Q6" authorId="0" shapeId="0" xr:uid="{00000000-0006-0000-0B00-00000C000000}">
      <text>
        <r>
          <rPr>
            <b/>
            <sz val="10"/>
            <color indexed="81"/>
            <rFont val="Calibri"/>
            <family val="2"/>
          </rPr>
          <t>Actual Annual Throughput divided by the Mean Vehicle Wight.</t>
        </r>
      </text>
    </comment>
    <comment ref="R6" authorId="0" shapeId="0" xr:uid="{00000000-0006-0000-0B00-00000D000000}">
      <text>
        <r>
          <rPr>
            <b/>
            <sz val="10"/>
            <color indexed="81"/>
            <rFont val="Calibri"/>
            <family val="2"/>
          </rPr>
          <t>Enter 4.8 for unpaved haul road and 12 for paved haul road.</t>
        </r>
      </text>
    </comment>
    <comment ref="S6" authorId="0" shapeId="0" xr:uid="{00000000-0006-0000-0B00-00000E000000}">
      <text>
        <r>
          <rPr>
            <b/>
            <sz val="10"/>
            <color indexed="81"/>
            <rFont val="Calibri"/>
            <family val="2"/>
          </rPr>
          <t>See Map - AP-42 Figure 13.2.1-2 for value.  100 may be entered as a default value.</t>
        </r>
      </text>
    </comment>
    <comment ref="T6" authorId="0" shapeId="0" xr:uid="{00000000-0006-0000-0B00-00000F000000}">
      <text>
        <r>
          <rPr>
            <b/>
            <sz val="10"/>
            <color indexed="81"/>
            <rFont val="Calibri"/>
            <family val="2"/>
          </rPr>
          <t>Choose "no" if uncontrolled or "yes" if controlled.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D6" authorId="0" shapeId="0" xr:uid="{00000000-0006-0000-0C00-000001000000}">
      <text>
        <r>
          <rPr>
            <sz val="9"/>
            <color indexed="81"/>
            <rFont val="Tahoma"/>
            <family val="2"/>
          </rPr>
          <t xml:space="preserve">If the construction permit cover page for a generator stack does not specify the emission point number, the emission point number should be entered as CP-1 GEN1 for the first generator at one portable concrete plant.  The second generator at the portable concrete plant should be CP-1 GEN2 and so on and so forth.  The first generator at the second portable plant would be CP-2 GEN1 and the second generator would be CP-2 GEN2 and so on and so forth.  If the construction permit cover page does specify the emission point number, that number should be entered in the emission point number column.  The numbering scheme selected by the facility should remain constant across emissions inventory years to allow Iowa DNR to track emissions over time.
</t>
        </r>
      </text>
    </comment>
    <comment ref="E6" authorId="0" shapeId="0" xr:uid="{00000000-0006-0000-0C00-000002000000}">
      <text>
        <r>
          <rPr>
            <sz val="9"/>
            <color indexed="81"/>
            <rFont val="Tahoma"/>
            <family val="2"/>
          </rPr>
          <t>If the construction permit cover page for a generator stack does not specify the emission unit number, the emission unit number should be entered as CP-1 GEN1 for the first generator at one portable concrete plant.  The second generator at the portable concrete plant should be CP-1 GEN2 and so on and so forth.  The first generator at the second portable plant would be CP-2 GEN1 and the second generator would be CP-2 GEN2 and so on and so forth.  If the construction permit cover page does specify the emission unit number, that number should be entered in the emission unit number column.  The numbering scheme selected by the facility should remain constant across emissions inventory years to allow Iowa DNR to track emissions over time.</t>
        </r>
      </text>
    </comment>
    <comment ref="I6" authorId="0" shapeId="0" xr:uid="{00000000-0006-0000-0C00-000003000000}">
      <text>
        <r>
          <rPr>
            <sz val="9"/>
            <color indexed="81"/>
            <rFont val="Tahoma"/>
            <family val="2"/>
          </rPr>
          <t xml:space="preserve">If the permit lists a gal/day fuel usage limit multiply by 365 to get a gal/yr usage limit. </t>
        </r>
      </text>
    </comment>
    <comment ref="J6" authorId="0" shapeId="0" xr:uid="{00000000-0006-0000-0C00-000004000000}">
      <text>
        <r>
          <rPr>
            <sz val="9"/>
            <color indexed="81"/>
            <rFont val="Tahoma"/>
            <family val="2"/>
          </rPr>
          <t>If a permit does not limit the sulfur content of the fuel burned in the generator, state rules limit the sulfur content to 0.5%.</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Jennifer Wittenburg</author>
  </authors>
  <commentList>
    <comment ref="H34" authorId="0" shapeId="0" xr:uid="{00000000-0006-0000-0F00-000001000000}">
      <text>
        <r>
          <rPr>
            <b/>
            <sz val="9"/>
            <color indexed="81"/>
            <rFont val="Tahoma"/>
            <family val="2"/>
          </rPr>
          <t xml:space="preserve">Emission Factor is 1.01(S) </t>
        </r>
        <r>
          <rPr>
            <sz val="9"/>
            <color indexed="81"/>
            <rFont val="Tahoma"/>
            <family val="2"/>
          </rPr>
          <t xml:space="preserve">
Where S = the sulfur content of the fuel oil. </t>
        </r>
      </text>
    </comment>
  </commentList>
</comments>
</file>

<file path=xl/sharedStrings.xml><?xml version="1.0" encoding="utf-8"?>
<sst xmlns="http://schemas.openxmlformats.org/spreadsheetml/2006/main" count="2040" uniqueCount="276">
  <si>
    <t>Process</t>
  </si>
  <si>
    <t>Emission Point #</t>
  </si>
  <si>
    <t>Units</t>
  </si>
  <si>
    <t>SO2</t>
  </si>
  <si>
    <t>Nox</t>
  </si>
  <si>
    <t>VOC</t>
  </si>
  <si>
    <t>CO</t>
  </si>
  <si>
    <t>Ammonia</t>
  </si>
  <si>
    <t>Formaldehyde</t>
  </si>
  <si>
    <t>SCC #</t>
  </si>
  <si>
    <t>Max Design Rate</t>
  </si>
  <si>
    <t>EP</t>
  </si>
  <si>
    <t>Description of Process</t>
  </si>
  <si>
    <t>Emission Factor</t>
  </si>
  <si>
    <t>Potential Annual Emissions (tons/yr)</t>
  </si>
  <si>
    <t>Control Efficiency</t>
  </si>
  <si>
    <t>PM2. 5</t>
  </si>
  <si>
    <t>PM10</t>
  </si>
  <si>
    <t>Actual Emissions (tons/yr)</t>
  </si>
  <si>
    <t>FACILITY-WIDE POTENTIAL EMISSIONS:</t>
  </si>
  <si>
    <t>FACILITY-WIDE ACTUAL EMISSIONS:</t>
  </si>
  <si>
    <t>Air Pollutant</t>
  </si>
  <si>
    <t>ID or CAS Number</t>
  </si>
  <si>
    <t>Tons/Yr</t>
  </si>
  <si>
    <t>PM-2.5</t>
  </si>
  <si>
    <t>PM-10</t>
  </si>
  <si>
    <t>7446-09-5</t>
  </si>
  <si>
    <t>NOx</t>
  </si>
  <si>
    <t>630-08-0</t>
  </si>
  <si>
    <t>50-00-0</t>
  </si>
  <si>
    <t>Total HAP</t>
  </si>
  <si>
    <t>FACILITY TOTALS:</t>
  </si>
  <si>
    <t>Units of Measure</t>
  </si>
  <si>
    <t>Unpaved Haul Road</t>
  </si>
  <si>
    <t>k=constant=1.5 for PM10 and 0.15 for PM2.5 (AP-42 Table 13.2.2-1)</t>
  </si>
  <si>
    <t>s= silt content (AP-42 Table 13.2.2-1)</t>
  </si>
  <si>
    <t>w= average vehicle weight</t>
  </si>
  <si>
    <t xml:space="preserve">Please fill in the yellow boxes as applicable for your facility. </t>
  </si>
  <si>
    <t>YES</t>
  </si>
  <si>
    <t>NO</t>
  </si>
  <si>
    <t>Storage Pile</t>
  </si>
  <si>
    <t>PM2.5 EF</t>
  </si>
  <si>
    <t>PM10 EF</t>
  </si>
  <si>
    <t>lbs/acre-day</t>
  </si>
  <si>
    <t>Diesel Generators</t>
  </si>
  <si>
    <t>lb/MMBtu</t>
  </si>
  <si>
    <t>IDNR Memo</t>
  </si>
  <si>
    <t>Source</t>
  </si>
  <si>
    <t>AP-42 Table 3.3-1</t>
  </si>
  <si>
    <t xml:space="preserve">Source </t>
  </si>
  <si>
    <t>AP-42 Table 3.3-2</t>
  </si>
  <si>
    <t>AP-42 Table 3.4-1</t>
  </si>
  <si>
    <t>AP-42 Table 3.4-3</t>
  </si>
  <si>
    <t>Benzene</t>
  </si>
  <si>
    <t>WebFIRE</t>
  </si>
  <si>
    <t>Stack Height (ft)</t>
  </si>
  <si>
    <t>Stack Diameter (inches)</t>
  </si>
  <si>
    <t>Exhaust Flowrate (acfm)</t>
  </si>
  <si>
    <t>Exhaust Temp (Degree F)</t>
  </si>
  <si>
    <t>%</t>
  </si>
  <si>
    <t>Permit Number</t>
  </si>
  <si>
    <t>Emission Unit #</t>
  </si>
  <si>
    <t>Haul Roads</t>
  </si>
  <si>
    <t>Emission Inventory - Initial</t>
  </si>
  <si>
    <t>Emission Inventory - Supplemental Information</t>
  </si>
  <si>
    <t>Less Than or Equal to 100</t>
  </si>
  <si>
    <t>Greater Than 100</t>
  </si>
  <si>
    <t>Max Hourly Rate (MMBtu/hr)</t>
  </si>
  <si>
    <t>p = number of days per year with at least 0.01 inches of precipitation (see map - AP-42 3.2.2 Figure 1)</t>
  </si>
  <si>
    <t>&amp; footnote f</t>
  </si>
  <si>
    <r>
      <t xml:space="preserve">Diesel Generator </t>
    </r>
    <r>
      <rPr>
        <sz val="11"/>
        <color indexed="8"/>
        <rFont val="Calibri"/>
        <family val="2"/>
      </rPr>
      <t xml:space="preserve">≤ </t>
    </r>
    <r>
      <rPr>
        <sz val="11"/>
        <color theme="1"/>
        <rFont val="Calibri"/>
        <family val="2"/>
        <scheme val="minor"/>
      </rPr>
      <t>600 bhp</t>
    </r>
  </si>
  <si>
    <t>Diesel Generator&gt; 600 bhp</t>
  </si>
  <si>
    <t>Percent Sulfur:</t>
  </si>
  <si>
    <t>71-43-2</t>
  </si>
  <si>
    <t>FACILITY WIDE EMISSIONS SUMMARY:</t>
  </si>
  <si>
    <t>EMISSION FACTORS</t>
  </si>
  <si>
    <t>Annual Throughput (MMBtu/yr)</t>
  </si>
  <si>
    <t>Please fill in the yellow boxes.</t>
  </si>
  <si>
    <t>Max Hourly Rate (gal/hr)</t>
  </si>
  <si>
    <t>Actual Sulfur Content of Fuel:</t>
  </si>
  <si>
    <t>Paved Haul Roads</t>
  </si>
  <si>
    <t>Emission Factor equation from AP-42, 13.2.2 (Nov 2006): EF = [(k) x [(s/12)^0.9] x [(W/3)^0.45] ]((365-p)/365)) lb/VMT</t>
  </si>
  <si>
    <t>Emission Factor equation from AP-42, 13.2.1 (Jan 2011): EF = [(k) x [(s^0.91] x [W^1.02]]x((1-(p/1460)) lb/VMT</t>
  </si>
  <si>
    <t>k=constant=0.0022 for PM10 and 0.00054 for PM2.5 (AP-42 Table 13.2.1-1)</t>
  </si>
  <si>
    <t>sL= road surface silt loading (AP-42 Table 13.2.1-3)</t>
  </si>
  <si>
    <t>Stock Pile Area</t>
  </si>
  <si>
    <t>Maximum Storage Area (acres)</t>
  </si>
  <si>
    <t>Actual Storage Area (acres)</t>
  </si>
  <si>
    <t>Actual Days in Existence (days)</t>
  </si>
  <si>
    <t>Site Name:</t>
  </si>
  <si>
    <t>County:</t>
  </si>
  <si>
    <t>Emission Unit Number</t>
  </si>
  <si>
    <t>Submittal Type:</t>
  </si>
  <si>
    <t>Facility Number:</t>
  </si>
  <si>
    <t>Facility Name:</t>
  </si>
  <si>
    <t>Mailing Address:</t>
  </si>
  <si>
    <t>City:</t>
  </si>
  <si>
    <t>Facility Contact:</t>
  </si>
  <si>
    <t>Email Address</t>
  </si>
  <si>
    <t>Parent Company:</t>
  </si>
  <si>
    <t>Parent Company Address:</t>
  </si>
  <si>
    <t>Parent Company Contact:</t>
  </si>
  <si>
    <t>Phone Number:</t>
  </si>
  <si>
    <t>State:</t>
  </si>
  <si>
    <t>Zip Code:</t>
  </si>
  <si>
    <t>Emisison Year:</t>
  </si>
  <si>
    <t>Number of State-Wide Company Employees:</t>
  </si>
  <si>
    <t>SIC Code:</t>
  </si>
  <si>
    <t>NAICS Code:</t>
  </si>
  <si>
    <t>Activity Description:</t>
  </si>
  <si>
    <t>PM2.5</t>
  </si>
  <si>
    <t>&gt;600 bhp</t>
  </si>
  <si>
    <t>Total Combined for all Generators &gt; 600 BHP:</t>
  </si>
  <si>
    <t>Round Trip Length of Haul Road (miles)</t>
  </si>
  <si>
    <t>HAUL ROADS</t>
  </si>
  <si>
    <t>PERMITTED DIESEL ENGINES</t>
  </si>
  <si>
    <t>Paved Haul Road</t>
  </si>
  <si>
    <t>Paved or Unpaved Haul Road</t>
  </si>
  <si>
    <t>Percent of Miles Vehicles Travel While Empty (%)</t>
  </si>
  <si>
    <t>Is dust supressant used to control emissions?</t>
  </si>
  <si>
    <r>
      <t xml:space="preserve">Average Vehicle Weight (tons) </t>
    </r>
    <r>
      <rPr>
        <b/>
        <sz val="11"/>
        <color indexed="10"/>
        <rFont val="Calibri"/>
        <family val="2"/>
      </rPr>
      <t>W</t>
    </r>
  </si>
  <si>
    <t>Average Load Weight (tons)</t>
  </si>
  <si>
    <t>Actual One-Way Trips Taken</t>
  </si>
  <si>
    <t>Potential One-Way Trips Taken</t>
  </si>
  <si>
    <r>
      <t xml:space="preserve">Days/Year with at least 0.01 inches of Precipitation </t>
    </r>
    <r>
      <rPr>
        <b/>
        <sz val="11"/>
        <color indexed="10"/>
        <rFont val="Calibri"/>
        <family val="2"/>
      </rPr>
      <t>P</t>
    </r>
  </si>
  <si>
    <r>
      <t>Road Surface Silt Loading (g/m</t>
    </r>
    <r>
      <rPr>
        <b/>
        <vertAlign val="superscript"/>
        <sz val="11"/>
        <color indexed="8"/>
        <rFont val="Calibri"/>
        <family val="2"/>
      </rPr>
      <t>2</t>
    </r>
    <r>
      <rPr>
        <b/>
        <sz val="11"/>
        <color indexed="8"/>
        <rFont val="Calibri"/>
        <family val="2"/>
      </rPr>
      <t xml:space="preserve">) </t>
    </r>
    <r>
      <rPr>
        <b/>
        <sz val="11"/>
        <color indexed="10"/>
        <rFont val="Calibri"/>
        <family val="2"/>
      </rPr>
      <t>S/sL</t>
    </r>
  </si>
  <si>
    <t>yes</t>
  </si>
  <si>
    <t>no</t>
  </si>
  <si>
    <t>PM10 Emission Factor (lb/vmt)</t>
  </si>
  <si>
    <t>PM2.5 Emission Factor (lb/vmt)</t>
  </si>
  <si>
    <t>Potential Controlled Emissions (lb/hr)</t>
  </si>
  <si>
    <t>Potential Emissions (lb/hr)</t>
  </si>
  <si>
    <t>Potential Emissions (tons/yr)</t>
  </si>
  <si>
    <t>Total actual PM2.5 emissions (tons/yr) from all unpaved haul roads used by the facility:</t>
  </si>
  <si>
    <t>Total actual PM2.5 emissions (tons/yr) from all paved haul roads used by the facility:</t>
  </si>
  <si>
    <t>Total actual PM10 emissions (tons/yr) from all unpaved haul roads used by the facility:</t>
  </si>
  <si>
    <t>Total actual PM10 emissions (tons/yr) from all paved haul roads used by the facility:</t>
  </si>
  <si>
    <t>Unpaved</t>
  </si>
  <si>
    <t>Paved</t>
  </si>
  <si>
    <t>lb/hr</t>
  </si>
  <si>
    <t>tons/yr</t>
  </si>
  <si>
    <t>Pollutant</t>
  </si>
  <si>
    <t>Processes</t>
  </si>
  <si>
    <t>Number of Plants with Permits:</t>
  </si>
  <si>
    <r>
      <t xml:space="preserve">Values used for calculating emissions </t>
    </r>
    <r>
      <rPr>
        <b/>
        <sz val="10"/>
        <color indexed="60"/>
        <rFont val="Calibri"/>
        <family val="2"/>
      </rPr>
      <t>→</t>
    </r>
  </si>
  <si>
    <t>Site 1</t>
  </si>
  <si>
    <t>Hours of Operation Limit (hours/day):</t>
  </si>
  <si>
    <t>Potential Uncontrolled Emissions (lb/hr)</t>
  </si>
  <si>
    <t>Actual Annual Emissions (tons/yr)</t>
  </si>
  <si>
    <t>Plant Specific Operating Limits:</t>
  </si>
  <si>
    <t>Plant Specific Emission Limits:</t>
  </si>
  <si>
    <t>Max Design Rate (acres/day)</t>
  </si>
  <si>
    <t>Emission Factor   (lb/acre-day)</t>
  </si>
  <si>
    <t>PM2.5/PM10</t>
  </si>
  <si>
    <t>Actual (acres-day/yr)</t>
  </si>
  <si>
    <t>Maximum (acres/day)</t>
  </si>
  <si>
    <t xml:space="preserve">Plant Specific Permit Number: </t>
  </si>
  <si>
    <t>Gal/Yr Plant Wide Limit</t>
  </si>
  <si>
    <t>Hours/Yr Plant Wide Limit</t>
  </si>
  <si>
    <t>FACILITY-WIDE EMISSION CALCULATIONS</t>
  </si>
  <si>
    <t>Potential tpy</t>
  </si>
  <si>
    <t>Actual tpy</t>
  </si>
  <si>
    <t>Total potential PM2.5 emissions (tons/yr) from all unpaved haul roads used by the facility:</t>
  </si>
  <si>
    <t>Total potential PM2.5 emissions (tons/yr) from all paved haul roads used by the facility:</t>
  </si>
  <si>
    <t>Total potential PM10 emissions (tons/yr) from all unpaved haul roads used by the facility:</t>
  </si>
  <si>
    <t>Total potential PM10 emissions (tons/yr) from all paved haul roads used by the facility:</t>
  </si>
  <si>
    <t>POTENTIAL EMISSIONS:</t>
  </si>
  <si>
    <t>ACTUAL EMISSIONS:</t>
  </si>
  <si>
    <t>PLANT SPECIFIC EMISSIONS SUMMARIES:</t>
  </si>
  <si>
    <t>Emission Unit Description     (&gt;600 bhp / ≤ 600 bhp)</t>
  </si>
  <si>
    <t>PM2.5 Emission Factor (lb/MMBtu)</t>
  </si>
  <si>
    <t>PM10 Emission Factor (lb/MMBtu)</t>
  </si>
  <si>
    <t>SO2 Emission Factor (lb/MMBtu)</t>
  </si>
  <si>
    <t>Sulfur Content</t>
  </si>
  <si>
    <t>Sulfur Content Limit (%)</t>
  </si>
  <si>
    <r>
      <t xml:space="preserve">Diesel Generator </t>
    </r>
    <r>
      <rPr>
        <sz val="9"/>
        <color indexed="8"/>
        <rFont val="Calibri"/>
        <family val="2"/>
      </rPr>
      <t xml:space="preserve">≤ </t>
    </r>
    <r>
      <rPr>
        <sz val="9"/>
        <color theme="1"/>
        <rFont val="Calibri"/>
        <family val="2"/>
        <scheme val="minor"/>
      </rPr>
      <t>600 bhp</t>
    </r>
  </si>
  <si>
    <t>NOx Emission Factor (lb/MMBtu)</t>
  </si>
  <si>
    <t>CO Emission Factor (lb/MMBtu)</t>
  </si>
  <si>
    <t>VOC Emission Factor (lb/MMBtu)</t>
  </si>
  <si>
    <t>Formaldehyde Emission Factor (lb/MMBtu)</t>
  </si>
  <si>
    <t>Benzene Emission Factor (lb/MMBtu)</t>
  </si>
  <si>
    <t>Emission     Unit #</t>
  </si>
  <si>
    <t>Total Combined for all Generators ≤ 600 BHP:</t>
  </si>
  <si>
    <t>Stack Type</t>
  </si>
  <si>
    <t>Downward</t>
  </si>
  <si>
    <t>Horizontal</t>
  </si>
  <si>
    <t>Vertical w/o obstruction</t>
  </si>
  <si>
    <t>Vertical w/ obstruction</t>
  </si>
  <si>
    <t>Site Name</t>
  </si>
  <si>
    <t>Ready Mixed Concrete</t>
  </si>
  <si>
    <t>PORTABLE CONCRETE BATCHING PLANT</t>
  </si>
  <si>
    <t>Aggregate Delivery to Ground Storage</t>
  </si>
  <si>
    <t>Sand Delivery to Ground Storage</t>
  </si>
  <si>
    <t>Aggregate Transfer to Conveyor</t>
  </si>
  <si>
    <t>Sand Transfer to Conveyor</t>
  </si>
  <si>
    <t>Aggregate Transfer to Elevated Storage</t>
  </si>
  <si>
    <t>Sand Transfer to Elevated Storage</t>
  </si>
  <si>
    <t>Central Mix Loading</t>
  </si>
  <si>
    <t>Truck Mix Loading</t>
  </si>
  <si>
    <t>Cement Delivery to Silo</t>
  </si>
  <si>
    <t>Cement Supplement Delivery to Silo</t>
  </si>
  <si>
    <t>Batch Plant</t>
  </si>
  <si>
    <t>Batching Period (Dates):</t>
  </si>
  <si>
    <t>Weigh Hopper Loading</t>
  </si>
  <si>
    <t>Throughput Limit (cubic yards/yr):</t>
  </si>
  <si>
    <t>Daily Throughput Limit (cubic yards/day):</t>
  </si>
  <si>
    <t>Concrete Batch</t>
  </si>
  <si>
    <t>lb/cu yd</t>
  </si>
  <si>
    <t>AP-42 Table 11.12-5/6 &amp; Appendix B.2 Table B.2-2 Cat 3</t>
  </si>
  <si>
    <t>AP-42 Table 11.12-5</t>
  </si>
  <si>
    <t>controlled</t>
  </si>
  <si>
    <t>AP-42 Table 11.12-3/4 &amp; Equation 11.12-2</t>
  </si>
  <si>
    <t>WebFIRE SCC# 30502507</t>
  </si>
  <si>
    <t>Concrete Plant Number              (i.e., CP-1)</t>
  </si>
  <si>
    <t>Concrete Plant #</t>
  </si>
  <si>
    <t>CONCRETE BATCH PLANT (CP-5)</t>
  </si>
  <si>
    <t>CONCRETE BATCH PLANT (CP-6)</t>
  </si>
  <si>
    <t>CONCRETE BATCH PLANT (CP-7)</t>
  </si>
  <si>
    <t>CONCRETE BATCH PLANT (CP-8)</t>
  </si>
  <si>
    <t>CONCRETE BATCH PLANT (CP-9)</t>
  </si>
  <si>
    <t>CONCRETE BATCH PLANT (CP-10)</t>
  </si>
  <si>
    <t>CONCRETE BATCH PLANT (CP-4)</t>
  </si>
  <si>
    <t>CONCRETE BATCH PLANT (CP-3)</t>
  </si>
  <si>
    <t>CONCRETE BATCH PLANT (CP-2)</t>
  </si>
  <si>
    <t>CONCRETE BATCH PLANT (CP-1)</t>
  </si>
  <si>
    <t>CP-1</t>
  </si>
  <si>
    <t>CP-2</t>
  </si>
  <si>
    <t>CP-3</t>
  </si>
  <si>
    <t>CP-4</t>
  </si>
  <si>
    <t>CP-5</t>
  </si>
  <si>
    <t>CP-6</t>
  </si>
  <si>
    <t>CP-7</t>
  </si>
  <si>
    <t>CP-8</t>
  </si>
  <si>
    <t>CP-9</t>
  </si>
  <si>
    <t>CP-10</t>
  </si>
  <si>
    <t xml:space="preserve"> </t>
  </si>
  <si>
    <t>Note: be sure to enable macros when prompted.</t>
  </si>
  <si>
    <t>Emission Point Number</t>
  </si>
  <si>
    <t>≤ 600 BHP</t>
  </si>
  <si>
    <t>&gt; 600 BHP</t>
  </si>
  <si>
    <t>Emission Factor (lb/cubic yard)</t>
  </si>
  <si>
    <t>Combined Maximum Hourly Design Rate for all Like Processes (cubic yard/hr)</t>
  </si>
  <si>
    <t>Maximum Design Rate (cubic yards/hr)</t>
  </si>
  <si>
    <t>Actual throughput (cubic yards/yr)</t>
  </si>
  <si>
    <t>Convert:</t>
  </si>
  <si>
    <t>yd3/day</t>
  </si>
  <si>
    <t>ton/yr</t>
  </si>
  <si>
    <t>=</t>
  </si>
  <si>
    <t>yd3/yr</t>
  </si>
  <si>
    <t>542-0252</t>
  </si>
  <si>
    <t>Truck</t>
  </si>
  <si>
    <t>Central</t>
  </si>
  <si>
    <t>** As of 2016 Potential Emissions are no longer required to be reported in the Minor Source Emissions Inventory**</t>
  </si>
  <si>
    <t>Values Used to CalculateActual Emissions for the Listed Processes at this Plant</t>
  </si>
  <si>
    <t>Actual Emissions for the Listed Processes at this Plant</t>
  </si>
  <si>
    <t>Values Used to Calculate Actual Emissions for the Listed Processes at this Plant</t>
  </si>
  <si>
    <t>Source of Emission Factor</t>
  </si>
  <si>
    <t>Uncontrolled Emissions(lb/hr)</t>
  </si>
  <si>
    <t xml:space="preserve">Potential Hourly </t>
  </si>
  <si>
    <t>Potential Hourly</t>
  </si>
  <si>
    <t>Controlled Emissions (lb/hr)</t>
  </si>
  <si>
    <t>Emissions (tons/yr)</t>
  </si>
  <si>
    <t xml:space="preserve">Potential Annual </t>
  </si>
  <si>
    <t>Actual</t>
  </si>
  <si>
    <t>Avg Vehicle Wt. Empty (unloaded) (tons)</t>
  </si>
  <si>
    <t>Avg Vehicle Wt. Full (loaded) (tons)</t>
  </si>
  <si>
    <t>Annual Throughput Permit Limit (tons/yr)</t>
  </si>
  <si>
    <t>Maximum Annual Throughput (tons/yr)</t>
  </si>
  <si>
    <t>Actual Annual Throughput (tons/yr)</t>
  </si>
  <si>
    <t>Note: if the plant has an hrs/day and a cubic yards/hr permit limit,</t>
  </si>
  <si>
    <t>yards/day limit and that value should be placed in cell C10.</t>
  </si>
  <si>
    <t xml:space="preserve">those values should be multiplied together to calculate a cubic </t>
  </si>
  <si>
    <t xml:space="preserve">Enter the Year for which you are calculating emissions,  </t>
  </si>
  <si>
    <t>usually the previous calendar year.</t>
  </si>
  <si>
    <t>&lt;------</t>
  </si>
  <si>
    <t>Last Updated 4-13-21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</si>
</sst>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
    <numFmt numFmtId="166" formatCode="0.000"/>
    <numFmt numFmtId="167" formatCode="0.000000"/>
    <numFmt numFmtId="168" formatCode="0.00000"/>
    <numFmt numFmtId="169" formatCode="#,##0.0000"/>
  </numFmts>
  <fonts count="47" x14ac:knownFonts="1">
    <font>
      <sz val="11"/>
      <color theme="1"/>
      <name val="Calibri"/>
      <family val="2"/>
      <scheme val="minor"/>
    </font>
    <font>
      <sz val="8"/>
      <name val="Arial"/>
      <family val="2"/>
    </font>
    <font>
      <sz val="10"/>
      <name val="Arial"/>
      <family val="2"/>
    </font>
    <font>
      <sz val="11"/>
      <color indexed="8"/>
      <name val="Calibri"/>
      <family val="2"/>
    </font>
    <font>
      <sz val="9"/>
      <color indexed="81"/>
      <name val="Tahoma"/>
      <family val="2"/>
    </font>
    <font>
      <b/>
      <sz val="9"/>
      <color indexed="81"/>
      <name val="Tahoma"/>
      <family val="2"/>
    </font>
    <font>
      <b/>
      <sz val="9"/>
      <name val="Arial"/>
      <family val="2"/>
    </font>
    <font>
      <sz val="9"/>
      <name val="Arial"/>
      <family val="2"/>
    </font>
    <font>
      <b/>
      <sz val="11"/>
      <color indexed="8"/>
      <name val="Calibri"/>
      <family val="2"/>
    </font>
    <font>
      <b/>
      <vertAlign val="superscript"/>
      <sz val="11"/>
      <color indexed="8"/>
      <name val="Calibri"/>
      <family val="2"/>
    </font>
    <font>
      <b/>
      <sz val="11"/>
      <color indexed="10"/>
      <name val="Calibri"/>
      <family val="2"/>
    </font>
    <font>
      <b/>
      <sz val="10"/>
      <color indexed="81"/>
      <name val="Calibri"/>
      <family val="2"/>
    </font>
    <font>
      <b/>
      <sz val="10"/>
      <color indexed="60"/>
      <name val="Calibri"/>
      <family val="2"/>
    </font>
    <font>
      <b/>
      <sz val="11"/>
      <color theme="1"/>
      <name val="Calibri"/>
      <family val="2"/>
      <scheme val="minor"/>
    </font>
    <font>
      <sz val="11"/>
      <color rgb="FF000000"/>
      <name val="Calibri"/>
      <family val="2"/>
      <scheme val="minor"/>
    </font>
    <font>
      <sz val="10"/>
      <color theme="1"/>
      <name val="Calibri"/>
      <family val="2"/>
      <scheme val="minor"/>
    </font>
    <font>
      <b/>
      <sz val="12"/>
      <color rgb="FFFF0000"/>
      <name val="Calibri"/>
      <family val="2"/>
      <scheme val="minor"/>
    </font>
    <font>
      <i/>
      <sz val="11"/>
      <color theme="1"/>
      <name val="Calibri"/>
      <family val="2"/>
      <scheme val="minor"/>
    </font>
    <font>
      <sz val="9"/>
      <name val="Calibri"/>
      <family val="2"/>
      <scheme val="minor"/>
    </font>
    <font>
      <b/>
      <sz val="11"/>
      <color rgb="FF000000"/>
      <name val="Calibri"/>
      <family val="2"/>
      <scheme val="minor"/>
    </font>
    <font>
      <b/>
      <sz val="14"/>
      <color theme="1"/>
      <name val="Calibri"/>
      <family val="2"/>
      <scheme val="minor"/>
    </font>
    <font>
      <i/>
      <sz val="8"/>
      <color rgb="FFFF0000"/>
      <name val="Arial"/>
      <family val="2"/>
    </font>
    <font>
      <sz val="8"/>
      <color theme="1"/>
      <name val="Arial"/>
      <family val="2"/>
    </font>
    <font>
      <sz val="9"/>
      <color theme="1"/>
      <name val="Calibri"/>
      <family val="2"/>
      <scheme val="minor"/>
    </font>
    <font>
      <sz val="10"/>
      <color theme="1"/>
      <name val="Arial"/>
      <family val="2"/>
    </font>
    <font>
      <b/>
      <sz val="10"/>
      <color theme="1"/>
      <name val="Arial"/>
      <family val="2"/>
    </font>
    <font>
      <b/>
      <sz val="14"/>
      <name val="Calibri"/>
      <family val="2"/>
      <scheme val="minor"/>
    </font>
    <font>
      <sz val="11"/>
      <color theme="1"/>
      <name val="Arial"/>
      <family val="2"/>
    </font>
    <font>
      <sz val="9"/>
      <color theme="1"/>
      <name val="Arial"/>
      <family val="2"/>
    </font>
    <font>
      <b/>
      <sz val="11"/>
      <color theme="1"/>
      <name val="Arial"/>
      <family val="2"/>
    </font>
    <font>
      <b/>
      <sz val="9"/>
      <color theme="1"/>
      <name val="Arial"/>
      <family val="2"/>
    </font>
    <font>
      <b/>
      <sz val="10"/>
      <color theme="5" tint="-0.249977111117893"/>
      <name val="Arial"/>
      <family val="2"/>
    </font>
    <font>
      <b/>
      <sz val="12"/>
      <color theme="1"/>
      <name val="Calibri"/>
      <family val="2"/>
      <scheme val="minor"/>
    </font>
    <font>
      <sz val="8"/>
      <color rgb="FFFF0000"/>
      <name val="Calibri"/>
      <family val="2"/>
      <scheme val="minor"/>
    </font>
    <font>
      <b/>
      <sz val="10"/>
      <color theme="1"/>
      <name val="Calibri"/>
      <family val="2"/>
      <scheme val="minor"/>
    </font>
    <font>
      <sz val="9"/>
      <color indexed="8"/>
      <name val="Calibri"/>
      <family val="2"/>
    </font>
    <font>
      <sz val="10"/>
      <name val="Arial"/>
      <family val="2"/>
    </font>
    <font>
      <b/>
      <i/>
      <sz val="11"/>
      <color rgb="FF00B0F0"/>
      <name val="Calibri"/>
      <family val="2"/>
      <scheme val="minor"/>
    </font>
    <font>
      <sz val="9"/>
      <color indexed="81"/>
      <name val="Calibri"/>
      <family val="2"/>
    </font>
    <font>
      <sz val="9"/>
      <color indexed="81"/>
      <name val="Calibri"/>
      <family val="2"/>
      <scheme val="minor"/>
    </font>
    <font>
      <i/>
      <sz val="10"/>
      <color rgb="FFFF0000"/>
      <name val="Arial"/>
      <family val="2"/>
    </font>
    <font>
      <b/>
      <sz val="8"/>
      <color theme="1"/>
      <name val="Arial"/>
      <family val="2"/>
    </font>
    <font>
      <b/>
      <sz val="8"/>
      <color theme="1"/>
      <name val="Calibri"/>
      <family val="2"/>
      <scheme val="minor"/>
    </font>
    <font>
      <b/>
      <sz val="9"/>
      <color theme="1"/>
      <name val="Calibri"/>
      <family val="2"/>
      <scheme val="minor"/>
    </font>
    <font>
      <sz val="11"/>
      <color rgb="FFFF0000"/>
      <name val="Calibri"/>
      <family val="2"/>
      <scheme val="minor"/>
    </font>
    <font>
      <sz val="10"/>
      <color rgb="FFFF0000"/>
      <name val="Arial"/>
      <family val="2"/>
    </font>
    <font>
      <b/>
      <sz val="11"/>
      <color rgb="FFFF0000"/>
      <name val="Calibri"/>
      <family val="2"/>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s>
  <borders count="38">
    <border>
      <left/>
      <right/>
      <top/>
      <bottom/>
      <diagonal/>
    </border>
    <border>
      <left style="medium">
        <color auto="1"/>
      </left>
      <right style="thin">
        <color auto="1"/>
      </right>
      <top style="thin">
        <color auto="1"/>
      </top>
      <bottom/>
      <diagonal/>
    </border>
    <border>
      <left/>
      <right style="medium">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top style="thin">
        <color auto="1"/>
      </top>
      <bottom/>
      <diagonal/>
    </border>
    <border>
      <left/>
      <right style="thin">
        <color auto="1"/>
      </right>
      <top/>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thin">
        <color auto="1"/>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indexed="64"/>
      </top>
      <bottom style="thin">
        <color auto="1"/>
      </bottom>
      <diagonal/>
    </border>
    <border>
      <left/>
      <right style="thin">
        <color auto="1"/>
      </right>
      <top style="thin">
        <color auto="1"/>
      </top>
      <bottom/>
      <diagonal/>
    </border>
  </borders>
  <cellStyleXfs count="4">
    <xf numFmtId="0" fontId="0" fillId="0" borderId="0"/>
    <xf numFmtId="0" fontId="2" fillId="0" borderId="0"/>
    <xf numFmtId="9" fontId="2" fillId="0" borderId="0" applyFont="0" applyFill="0" applyBorder="0" applyAlignment="0" applyProtection="0"/>
    <xf numFmtId="0" fontId="36" fillId="0" borderId="0"/>
  </cellStyleXfs>
  <cellXfs count="406">
    <xf numFmtId="0" fontId="0" fillId="0" borderId="0" xfId="0"/>
    <xf numFmtId="0" fontId="0" fillId="0" borderId="1" xfId="0" applyBorder="1"/>
    <xf numFmtId="0" fontId="0" fillId="0" borderId="3" xfId="0" applyBorder="1"/>
    <xf numFmtId="0" fontId="0" fillId="0" borderId="4" xfId="0" applyBorder="1"/>
    <xf numFmtId="0" fontId="0" fillId="0" borderId="6" xfId="0" applyBorder="1" applyAlignment="1">
      <alignment horizontal="center"/>
    </xf>
    <xf numFmtId="0" fontId="0" fillId="0" borderId="7" xfId="0" applyBorder="1" applyAlignment="1">
      <alignment horizontal="center"/>
    </xf>
    <xf numFmtId="0" fontId="0" fillId="0" borderId="0" xfId="0" applyProtection="1"/>
    <xf numFmtId="2" fontId="14" fillId="0" borderId="0" xfId="0" applyNumberFormat="1" applyFont="1" applyAlignment="1" applyProtection="1">
      <alignment horizontal="center"/>
    </xf>
    <xf numFmtId="0" fontId="0" fillId="0" borderId="0" xfId="0" applyBorder="1" applyProtection="1"/>
    <xf numFmtId="0" fontId="0" fillId="0" borderId="0" xfId="0" applyBorder="1" applyAlignment="1" applyProtection="1">
      <alignment horizontal="center"/>
    </xf>
    <xf numFmtId="0" fontId="16" fillId="0" borderId="0" xfId="0" applyFont="1" applyBorder="1" applyProtection="1"/>
    <xf numFmtId="0" fontId="0" fillId="3" borderId="8" xfId="0" applyFill="1" applyBorder="1" applyAlignment="1" applyProtection="1">
      <alignment horizontal="center"/>
      <protection locked="0"/>
    </xf>
    <xf numFmtId="0" fontId="0" fillId="0" borderId="0" xfId="0" applyFill="1" applyBorder="1" applyProtection="1"/>
    <xf numFmtId="0" fontId="17" fillId="0" borderId="0" xfId="0" applyFont="1" applyAlignment="1">
      <alignment horizontal="center"/>
    </xf>
    <xf numFmtId="0" fontId="0" fillId="0" borderId="0" xfId="0"/>
    <xf numFmtId="0" fontId="13" fillId="0" borderId="0" xfId="0" applyFont="1"/>
    <xf numFmtId="0" fontId="14" fillId="0" borderId="0" xfId="0" applyFont="1"/>
    <xf numFmtId="165" fontId="0" fillId="0" borderId="0" xfId="0" applyNumberFormat="1"/>
    <xf numFmtId="0" fontId="18" fillId="0" borderId="0" xfId="1" applyFont="1" applyAlignment="1" applyProtection="1">
      <alignment horizontal="left"/>
    </xf>
    <xf numFmtId="0" fontId="13" fillId="0" borderId="0" xfId="0" applyFont="1" applyAlignment="1">
      <alignment horizontal="left"/>
    </xf>
    <xf numFmtId="0" fontId="19" fillId="0" borderId="0" xfId="0" applyFont="1"/>
    <xf numFmtId="0" fontId="20" fillId="0" borderId="0" xfId="0" applyFont="1" applyProtection="1"/>
    <xf numFmtId="0" fontId="2" fillId="0" borderId="0" xfId="1" applyProtection="1"/>
    <xf numFmtId="0" fontId="1" fillId="0" borderId="0" xfId="1" applyFont="1" applyProtection="1"/>
    <xf numFmtId="0" fontId="2" fillId="2" borderId="8" xfId="1" applyFill="1" applyBorder="1" applyAlignment="1" applyProtection="1">
      <alignment horizontal="center"/>
      <protection locked="0"/>
    </xf>
    <xf numFmtId="0" fontId="14" fillId="0" borderId="0" xfId="0" applyFont="1" applyBorder="1" applyAlignment="1" applyProtection="1">
      <alignment horizontal="center"/>
    </xf>
    <xf numFmtId="0" fontId="0" fillId="0" borderId="3" xfId="0" applyFill="1" applyBorder="1"/>
    <xf numFmtId="0" fontId="20" fillId="0" borderId="0" xfId="0" applyFont="1"/>
    <xf numFmtId="0" fontId="21" fillId="0" borderId="0" xfId="0" applyFont="1" applyProtection="1"/>
    <xf numFmtId="0" fontId="22" fillId="0" borderId="0" xfId="0" applyFont="1" applyProtection="1"/>
    <xf numFmtId="4" fontId="0" fillId="0" borderId="0" xfId="0" applyNumberForma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center"/>
    </xf>
    <xf numFmtId="0" fontId="22" fillId="0" borderId="0" xfId="0" applyFont="1" applyFill="1" applyProtection="1"/>
    <xf numFmtId="0" fontId="23" fillId="3" borderId="8" xfId="0" applyFont="1" applyFill="1" applyBorder="1" applyAlignment="1" applyProtection="1">
      <alignment horizontal="center"/>
      <protection locked="0"/>
    </xf>
    <xf numFmtId="0" fontId="23" fillId="3" borderId="8" xfId="0" applyFont="1" applyFill="1" applyBorder="1" applyProtection="1">
      <protection locked="0"/>
    </xf>
    <xf numFmtId="4" fontId="23" fillId="3" borderId="8" xfId="0" applyNumberFormat="1" applyFont="1" applyFill="1" applyBorder="1" applyAlignment="1" applyProtection="1">
      <alignment horizontal="center"/>
      <protection locked="0"/>
    </xf>
    <xf numFmtId="0" fontId="7" fillId="0" borderId="8" xfId="1" applyFont="1" applyBorder="1" applyAlignment="1" applyProtection="1">
      <alignment horizontal="right"/>
    </xf>
    <xf numFmtId="4" fontId="23" fillId="0" borderId="8" xfId="0" applyNumberFormat="1" applyFont="1" applyBorder="1" applyAlignment="1" applyProtection="1">
      <alignment horizontal="center"/>
    </xf>
    <xf numFmtId="4" fontId="23" fillId="0" borderId="8" xfId="0" applyNumberFormat="1" applyFont="1" applyFill="1" applyBorder="1" applyAlignment="1" applyProtection="1">
      <alignment horizontal="center"/>
    </xf>
    <xf numFmtId="0" fontId="7" fillId="0" borderId="8" xfId="1" applyFont="1" applyBorder="1" applyAlignment="1" applyProtection="1">
      <alignment horizontal="center"/>
    </xf>
    <xf numFmtId="0" fontId="24" fillId="0" borderId="11" xfId="0" applyFont="1" applyBorder="1" applyAlignment="1" applyProtection="1"/>
    <xf numFmtId="0" fontId="24" fillId="3" borderId="12" xfId="0" applyFont="1" applyFill="1" applyBorder="1" applyProtection="1">
      <protection locked="0"/>
    </xf>
    <xf numFmtId="0" fontId="24" fillId="0" borderId="8" xfId="0" applyFont="1" applyBorder="1" applyAlignment="1" applyProtection="1">
      <alignment horizontal="center"/>
    </xf>
    <xf numFmtId="0" fontId="2" fillId="0" borderId="14" xfId="0" applyFont="1" applyFill="1" applyBorder="1" applyAlignment="1" applyProtection="1">
      <alignment horizontal="left"/>
    </xf>
    <xf numFmtId="0" fontId="24" fillId="0" borderId="0" xfId="0" applyFont="1" applyProtection="1"/>
    <xf numFmtId="0" fontId="24" fillId="0" borderId="0" xfId="0" applyFont="1" applyAlignment="1" applyProtection="1">
      <alignment horizontal="left"/>
    </xf>
    <xf numFmtId="0" fontId="2" fillId="0" borderId="8" xfId="0" applyFont="1" applyBorder="1" applyProtection="1"/>
    <xf numFmtId="0" fontId="2" fillId="0" borderId="0" xfId="0" applyFont="1" applyBorder="1" applyProtection="1"/>
    <xf numFmtId="0" fontId="24" fillId="0" borderId="0" xfId="0" applyFont="1" applyBorder="1" applyProtection="1"/>
    <xf numFmtId="0" fontId="24" fillId="0" borderId="0" xfId="0" applyFont="1" applyFill="1" applyBorder="1" applyProtection="1"/>
    <xf numFmtId="0" fontId="24" fillId="0" borderId="0" xfId="0" applyFont="1" applyBorder="1" applyAlignment="1" applyProtection="1"/>
    <xf numFmtId="0" fontId="25" fillId="0" borderId="0" xfId="0" applyFont="1" applyProtection="1"/>
    <xf numFmtId="0" fontId="2" fillId="0" borderId="0" xfId="0" applyFont="1" applyBorder="1" applyAlignment="1" applyProtection="1">
      <alignment horizontal="left"/>
    </xf>
    <xf numFmtId="4" fontId="0" fillId="0" borderId="0" xfId="0" applyNumberFormat="1" applyProtection="1"/>
    <xf numFmtId="0" fontId="0" fillId="3" borderId="8" xfId="0" applyFill="1" applyBorder="1" applyAlignment="1" applyProtection="1">
      <alignment wrapText="1"/>
      <protection locked="0"/>
    </xf>
    <xf numFmtId="0" fontId="25" fillId="0" borderId="0" xfId="0" applyFont="1" applyFill="1" applyBorder="1" applyProtection="1"/>
    <xf numFmtId="2" fontId="25" fillId="0" borderId="8" xfId="0" applyNumberFormat="1" applyFont="1" applyFill="1" applyBorder="1" applyAlignment="1" applyProtection="1">
      <alignment horizontal="center"/>
    </xf>
    <xf numFmtId="4" fontId="24" fillId="0" borderId="8" xfId="0" applyNumberFormat="1" applyFont="1" applyFill="1" applyBorder="1" applyAlignment="1" applyProtection="1">
      <alignment horizontal="center"/>
    </xf>
    <xf numFmtId="2" fontId="24" fillId="0" borderId="8" xfId="0" applyNumberFormat="1" applyFont="1" applyFill="1" applyBorder="1" applyAlignment="1" applyProtection="1">
      <alignment horizontal="center"/>
    </xf>
    <xf numFmtId="0" fontId="25" fillId="0" borderId="8" xfId="0" applyFont="1" applyFill="1" applyBorder="1" applyAlignment="1" applyProtection="1">
      <alignment horizontal="center"/>
    </xf>
    <xf numFmtId="0" fontId="7" fillId="3" borderId="8" xfId="0" applyFont="1" applyFill="1" applyBorder="1" applyAlignment="1" applyProtection="1">
      <alignment horizontal="center"/>
      <protection locked="0"/>
    </xf>
    <xf numFmtId="0" fontId="27" fillId="3" borderId="15" xfId="0" applyFont="1" applyFill="1" applyBorder="1" applyAlignment="1" applyProtection="1">
      <protection locked="0"/>
    </xf>
    <xf numFmtId="0" fontId="27" fillId="3" borderId="8" xfId="0" applyFont="1" applyFill="1" applyBorder="1" applyAlignment="1" applyProtection="1">
      <alignment horizontal="center"/>
      <protection locked="0"/>
    </xf>
    <xf numFmtId="0" fontId="24" fillId="3" borderId="16" xfId="0" applyFont="1" applyFill="1" applyBorder="1" applyAlignment="1" applyProtection="1">
      <alignment horizontal="center"/>
      <protection locked="0"/>
    </xf>
    <xf numFmtId="0" fontId="27" fillId="3" borderId="15" xfId="0" applyFont="1" applyFill="1" applyBorder="1" applyAlignment="1" applyProtection="1">
      <alignment horizontal="center"/>
      <protection locked="0"/>
    </xf>
    <xf numFmtId="0" fontId="24" fillId="3" borderId="11" xfId="0" applyFont="1" applyFill="1" applyBorder="1" applyAlignment="1" applyProtection="1">
      <alignment horizontal="center"/>
      <protection locked="0"/>
    </xf>
    <xf numFmtId="0" fontId="27" fillId="0" borderId="0" xfId="0" applyFont="1" applyProtection="1"/>
    <xf numFmtId="0" fontId="28" fillId="0" borderId="0" xfId="0" applyFont="1" applyProtection="1"/>
    <xf numFmtId="0" fontId="29" fillId="0" borderId="8" xfId="0" applyFont="1" applyBorder="1" applyAlignment="1" applyProtection="1">
      <alignment wrapText="1"/>
    </xf>
    <xf numFmtId="0" fontId="27" fillId="0" borderId="8" xfId="0" applyFont="1" applyFill="1" applyBorder="1" applyProtection="1"/>
    <xf numFmtId="0" fontId="27" fillId="0" borderId="0" xfId="0" applyFont="1" applyFill="1" applyBorder="1" applyProtection="1"/>
    <xf numFmtId="0" fontId="24" fillId="0" borderId="8" xfId="0" applyFont="1" applyBorder="1" applyAlignment="1" applyProtection="1">
      <alignment horizontal="right" wrapText="1"/>
    </xf>
    <xf numFmtId="0" fontId="24" fillId="0" borderId="0" xfId="0" applyFont="1" applyAlignment="1" applyProtection="1">
      <alignment horizontal="right"/>
    </xf>
    <xf numFmtId="0" fontId="25" fillId="0" borderId="0" xfId="0" applyFont="1" applyBorder="1" applyAlignment="1" applyProtection="1"/>
    <xf numFmtId="0" fontId="25" fillId="0" borderId="18" xfId="0" applyFont="1" applyBorder="1" applyAlignment="1" applyProtection="1"/>
    <xf numFmtId="0" fontId="27" fillId="0" borderId="0" xfId="0" applyFont="1" applyBorder="1" applyProtection="1"/>
    <xf numFmtId="0" fontId="24" fillId="0" borderId="8" xfId="0" applyFont="1" applyBorder="1" applyAlignment="1" applyProtection="1"/>
    <xf numFmtId="0" fontId="29" fillId="0" borderId="0" xfId="0" applyFont="1" applyBorder="1" applyAlignment="1" applyProtection="1">
      <alignment wrapText="1"/>
    </xf>
    <xf numFmtId="0" fontId="24" fillId="0" borderId="0" xfId="0" applyFont="1" applyBorder="1" applyAlignment="1" applyProtection="1">
      <alignment horizontal="right" wrapText="1"/>
    </xf>
    <xf numFmtId="0" fontId="24" fillId="0" borderId="14" xfId="0" applyFont="1" applyBorder="1" applyAlignment="1" applyProtection="1">
      <alignment horizontal="center"/>
    </xf>
    <xf numFmtId="0" fontId="24" fillId="0" borderId="0" xfId="0" applyFont="1" applyBorder="1" applyAlignment="1" applyProtection="1">
      <alignment horizontal="center"/>
    </xf>
    <xf numFmtId="0" fontId="28" fillId="3" borderId="8" xfId="0" applyFont="1" applyFill="1" applyBorder="1" applyAlignment="1" applyProtection="1">
      <alignment horizontal="left"/>
      <protection locked="0"/>
    </xf>
    <xf numFmtId="0" fontId="2" fillId="0" borderId="0" xfId="0" applyFont="1" applyFill="1" applyBorder="1" applyAlignment="1" applyProtection="1">
      <alignment horizontal="center"/>
    </xf>
    <xf numFmtId="4" fontId="24" fillId="0" borderId="0" xfId="0" applyNumberFormat="1" applyFont="1" applyFill="1" applyBorder="1" applyAlignment="1" applyProtection="1">
      <alignment horizontal="center"/>
    </xf>
    <xf numFmtId="0" fontId="0" fillId="0" borderId="19" xfId="0" applyFill="1" applyBorder="1" applyProtection="1"/>
    <xf numFmtId="4" fontId="24" fillId="0" borderId="19" xfId="0" applyNumberFormat="1" applyFont="1" applyFill="1" applyBorder="1" applyAlignment="1" applyProtection="1">
      <alignment horizontal="center"/>
    </xf>
    <xf numFmtId="0" fontId="27" fillId="0" borderId="19" xfId="0" applyFont="1" applyBorder="1" applyProtection="1"/>
    <xf numFmtId="0" fontId="28" fillId="0" borderId="0" xfId="0" applyFont="1" applyAlignment="1" applyProtection="1">
      <alignment horizontal="left"/>
    </xf>
    <xf numFmtId="0" fontId="30" fillId="0" borderId="0" xfId="0" applyFont="1" applyProtection="1"/>
    <xf numFmtId="0" fontId="28" fillId="0" borderId="8" xfId="0" applyFont="1" applyBorder="1" applyProtection="1"/>
    <xf numFmtId="0" fontId="28" fillId="0" borderId="8" xfId="0" applyFont="1" applyBorder="1" applyAlignment="1" applyProtection="1">
      <alignment horizontal="center"/>
    </xf>
    <xf numFmtId="0" fontId="30" fillId="0" borderId="8" xfId="0" applyFont="1" applyBorder="1" applyProtection="1"/>
    <xf numFmtId="0" fontId="7" fillId="0" borderId="0" xfId="1" applyFont="1" applyBorder="1" applyAlignment="1" applyProtection="1">
      <alignment horizontal="center"/>
    </xf>
    <xf numFmtId="0" fontId="0" fillId="0" borderId="0" xfId="0" applyFill="1"/>
    <xf numFmtId="2" fontId="0" fillId="0" borderId="2" xfId="0" applyNumberFormat="1" applyBorder="1" applyAlignment="1">
      <alignment horizontal="center"/>
    </xf>
    <xf numFmtId="2" fontId="0" fillId="0" borderId="9" xfId="0" applyNumberFormat="1" applyBorder="1" applyAlignment="1">
      <alignment horizontal="center"/>
    </xf>
    <xf numFmtId="2" fontId="0" fillId="0" borderId="5" xfId="0" applyNumberFormat="1" applyBorder="1" applyAlignment="1">
      <alignment horizontal="center"/>
    </xf>
    <xf numFmtId="0" fontId="32" fillId="0" borderId="0" xfId="0" applyFont="1"/>
    <xf numFmtId="0" fontId="33" fillId="0" borderId="0" xfId="0" applyFont="1"/>
    <xf numFmtId="0" fontId="24" fillId="0" borderId="16" xfId="0" applyFont="1" applyBorder="1" applyAlignment="1" applyProtection="1">
      <alignment horizontal="center"/>
    </xf>
    <xf numFmtId="0" fontId="24" fillId="0" borderId="0" xfId="0" applyFont="1" applyFill="1" applyBorder="1" applyAlignment="1" applyProtection="1">
      <alignment horizontal="center"/>
    </xf>
    <xf numFmtId="0" fontId="24" fillId="3" borderId="8" xfId="0" applyFont="1" applyFill="1" applyBorder="1" applyAlignment="1" applyProtection="1">
      <alignment horizontal="center"/>
      <protection locked="0"/>
    </xf>
    <xf numFmtId="0" fontId="26" fillId="0" borderId="0" xfId="0" applyFont="1" applyBorder="1" applyAlignment="1" applyProtection="1">
      <alignment horizontal="left"/>
    </xf>
    <xf numFmtId="0" fontId="0" fillId="0" borderId="0" xfId="0" applyAlignment="1">
      <alignment horizontal="center"/>
    </xf>
    <xf numFmtId="2" fontId="28" fillId="0" borderId="8" xfId="0" applyNumberFormat="1" applyFont="1" applyBorder="1" applyAlignment="1" applyProtection="1">
      <alignment horizontal="center"/>
    </xf>
    <xf numFmtId="2" fontId="28" fillId="0" borderId="13" xfId="0" applyNumberFormat="1" applyFont="1" applyBorder="1" applyAlignment="1" applyProtection="1">
      <alignment horizontal="center"/>
    </xf>
    <xf numFmtId="2" fontId="28" fillId="0" borderId="0" xfId="0" applyNumberFormat="1" applyFont="1" applyAlignment="1" applyProtection="1">
      <alignment horizontal="center"/>
    </xf>
    <xf numFmtId="2" fontId="28" fillId="0" borderId="0" xfId="0" applyNumberFormat="1" applyFont="1" applyBorder="1" applyAlignment="1" applyProtection="1">
      <alignment horizontal="center"/>
    </xf>
    <xf numFmtId="2" fontId="28" fillId="0" borderId="15" xfId="0" applyNumberFormat="1" applyFont="1" applyBorder="1" applyAlignment="1" applyProtection="1">
      <alignment horizontal="center"/>
    </xf>
    <xf numFmtId="4" fontId="28" fillId="0" borderId="8" xfId="0" applyNumberFormat="1" applyFont="1" applyBorder="1" applyAlignment="1" applyProtection="1">
      <alignment horizontal="center"/>
    </xf>
    <xf numFmtId="168" fontId="28" fillId="0" borderId="8" xfId="0" applyNumberFormat="1" applyFont="1" applyBorder="1" applyAlignment="1" applyProtection="1">
      <alignment horizontal="center"/>
    </xf>
    <xf numFmtId="168" fontId="28" fillId="0" borderId="0" xfId="0" applyNumberFormat="1" applyFont="1" applyAlignment="1" applyProtection="1">
      <alignment horizontal="center"/>
    </xf>
    <xf numFmtId="164" fontId="28" fillId="0" borderId="8" xfId="0" applyNumberFormat="1" applyFont="1" applyBorder="1" applyAlignment="1" applyProtection="1">
      <alignment horizontal="center"/>
    </xf>
    <xf numFmtId="164" fontId="28" fillId="0" borderId="0" xfId="0" applyNumberFormat="1" applyFont="1" applyAlignment="1" applyProtection="1">
      <alignment horizontal="center"/>
    </xf>
    <xf numFmtId="169" fontId="23" fillId="3" borderId="8" xfId="0" applyNumberFormat="1" applyFont="1" applyFill="1" applyBorder="1" applyAlignment="1" applyProtection="1">
      <alignment horizontal="center"/>
      <protection locked="0"/>
    </xf>
    <xf numFmtId="0" fontId="24" fillId="0" borderId="0" xfId="0" applyFont="1" applyFill="1" applyBorder="1" applyAlignment="1" applyProtection="1">
      <alignment horizontal="center"/>
    </xf>
    <xf numFmtId="0" fontId="14" fillId="0" borderId="8" xfId="0" applyFont="1" applyFill="1" applyBorder="1" applyAlignment="1" applyProtection="1">
      <alignment horizontal="center"/>
    </xf>
    <xf numFmtId="2" fontId="14" fillId="0" borderId="8" xfId="0" applyNumberFormat="1" applyFont="1" applyFill="1" applyBorder="1" applyAlignment="1" applyProtection="1">
      <alignment horizontal="center"/>
    </xf>
    <xf numFmtId="0" fontId="13" fillId="0" borderId="8" xfId="0" applyFont="1" applyBorder="1" applyProtection="1"/>
    <xf numFmtId="4" fontId="0" fillId="0" borderId="8" xfId="0" applyNumberFormat="1" applyFill="1" applyBorder="1" applyAlignment="1" applyProtection="1">
      <alignment horizontal="center"/>
    </xf>
    <xf numFmtId="166" fontId="0" fillId="0" borderId="0" xfId="0" applyNumberFormat="1" applyAlignment="1" applyProtection="1">
      <alignment horizontal="center"/>
    </xf>
    <xf numFmtId="2" fontId="0" fillId="0" borderId="0" xfId="0" applyNumberFormat="1" applyProtection="1"/>
    <xf numFmtId="2" fontId="0" fillId="0" borderId="12" xfId="0" applyNumberFormat="1" applyFill="1" applyBorder="1" applyAlignment="1" applyProtection="1">
      <alignment horizontal="center"/>
    </xf>
    <xf numFmtId="0" fontId="24" fillId="0" borderId="19" xfId="0" applyFont="1" applyFill="1" applyBorder="1" applyProtection="1"/>
    <xf numFmtId="0" fontId="24" fillId="0" borderId="0" xfId="0" applyFont="1" applyFill="1" applyBorder="1" applyAlignment="1" applyProtection="1">
      <alignment horizontal="center"/>
      <protection locked="0"/>
    </xf>
    <xf numFmtId="0" fontId="28" fillId="0" borderId="8" xfId="0" applyFont="1" applyFill="1" applyBorder="1" applyAlignment="1" applyProtection="1">
      <alignment horizontal="center"/>
    </xf>
    <xf numFmtId="0" fontId="28" fillId="0" borderId="0" xfId="0" applyFont="1" applyFill="1" applyBorder="1" applyAlignment="1" applyProtection="1">
      <alignment horizontal="center"/>
    </xf>
    <xf numFmtId="0" fontId="0" fillId="0" borderId="0" xfId="0" applyFill="1" applyBorder="1" applyAlignment="1" applyProtection="1"/>
    <xf numFmtId="4" fontId="23" fillId="0" borderId="0" xfId="0" applyNumberFormat="1" applyFont="1" applyProtection="1"/>
    <xf numFmtId="4" fontId="0" fillId="0" borderId="8" xfId="0" applyNumberFormat="1" applyBorder="1" applyProtection="1"/>
    <xf numFmtId="4" fontId="0" fillId="0" borderId="8" xfId="0" applyNumberFormat="1" applyBorder="1" applyAlignment="1" applyProtection="1">
      <alignment horizontal="center"/>
    </xf>
    <xf numFmtId="0" fontId="2" fillId="0" borderId="18" xfId="0" applyFont="1" applyBorder="1" applyAlignment="1" applyProtection="1"/>
    <xf numFmtId="4" fontId="0" fillId="3" borderId="8" xfId="0" applyNumberFormat="1" applyFill="1" applyBorder="1" applyAlignment="1" applyProtection="1">
      <alignment horizontal="center"/>
      <protection locked="0"/>
    </xf>
    <xf numFmtId="4" fontId="0" fillId="4" borderId="8" xfId="0" applyNumberFormat="1" applyFill="1" applyBorder="1" applyProtection="1"/>
    <xf numFmtId="0" fontId="24" fillId="0" borderId="0" xfId="0" applyFont="1" applyFill="1" applyBorder="1" applyAlignment="1" applyProtection="1">
      <alignment horizontal="center"/>
    </xf>
    <xf numFmtId="0" fontId="24" fillId="3" borderId="8" xfId="0" applyFont="1" applyFill="1" applyBorder="1" applyAlignment="1" applyProtection="1">
      <alignment horizontal="center"/>
      <protection locked="0"/>
    </xf>
    <xf numFmtId="0" fontId="28" fillId="0" borderId="0" xfId="0" applyFont="1" applyBorder="1" applyAlignment="1" applyProtection="1"/>
    <xf numFmtId="0" fontId="0" fillId="0" borderId="0" xfId="0" applyFont="1" applyProtection="1"/>
    <xf numFmtId="0" fontId="27" fillId="0" borderId="0" xfId="0" applyFont="1" applyFill="1" applyBorder="1" applyAlignment="1" applyProtection="1">
      <alignment horizontal="center"/>
      <protection locked="0"/>
    </xf>
    <xf numFmtId="0" fontId="24" fillId="0" borderId="18" xfId="0" applyFont="1" applyBorder="1" applyAlignment="1" applyProtection="1">
      <alignment horizontal="center"/>
    </xf>
    <xf numFmtId="0" fontId="0" fillId="0" borderId="0" xfId="0" applyAlignment="1">
      <alignment horizontal="center"/>
    </xf>
    <xf numFmtId="0" fontId="24" fillId="0" borderId="16" xfId="0" applyFont="1" applyBorder="1" applyAlignment="1" applyProtection="1">
      <alignment horizontal="center"/>
    </xf>
    <xf numFmtId="0" fontId="28" fillId="0" borderId="8" xfId="0" applyFont="1" applyBorder="1" applyAlignment="1" applyProtection="1">
      <alignment horizontal="center"/>
    </xf>
    <xf numFmtId="0" fontId="24" fillId="3" borderId="8" xfId="0" applyFont="1" applyFill="1" applyBorder="1" applyAlignment="1" applyProtection="1">
      <alignment horizontal="center"/>
      <protection locked="0"/>
    </xf>
    <xf numFmtId="0" fontId="30" fillId="0" borderId="0" xfId="0" applyFont="1" applyAlignment="1" applyProtection="1">
      <alignment horizontal="center"/>
    </xf>
    <xf numFmtId="0" fontId="24" fillId="0" borderId="0" xfId="0" applyFont="1" applyFill="1" applyBorder="1" applyAlignment="1" applyProtection="1">
      <alignment horizontal="center"/>
    </xf>
    <xf numFmtId="0" fontId="17" fillId="0" borderId="0" xfId="0" applyFont="1" applyAlignment="1"/>
    <xf numFmtId="0" fontId="27" fillId="0" borderId="8" xfId="0" applyFont="1" applyBorder="1" applyProtection="1"/>
    <xf numFmtId="0" fontId="0" fillId="0" borderId="0" xfId="0" applyAlignment="1" applyProtection="1">
      <alignment horizontal="left"/>
    </xf>
    <xf numFmtId="0" fontId="0" fillId="0" borderId="8" xfId="0" applyFont="1" applyFill="1" applyBorder="1" applyAlignment="1" applyProtection="1">
      <alignment horizontal="left"/>
    </xf>
    <xf numFmtId="0" fontId="0" fillId="0" borderId="8" xfId="0" applyFill="1" applyBorder="1" applyAlignment="1" applyProtection="1">
      <alignment horizontal="center"/>
      <protection locked="0"/>
    </xf>
    <xf numFmtId="0" fontId="37" fillId="0" borderId="0" xfId="0" applyFont="1" applyProtection="1"/>
    <xf numFmtId="0" fontId="0" fillId="0" borderId="8" xfId="0" applyBorder="1" applyProtection="1"/>
    <xf numFmtId="2" fontId="0" fillId="0" borderId="8" xfId="0" applyNumberFormat="1" applyBorder="1" applyProtection="1"/>
    <xf numFmtId="0" fontId="0" fillId="0" borderId="8" xfId="0" applyFont="1" applyBorder="1" applyProtection="1"/>
    <xf numFmtId="4" fontId="7" fillId="3" borderId="8" xfId="0" applyNumberFormat="1" applyFont="1" applyFill="1" applyBorder="1" applyAlignment="1" applyProtection="1">
      <alignment horizontal="center"/>
      <protection locked="0"/>
    </xf>
    <xf numFmtId="0" fontId="0" fillId="0" borderId="0" xfId="0" applyFill="1" applyAlignment="1">
      <alignment horizontal="center"/>
    </xf>
    <xf numFmtId="0" fontId="15" fillId="0" borderId="8" xfId="0" applyFont="1" applyBorder="1" applyAlignment="1" applyProtection="1">
      <alignment horizontal="right"/>
    </xf>
    <xf numFmtId="0" fontId="15" fillId="0" borderId="8" xfId="0" applyFont="1" applyBorder="1" applyAlignment="1" applyProtection="1">
      <alignment horizontal="center"/>
    </xf>
    <xf numFmtId="0" fontId="15" fillId="4" borderId="8" xfId="0" applyFont="1" applyFill="1" applyBorder="1" applyAlignment="1" applyProtection="1">
      <alignment horizontal="center"/>
      <protection locked="0"/>
    </xf>
    <xf numFmtId="0" fontId="0" fillId="0" borderId="0" xfId="0" applyFill="1" applyProtection="1"/>
    <xf numFmtId="0" fontId="13" fillId="0" borderId="0" xfId="0" applyFont="1" applyFill="1" applyBorder="1" applyAlignment="1" applyProtection="1">
      <alignment horizontal="left"/>
    </xf>
    <xf numFmtId="0" fontId="27" fillId="0" borderId="0" xfId="0" applyFont="1" applyAlignment="1" applyProtection="1">
      <alignment horizontal="center"/>
    </xf>
    <xf numFmtId="0" fontId="24" fillId="0" borderId="0" xfId="0" applyFont="1" applyAlignment="1" applyProtection="1">
      <alignment horizontal="center"/>
    </xf>
    <xf numFmtId="0" fontId="40" fillId="0" borderId="0" xfId="0" applyFont="1" applyFill="1" applyBorder="1" applyAlignment="1" applyProtection="1">
      <alignment horizontal="left" wrapText="1"/>
    </xf>
    <xf numFmtId="0" fontId="24" fillId="3" borderId="8" xfId="0" applyFont="1" applyFill="1" applyBorder="1" applyAlignment="1" applyProtection="1">
      <alignment horizontal="center"/>
      <protection locked="0"/>
    </xf>
    <xf numFmtId="0" fontId="20" fillId="0" borderId="0" xfId="0" applyFont="1" applyAlignment="1" applyProtection="1">
      <alignment horizontal="left" vertical="center"/>
    </xf>
    <xf numFmtId="0" fontId="24" fillId="3" borderId="8" xfId="0" applyFont="1" applyFill="1" applyBorder="1" applyAlignment="1" applyProtection="1">
      <alignment horizontal="center"/>
      <protection locked="0"/>
    </xf>
    <xf numFmtId="0" fontId="20" fillId="0" borderId="0" xfId="0" applyFont="1" applyAlignment="1" applyProtection="1">
      <alignment horizontal="left" vertical="center"/>
    </xf>
    <xf numFmtId="0" fontId="40" fillId="0" borderId="0" xfId="0" applyFont="1" applyFill="1" applyBorder="1" applyAlignment="1" applyProtection="1">
      <alignment horizontal="left" wrapText="1"/>
    </xf>
    <xf numFmtId="0" fontId="40" fillId="0" borderId="0" xfId="0" applyFont="1" applyFill="1" applyBorder="1" applyAlignment="1" applyProtection="1">
      <alignment horizontal="center" wrapText="1"/>
    </xf>
    <xf numFmtId="0" fontId="27" fillId="0" borderId="0" xfId="0" applyFont="1" applyFill="1" applyBorder="1" applyAlignment="1" applyProtection="1"/>
    <xf numFmtId="0" fontId="24" fillId="0" borderId="0" xfId="0" applyFont="1" applyFill="1" applyBorder="1" applyAlignment="1" applyProtection="1">
      <protection locked="0"/>
    </xf>
    <xf numFmtId="4" fontId="24" fillId="0" borderId="0" xfId="0" applyNumberFormat="1" applyFont="1" applyFill="1" applyBorder="1" applyAlignment="1" applyProtection="1">
      <alignment horizontal="center"/>
      <protection locked="0"/>
    </xf>
    <xf numFmtId="0" fontId="28" fillId="0" borderId="0" xfId="0" applyFont="1" applyFill="1" applyBorder="1" applyAlignment="1" applyProtection="1">
      <alignment horizontal="center"/>
      <protection locked="0"/>
    </xf>
    <xf numFmtId="0" fontId="27" fillId="0" borderId="0" xfId="0" applyFont="1" applyFill="1" applyAlignment="1" applyProtection="1">
      <alignment horizontal="center"/>
    </xf>
    <xf numFmtId="0" fontId="27" fillId="0" borderId="0" xfId="0" applyFont="1" applyFill="1" applyProtection="1"/>
    <xf numFmtId="0" fontId="27"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2" fillId="0" borderId="16" xfId="0" applyFont="1" applyBorder="1" applyAlignment="1" applyProtection="1"/>
    <xf numFmtId="0" fontId="2" fillId="0" borderId="17" xfId="0" applyFont="1" applyBorder="1" applyAlignment="1" applyProtection="1"/>
    <xf numFmtId="0" fontId="24" fillId="0" borderId="0" xfId="0" applyFont="1" applyFill="1" applyProtection="1"/>
    <xf numFmtId="0" fontId="27" fillId="0" borderId="0" xfId="0" applyFont="1" applyFill="1" applyProtection="1">
      <protection locked="0"/>
    </xf>
    <xf numFmtId="0" fontId="24" fillId="3" borderId="8" xfId="0" applyFont="1" applyFill="1" applyBorder="1" applyAlignment="1" applyProtection="1">
      <alignment horizontal="center"/>
      <protection locked="0"/>
    </xf>
    <xf numFmtId="0" fontId="0" fillId="0" borderId="0" xfId="0" applyAlignment="1">
      <alignment horizontal="center"/>
    </xf>
    <xf numFmtId="0" fontId="24" fillId="0" borderId="16" xfId="0" applyFont="1" applyBorder="1" applyAlignment="1" applyProtection="1">
      <alignment horizontal="right" wrapText="1"/>
    </xf>
    <xf numFmtId="0" fontId="40" fillId="0" borderId="0" xfId="0" applyFont="1" applyFill="1" applyBorder="1" applyAlignment="1" applyProtection="1">
      <alignment wrapText="1"/>
    </xf>
    <xf numFmtId="0" fontId="41" fillId="0" borderId="0" xfId="0" applyFont="1" applyProtection="1"/>
    <xf numFmtId="0" fontId="41" fillId="0" borderId="0" xfId="0" applyFont="1" applyAlignment="1" applyProtection="1">
      <alignment horizontal="center"/>
    </xf>
    <xf numFmtId="0" fontId="42" fillId="0" borderId="8" xfId="0" applyFont="1" applyBorder="1" applyProtection="1"/>
    <xf numFmtId="0" fontId="13" fillId="0" borderId="0" xfId="0" applyFont="1" applyProtection="1"/>
    <xf numFmtId="0" fontId="0" fillId="0" borderId="0" xfId="0" applyFont="1" applyAlignment="1" applyProtection="1">
      <alignment horizontal="center"/>
    </xf>
    <xf numFmtId="0" fontId="0" fillId="0" borderId="0" xfId="0" applyFont="1"/>
    <xf numFmtId="0" fontId="0" fillId="0" borderId="8" xfId="0" applyFont="1" applyFill="1" applyBorder="1" applyAlignment="1" applyProtection="1">
      <alignment horizontal="center"/>
    </xf>
    <xf numFmtId="0" fontId="0" fillId="0" borderId="8" xfId="0" applyFont="1" applyFill="1" applyBorder="1" applyProtection="1"/>
    <xf numFmtId="167" fontId="0" fillId="0" borderId="8" xfId="0" applyNumberFormat="1" applyFont="1" applyFill="1" applyBorder="1" applyAlignment="1" applyProtection="1">
      <alignment horizontal="center"/>
    </xf>
    <xf numFmtId="164" fontId="0" fillId="0" borderId="8" xfId="0" applyNumberFormat="1" applyFont="1" applyFill="1" applyBorder="1" applyAlignment="1" applyProtection="1">
      <alignment horizontal="center"/>
    </xf>
    <xf numFmtId="2" fontId="0" fillId="0" borderId="8" xfId="0" applyNumberFormat="1" applyFont="1" applyFill="1" applyBorder="1" applyAlignment="1" applyProtection="1">
      <alignment horizontal="center"/>
    </xf>
    <xf numFmtId="0" fontId="0" fillId="0" borderId="8" xfId="0" applyFont="1" applyFill="1" applyBorder="1"/>
    <xf numFmtId="0" fontId="0" fillId="0" borderId="8" xfId="0" applyFont="1" applyBorder="1"/>
    <xf numFmtId="2" fontId="0" fillId="0" borderId="0" xfId="0" applyNumberFormat="1" applyFont="1" applyAlignment="1" applyProtection="1">
      <alignment horizontal="center"/>
    </xf>
    <xf numFmtId="2" fontId="0" fillId="0" borderId="8" xfId="0" applyNumberFormat="1" applyFont="1" applyBorder="1" applyAlignment="1" applyProtection="1">
      <alignment horizontal="center"/>
    </xf>
    <xf numFmtId="2" fontId="0" fillId="0" borderId="0" xfId="0" applyNumberFormat="1" applyFont="1" applyBorder="1" applyAlignment="1" applyProtection="1">
      <alignment horizontal="center"/>
    </xf>
    <xf numFmtId="2" fontId="0" fillId="0" borderId="0" xfId="0" applyNumberFormat="1" applyFont="1" applyFill="1" applyBorder="1" applyAlignment="1" applyProtection="1">
      <alignment horizontal="center"/>
    </xf>
    <xf numFmtId="0" fontId="0" fillId="0" borderId="0" xfId="0" applyFont="1" applyFill="1"/>
    <xf numFmtId="2" fontId="0" fillId="0" borderId="0" xfId="0" applyNumberFormat="1" applyFont="1" applyAlignment="1" applyProtection="1">
      <alignment horizontal="left"/>
    </xf>
    <xf numFmtId="2" fontId="0" fillId="0" borderId="0" xfId="0" applyNumberFormat="1" applyFont="1" applyFill="1" applyAlignment="1" applyProtection="1">
      <alignment horizontal="center"/>
    </xf>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Alignment="1">
      <alignment horizontal="center"/>
    </xf>
    <xf numFmtId="0" fontId="15" fillId="0" borderId="0" xfId="0" applyFont="1" applyBorder="1" applyProtection="1"/>
    <xf numFmtId="0" fontId="15" fillId="0" borderId="0" xfId="0" applyFont="1" applyFill="1" applyBorder="1" applyProtection="1"/>
    <xf numFmtId="0" fontId="15" fillId="0" borderId="0" xfId="0" applyFont="1"/>
    <xf numFmtId="0" fontId="15" fillId="0" borderId="0" xfId="0" applyFont="1" applyAlignment="1">
      <alignment horizontal="right"/>
    </xf>
    <xf numFmtId="0" fontId="31" fillId="0" borderId="0" xfId="0" applyFont="1" applyFill="1" applyBorder="1" applyAlignment="1" applyProtection="1">
      <alignment horizontal="center"/>
    </xf>
    <xf numFmtId="0" fontId="31" fillId="0" borderId="0" xfId="0" applyFont="1" applyFill="1" applyBorder="1" applyAlignment="1" applyProtection="1">
      <alignment horizontal="center"/>
    </xf>
    <xf numFmtId="0" fontId="25" fillId="0" borderId="0" xfId="0" applyFont="1" applyFill="1" applyAlignment="1" applyProtection="1">
      <alignment horizontal="center" wrapText="1"/>
    </xf>
    <xf numFmtId="0" fontId="25" fillId="0" borderId="0" xfId="0" applyFont="1" applyFill="1" applyBorder="1" applyAlignment="1" applyProtection="1">
      <alignment horizontal="center" wrapText="1"/>
    </xf>
    <xf numFmtId="4" fontId="7" fillId="0" borderId="0" xfId="0" applyNumberFormat="1" applyFont="1" applyFill="1" applyBorder="1" applyAlignment="1" applyProtection="1">
      <alignment horizontal="center"/>
    </xf>
    <xf numFmtId="4" fontId="27" fillId="0" borderId="0" xfId="0" applyNumberFormat="1" applyFont="1" applyFill="1" applyProtection="1"/>
    <xf numFmtId="0" fontId="24" fillId="0" borderId="0" xfId="0" applyFont="1" applyAlignment="1" applyProtection="1">
      <alignment horizontal="center"/>
      <protection locked="0"/>
    </xf>
    <xf numFmtId="0" fontId="20" fillId="0" borderId="0" xfId="0" applyFont="1" applyAlignment="1">
      <alignment horizontal="left"/>
    </xf>
    <xf numFmtId="0" fontId="0" fillId="0" borderId="0" xfId="0" applyAlignment="1">
      <alignment horizontal="center"/>
    </xf>
    <xf numFmtId="0" fontId="46" fillId="0" borderId="0" xfId="0" applyFont="1" applyFill="1" applyBorder="1" applyAlignment="1" applyProtection="1">
      <alignment horizontal="left"/>
    </xf>
    <xf numFmtId="0" fontId="44" fillId="0" borderId="0" xfId="0" applyFont="1" applyProtection="1"/>
    <xf numFmtId="0" fontId="46" fillId="0" borderId="0" xfId="0" applyFont="1" applyAlignment="1">
      <alignment horizontal="left"/>
    </xf>
    <xf numFmtId="0" fontId="46" fillId="0" borderId="0" xfId="0" applyFont="1" applyAlignment="1">
      <alignment horizontal="left" vertical="center"/>
    </xf>
    <xf numFmtId="0" fontId="34" fillId="0" borderId="8" xfId="0" applyFont="1" applyBorder="1" applyAlignment="1" applyProtection="1">
      <alignment horizontal="center"/>
    </xf>
    <xf numFmtId="0" fontId="13" fillId="0" borderId="8"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3" xfId="0" applyFont="1" applyBorder="1" applyAlignment="1" applyProtection="1">
      <alignment horizontal="center" wrapText="1"/>
    </xf>
    <xf numFmtId="0" fontId="13" fillId="0" borderId="15" xfId="0" applyFont="1" applyBorder="1" applyAlignment="1" applyProtection="1">
      <alignment horizontal="center" wrapText="1"/>
    </xf>
    <xf numFmtId="0" fontId="13" fillId="0" borderId="17" xfId="0" applyFont="1" applyBorder="1" applyAlignment="1" applyProtection="1">
      <alignment horizontal="center" wrapText="1"/>
    </xf>
    <xf numFmtId="0" fontId="13" fillId="0" borderId="8" xfId="0" applyFont="1" applyBorder="1" applyAlignment="1" applyProtection="1">
      <alignment horizontal="center" wrapText="1"/>
    </xf>
    <xf numFmtId="0" fontId="13" fillId="0" borderId="16" xfId="0" applyFont="1" applyBorder="1" applyAlignment="1" applyProtection="1">
      <alignment horizontal="center" wrapText="1"/>
    </xf>
    <xf numFmtId="0" fontId="13" fillId="0" borderId="8" xfId="0" applyFont="1" applyBorder="1" applyAlignment="1" applyProtection="1">
      <alignment horizontal="center"/>
    </xf>
    <xf numFmtId="0" fontId="43" fillId="0" borderId="8" xfId="0" applyFont="1" applyBorder="1" applyAlignment="1" applyProtection="1">
      <alignment horizontal="center" wrapText="1"/>
    </xf>
    <xf numFmtId="0" fontId="43" fillId="0" borderId="17" xfId="0" applyFont="1" applyBorder="1" applyAlignment="1" applyProtection="1">
      <alignment horizontal="center" wrapText="1"/>
    </xf>
    <xf numFmtId="0" fontId="0" fillId="0" borderId="0" xfId="0" applyBorder="1" applyAlignment="1" applyProtection="1">
      <alignment horizontal="right"/>
    </xf>
    <xf numFmtId="0" fontId="0" fillId="0" borderId="28" xfId="0" applyBorder="1" applyAlignment="1" applyProtection="1">
      <alignment horizontal="right"/>
    </xf>
    <xf numFmtId="0" fontId="30" fillId="0" borderId="13" xfId="0" applyFont="1" applyBorder="1" applyAlignment="1" applyProtection="1">
      <alignment horizontal="center" wrapText="1"/>
    </xf>
    <xf numFmtId="0" fontId="30" fillId="0" borderId="8" xfId="0" applyFont="1" applyBorder="1" applyAlignment="1" applyProtection="1">
      <alignment horizontal="center" wrapText="1"/>
    </xf>
    <xf numFmtId="0" fontId="43" fillId="0" borderId="16" xfId="0" applyFont="1" applyBorder="1" applyAlignment="1" applyProtection="1">
      <alignment horizontal="center" wrapText="1"/>
    </xf>
    <xf numFmtId="0" fontId="13" fillId="0" borderId="14" xfId="0" applyFont="1" applyBorder="1" applyAlignment="1" applyProtection="1">
      <alignment horizontal="center" wrapText="1"/>
    </xf>
    <xf numFmtId="0" fontId="13" fillId="0" borderId="20" xfId="0" applyFont="1" applyBorder="1" applyAlignment="1" applyProtection="1">
      <alignment horizontal="center" wrapText="1"/>
    </xf>
    <xf numFmtId="0" fontId="20" fillId="0" borderId="0" xfId="0" applyFont="1" applyAlignment="1">
      <alignment horizontal="left" vertical="center"/>
    </xf>
    <xf numFmtId="49" fontId="2" fillId="0" borderId="10" xfId="0" applyNumberFormat="1" applyFont="1" applyBorder="1" applyAlignment="1">
      <alignment horizontal="center"/>
    </xf>
    <xf numFmtId="0" fontId="2" fillId="0" borderId="10" xfId="0" applyFont="1" applyBorder="1" applyAlignment="1">
      <alignment horizontal="center"/>
    </xf>
    <xf numFmtId="0" fontId="0" fillId="0" borderId="22"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2" fillId="0" borderId="20" xfId="0"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3" fillId="0" borderId="8" xfId="0" applyFont="1" applyBorder="1" applyAlignment="1" applyProtection="1"/>
    <xf numFmtId="0" fontId="0" fillId="0" borderId="0" xfId="0" applyAlignment="1" applyProtection="1">
      <alignment horizontal="center"/>
    </xf>
    <xf numFmtId="4" fontId="0" fillId="0" borderId="0" xfId="0" applyNumberFormat="1" applyAlignment="1" applyProtection="1">
      <alignment horizontal="center"/>
    </xf>
    <xf numFmtId="2" fontId="0" fillId="0" borderId="8" xfId="0" applyNumberFormat="1" applyFont="1" applyBorder="1" applyAlignment="1" applyProtection="1">
      <alignment horizontal="right"/>
    </xf>
    <xf numFmtId="0" fontId="0" fillId="0" borderId="16" xfId="0" applyFont="1" applyBorder="1" applyAlignment="1">
      <alignment horizontal="center"/>
    </xf>
    <xf numFmtId="0" fontId="0" fillId="0" borderId="14" xfId="0" applyFont="1" applyBorder="1" applyAlignment="1">
      <alignment horizontal="center"/>
    </xf>
    <xf numFmtId="0" fontId="0" fillId="0" borderId="16" xfId="0" applyFont="1" applyBorder="1" applyAlignment="1" applyProtection="1">
      <alignment horizontal="center"/>
    </xf>
    <xf numFmtId="2" fontId="14" fillId="0" borderId="14" xfId="0" applyNumberFormat="1" applyFont="1" applyBorder="1" applyAlignment="1" applyProtection="1">
      <alignment horizontal="center"/>
    </xf>
    <xf numFmtId="0" fontId="0" fillId="0" borderId="16" xfId="0" applyFont="1" applyBorder="1" applyAlignment="1" applyProtection="1">
      <alignment horizontal="right"/>
    </xf>
    <xf numFmtId="2" fontId="14" fillId="0" borderId="14" xfId="0" applyNumberFormat="1" applyFont="1" applyBorder="1" applyAlignment="1" applyProtection="1">
      <alignment horizontal="right"/>
    </xf>
    <xf numFmtId="2" fontId="0" fillId="0" borderId="14" xfId="0" applyNumberFormat="1" applyFont="1" applyBorder="1" applyAlignment="1" applyProtection="1">
      <alignment horizontal="right"/>
    </xf>
    <xf numFmtId="0" fontId="15" fillId="0" borderId="0" xfId="0" applyFont="1" applyAlignment="1"/>
    <xf numFmtId="0" fontId="23" fillId="0" borderId="0" xfId="0" applyFont="1" applyAlignment="1"/>
    <xf numFmtId="0" fontId="20" fillId="0" borderId="0" xfId="0" applyFont="1" applyAlignment="1">
      <alignment vertical="center"/>
    </xf>
    <xf numFmtId="0" fontId="20" fillId="0" borderId="0" xfId="0" applyFont="1" applyAlignment="1">
      <alignment horizontal="center" vertical="center"/>
    </xf>
    <xf numFmtId="0" fontId="0" fillId="0" borderId="23" xfId="0" applyBorder="1" applyAlignment="1">
      <alignment horizontal="left"/>
    </xf>
    <xf numFmtId="0" fontId="0" fillId="0" borderId="6" xfId="0" applyBorder="1" applyAlignment="1">
      <alignment horizontal="left"/>
    </xf>
    <xf numFmtId="0" fontId="0" fillId="0" borderId="3" xfId="0" applyBorder="1" applyAlignment="1">
      <alignment horizontal="left"/>
    </xf>
    <xf numFmtId="0" fontId="0" fillId="0" borderId="3" xfId="0" applyFill="1"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23" xfId="0" applyBorder="1" applyAlignment="1"/>
    <xf numFmtId="0" fontId="0" fillId="0" borderId="24" xfId="0" applyBorder="1" applyAlignment="1"/>
    <xf numFmtId="0" fontId="0" fillId="0" borderId="25" xfId="0" applyBorder="1" applyAlignment="1"/>
    <xf numFmtId="0" fontId="0" fillId="0" borderId="30" xfId="0" applyBorder="1" applyAlignment="1">
      <alignment horizontal="center"/>
    </xf>
    <xf numFmtId="0" fontId="2" fillId="0" borderId="13" xfId="0" applyFont="1" applyBorder="1" applyAlignment="1">
      <alignment horizontal="center"/>
    </xf>
    <xf numFmtId="0" fontId="2" fillId="0" borderId="12" xfId="0" applyFont="1" applyBorder="1" applyAlignment="1">
      <alignment horizontal="center"/>
    </xf>
    <xf numFmtId="49" fontId="2" fillId="0" borderId="12" xfId="0" applyNumberFormat="1" applyFont="1"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31" xfId="0" applyBorder="1" applyAlignment="1">
      <alignment horizontal="left"/>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20" fillId="0" borderId="0" xfId="0" applyFont="1" applyAlignment="1"/>
    <xf numFmtId="0" fontId="13" fillId="0" borderId="18" xfId="0" applyFont="1" applyBorder="1" applyAlignment="1" applyProtection="1"/>
    <xf numFmtId="0" fontId="0" fillId="0" borderId="17" xfId="0" applyFont="1" applyBorder="1" applyAlignment="1" applyProtection="1">
      <alignment horizontal="center"/>
    </xf>
    <xf numFmtId="0" fontId="0" fillId="0" borderId="13" xfId="0" applyFont="1" applyFill="1" applyBorder="1" applyAlignment="1" applyProtection="1">
      <alignment horizontal="center"/>
    </xf>
    <xf numFmtId="0" fontId="0" fillId="0" borderId="16" xfId="0" applyFont="1" applyBorder="1"/>
    <xf numFmtId="0" fontId="0" fillId="0" borderId="17" xfId="0" applyFont="1" applyBorder="1" applyAlignment="1" applyProtection="1">
      <alignment horizontal="right"/>
    </xf>
    <xf numFmtId="2" fontId="0" fillId="0" borderId="15" xfId="0" applyNumberFormat="1" applyFont="1" applyFill="1" applyBorder="1" applyAlignment="1" applyProtection="1">
      <alignment horizontal="center"/>
    </xf>
    <xf numFmtId="0" fontId="6" fillId="0" borderId="8" xfId="0" applyFont="1" applyFill="1" applyBorder="1" applyAlignment="1" applyProtection="1">
      <alignment horizontal="center" wrapText="1"/>
    </xf>
    <xf numFmtId="0" fontId="13" fillId="3" borderId="8" xfId="0" applyFont="1" applyFill="1" applyBorder="1" applyAlignment="1" applyProtection="1"/>
    <xf numFmtId="0" fontId="26" fillId="0" borderId="0" xfId="0" applyFont="1" applyBorder="1" applyAlignment="1" applyProtection="1"/>
    <xf numFmtId="0" fontId="43" fillId="0" borderId="18" xfId="0" applyFont="1" applyBorder="1" applyAlignment="1" applyProtection="1">
      <alignment wrapText="1"/>
    </xf>
    <xf numFmtId="0" fontId="0" fillId="0" borderId="28" xfId="0" applyBorder="1" applyAlignment="1" applyProtection="1"/>
    <xf numFmtId="0" fontId="0" fillId="0" borderId="0" xfId="0" applyBorder="1" applyAlignment="1" applyProtection="1"/>
    <xf numFmtId="0" fontId="24" fillId="3" borderId="16" xfId="0" applyFont="1" applyFill="1" applyBorder="1" applyAlignment="1" applyProtection="1">
      <alignment horizontal="left"/>
      <protection locked="0"/>
    </xf>
    <xf numFmtId="0" fontId="41" fillId="0" borderId="0" xfId="0" applyFont="1" applyAlignment="1" applyProtection="1">
      <alignment horizontal="center" vertical="center" wrapText="1"/>
    </xf>
    <xf numFmtId="0" fontId="41" fillId="0" borderId="0" xfId="0" applyFont="1" applyAlignment="1" applyProtection="1">
      <alignment horizontal="center" wrapText="1"/>
    </xf>
    <xf numFmtId="0" fontId="25" fillId="0" borderId="0" xfId="0" applyFont="1" applyAlignment="1" applyProtection="1">
      <alignment horizontal="center" wrapText="1"/>
    </xf>
    <xf numFmtId="0" fontId="25" fillId="0" borderId="0" xfId="0" applyFont="1" applyBorder="1" applyAlignment="1" applyProtection="1">
      <alignment horizontal="center" wrapText="1"/>
    </xf>
    <xf numFmtId="0" fontId="24" fillId="0" borderId="0" xfId="0" applyFont="1" applyBorder="1" applyAlignment="1" applyProtection="1">
      <alignment horizontal="center" wrapText="1"/>
    </xf>
    <xf numFmtId="0" fontId="20" fillId="0" borderId="0" xfId="0" applyFont="1" applyAlignment="1" applyProtection="1">
      <alignment horizontal="left" vertical="center"/>
    </xf>
    <xf numFmtId="0" fontId="30" fillId="0" borderId="0" xfId="0" applyFont="1" applyAlignment="1" applyProtection="1">
      <alignment horizontal="center"/>
    </xf>
    <xf numFmtId="0" fontId="2" fillId="0" borderId="16" xfId="0" applyFont="1" applyBorder="1" applyAlignment="1" applyProtection="1">
      <alignment horizontal="left"/>
    </xf>
    <xf numFmtId="0" fontId="24" fillId="3" borderId="8" xfId="0" applyFont="1" applyFill="1" applyBorder="1" applyAlignment="1" applyProtection="1">
      <alignment horizontal="center"/>
      <protection locked="0"/>
    </xf>
    <xf numFmtId="0" fontId="41" fillId="0" borderId="0" xfId="0" applyFont="1" applyAlignment="1" applyProtection="1">
      <alignment horizontal="center"/>
    </xf>
    <xf numFmtId="0" fontId="40" fillId="0" borderId="28" xfId="0" applyFont="1" applyFill="1" applyBorder="1" applyAlignment="1" applyProtection="1">
      <alignment wrapText="1"/>
    </xf>
    <xf numFmtId="0" fontId="40" fillId="0" borderId="0" xfId="0" applyFont="1" applyFill="1" applyBorder="1" applyAlignment="1" applyProtection="1">
      <alignment wrapText="1"/>
    </xf>
    <xf numFmtId="0" fontId="40" fillId="0" borderId="0" xfId="0" applyFont="1" applyFill="1" applyBorder="1" applyAlignment="1" applyProtection="1">
      <alignment horizontal="left"/>
    </xf>
    <xf numFmtId="0" fontId="40" fillId="0" borderId="28" xfId="0" applyFont="1" applyFill="1" applyBorder="1" applyAlignment="1" applyProtection="1">
      <alignment horizontal="left"/>
    </xf>
    <xf numFmtId="0" fontId="20" fillId="0" borderId="0" xfId="0" applyFont="1" applyAlignment="1" applyProtection="1">
      <alignment vertical="center"/>
    </xf>
    <xf numFmtId="0" fontId="31" fillId="0" borderId="0" xfId="0" applyFont="1" applyFill="1" applyBorder="1" applyAlignment="1" applyProtection="1">
      <alignment horizontal="right"/>
    </xf>
    <xf numFmtId="0" fontId="40" fillId="0" borderId="0" xfId="0" applyFont="1" applyFill="1" applyBorder="1" applyAlignment="1" applyProtection="1"/>
    <xf numFmtId="0" fontId="27" fillId="3" borderId="10" xfId="0" applyFont="1" applyFill="1" applyBorder="1" applyAlignment="1" applyProtection="1"/>
    <xf numFmtId="0" fontId="27" fillId="3" borderId="0" xfId="0" applyFont="1" applyFill="1" applyBorder="1" applyAlignment="1" applyProtection="1"/>
    <xf numFmtId="0" fontId="25" fillId="0" borderId="16" xfId="0" applyFont="1" applyBorder="1" applyProtection="1"/>
    <xf numFmtId="0" fontId="24" fillId="3" borderId="16" xfId="0" applyFont="1" applyFill="1" applyBorder="1" applyAlignment="1" applyProtection="1">
      <protection locked="0"/>
    </xf>
    <xf numFmtId="0" fontId="24" fillId="3" borderId="17" xfId="0" applyFont="1" applyFill="1" applyBorder="1" applyAlignment="1" applyProtection="1">
      <protection locked="0"/>
    </xf>
    <xf numFmtId="0" fontId="24" fillId="0" borderId="8" xfId="0" applyFont="1" applyFill="1" applyBorder="1" applyAlignment="1" applyProtection="1"/>
    <xf numFmtId="0" fontId="24" fillId="0" borderId="15" xfId="0" applyFont="1" applyBorder="1" applyAlignment="1" applyProtection="1"/>
    <xf numFmtId="0" fontId="24" fillId="0" borderId="16" xfId="0" applyFont="1" applyFill="1" applyBorder="1" applyAlignment="1" applyProtection="1"/>
    <xf numFmtId="0" fontId="24" fillId="0" borderId="17" xfId="0" applyFont="1" applyFill="1" applyBorder="1" applyAlignment="1" applyProtection="1"/>
    <xf numFmtId="0" fontId="24" fillId="0" borderId="14" xfId="0" applyFont="1" applyFill="1" applyBorder="1" applyAlignment="1" applyProtection="1"/>
    <xf numFmtId="0" fontId="24" fillId="0" borderId="16" xfId="0" applyFont="1" applyBorder="1" applyAlignment="1" applyProtection="1"/>
    <xf numFmtId="0" fontId="24" fillId="0" borderId="14" xfId="0" applyFont="1" applyBorder="1" applyAlignment="1" applyProtection="1"/>
    <xf numFmtId="4" fontId="24" fillId="3" borderId="17" xfId="0" applyNumberFormat="1" applyFont="1" applyFill="1" applyBorder="1" applyAlignment="1" applyProtection="1"/>
    <xf numFmtId="0" fontId="24" fillId="3" borderId="17" xfId="0" applyFont="1" applyFill="1" applyBorder="1" applyAlignment="1" applyProtection="1"/>
    <xf numFmtId="0" fontId="28" fillId="3" borderId="16" xfId="0" applyFont="1" applyFill="1" applyBorder="1" applyAlignment="1" applyProtection="1">
      <protection locked="0"/>
    </xf>
    <xf numFmtId="0" fontId="28" fillId="3" borderId="14" xfId="0" applyFont="1" applyFill="1" applyBorder="1" applyAlignment="1" applyProtection="1">
      <protection locked="0"/>
    </xf>
    <xf numFmtId="0" fontId="28" fillId="3" borderId="17" xfId="0" applyFont="1" applyFill="1" applyBorder="1" applyAlignment="1" applyProtection="1">
      <protection locked="0"/>
    </xf>
    <xf numFmtId="0" fontId="28" fillId="3" borderId="14" xfId="0" applyFont="1" applyFill="1" applyBorder="1" applyAlignment="1" applyProtection="1"/>
    <xf numFmtId="0" fontId="28" fillId="3" borderId="17" xfId="0" applyFont="1" applyFill="1" applyBorder="1" applyAlignment="1" applyProtection="1"/>
    <xf numFmtId="0" fontId="24" fillId="0" borderId="0" xfId="0" applyFont="1" applyBorder="1" applyAlignment="1" applyProtection="1">
      <alignment wrapText="1"/>
    </xf>
    <xf numFmtId="0" fontId="2" fillId="0" borderId="0" xfId="0" applyFont="1" applyBorder="1" applyAlignment="1" applyProtection="1"/>
    <xf numFmtId="0" fontId="24" fillId="3" borderId="17" xfId="0" applyFont="1" applyFill="1" applyBorder="1" applyAlignment="1" applyProtection="1">
      <alignment horizontal="left"/>
    </xf>
    <xf numFmtId="4" fontId="24" fillId="3" borderId="17" xfId="0" applyNumberFormat="1" applyFont="1" applyFill="1" applyBorder="1" applyAlignment="1" applyProtection="1">
      <alignment horizontal="left"/>
    </xf>
    <xf numFmtId="0" fontId="2" fillId="0" borderId="8" xfId="0" applyFont="1" applyBorder="1" applyAlignment="1" applyProtection="1"/>
    <xf numFmtId="0" fontId="28" fillId="3" borderId="20" xfId="0" applyFont="1" applyFill="1" applyBorder="1" applyAlignment="1" applyProtection="1">
      <protection locked="0"/>
    </xf>
    <xf numFmtId="0" fontId="28" fillId="3" borderId="28" xfId="0" applyFont="1" applyFill="1" applyBorder="1" applyAlignment="1" applyProtection="1">
      <protection locked="0"/>
    </xf>
    <xf numFmtId="0" fontId="28" fillId="3" borderId="37" xfId="0" applyFont="1" applyFill="1" applyBorder="1" applyAlignment="1" applyProtection="1">
      <protection locked="0"/>
    </xf>
    <xf numFmtId="0" fontId="28" fillId="3" borderId="11" xfId="0" applyFont="1" applyFill="1" applyBorder="1" applyAlignment="1" applyProtection="1">
      <protection locked="0"/>
    </xf>
    <xf numFmtId="0" fontId="28" fillId="3" borderId="18" xfId="0" applyFont="1" applyFill="1" applyBorder="1" applyAlignment="1" applyProtection="1">
      <protection locked="0"/>
    </xf>
    <xf numFmtId="0" fontId="28" fillId="3" borderId="29" xfId="0" applyFont="1" applyFill="1" applyBorder="1" applyAlignment="1" applyProtection="1">
      <protection locked="0"/>
    </xf>
    <xf numFmtId="0" fontId="27" fillId="0" borderId="0" xfId="0" applyFont="1" applyBorder="1" applyAlignment="1" applyProtection="1">
      <alignment horizontal="center"/>
    </xf>
    <xf numFmtId="0" fontId="28" fillId="3" borderId="28" xfId="0" applyFont="1" applyFill="1" applyBorder="1" applyAlignment="1" applyProtection="1"/>
    <xf numFmtId="0" fontId="28" fillId="3" borderId="37" xfId="0" applyFont="1" applyFill="1" applyBorder="1" applyAlignment="1" applyProtection="1"/>
    <xf numFmtId="0" fontId="28" fillId="3" borderId="18" xfId="0" applyFont="1" applyFill="1" applyBorder="1" applyAlignment="1" applyProtection="1"/>
    <xf numFmtId="0" fontId="28" fillId="3" borderId="29" xfId="0" applyFont="1" applyFill="1" applyBorder="1" applyAlignment="1" applyProtection="1"/>
    <xf numFmtId="0" fontId="24" fillId="0" borderId="28" xfId="0" applyFont="1" applyBorder="1" applyAlignment="1" applyProtection="1"/>
    <xf numFmtId="0" fontId="27" fillId="0" borderId="13" xfId="0" applyFont="1" applyFill="1" applyBorder="1" applyProtection="1"/>
    <xf numFmtId="4" fontId="24" fillId="3" borderId="37" xfId="0" applyNumberFormat="1" applyFont="1" applyFill="1" applyBorder="1" applyAlignment="1" applyProtection="1"/>
    <xf numFmtId="4" fontId="24" fillId="3" borderId="29" xfId="0" applyNumberFormat="1" applyFont="1" applyFill="1" applyBorder="1" applyAlignment="1" applyProtection="1"/>
    <xf numFmtId="0" fontId="28" fillId="0" borderId="0" xfId="0" applyFont="1" applyBorder="1" applyProtection="1"/>
    <xf numFmtId="0" fontId="28" fillId="0" borderId="0" xfId="0" applyFont="1" applyBorder="1" applyAlignment="1" applyProtection="1">
      <alignment horizontal="center"/>
    </xf>
    <xf numFmtId="0" fontId="2" fillId="0" borderId="16" xfId="0" applyFont="1" applyFill="1" applyBorder="1" applyAlignment="1" applyProtection="1">
      <alignment horizontal="left"/>
    </xf>
    <xf numFmtId="0" fontId="2" fillId="0" borderId="20" xfId="0" applyFont="1" applyFill="1" applyBorder="1" applyAlignment="1" applyProtection="1">
      <alignment horizontal="left"/>
    </xf>
    <xf numFmtId="0" fontId="22" fillId="0" borderId="0" xfId="0" applyFont="1" applyBorder="1" applyAlignment="1" applyProtection="1">
      <alignment wrapText="1"/>
    </xf>
    <xf numFmtId="0" fontId="2" fillId="0" borderId="14" xfId="0" applyFont="1" applyBorder="1" applyAlignment="1" applyProtection="1">
      <alignment horizontal="center"/>
    </xf>
    <xf numFmtId="0" fontId="2" fillId="0" borderId="28" xfId="0" applyFont="1" applyBorder="1" applyAlignment="1" applyProtection="1">
      <alignment horizontal="center"/>
    </xf>
    <xf numFmtId="0" fontId="24" fillId="0" borderId="29" xfId="0" applyFont="1" applyBorder="1" applyAlignment="1" applyProtection="1">
      <alignment horizontal="center"/>
    </xf>
    <xf numFmtId="0" fontId="24" fillId="3" borderId="12" xfId="0" applyFont="1" applyFill="1" applyBorder="1" applyAlignment="1" applyProtection="1">
      <alignment horizontal="center"/>
      <protection locked="0"/>
    </xf>
    <xf numFmtId="0" fontId="24" fillId="0" borderId="12" xfId="0" applyFont="1" applyFill="1" applyBorder="1" applyAlignment="1" applyProtection="1">
      <alignment horizontal="center"/>
    </xf>
    <xf numFmtId="0" fontId="24" fillId="3" borderId="12" xfId="0" applyFont="1" applyFill="1" applyBorder="1" applyAlignment="1" applyProtection="1">
      <alignment horizontal="left"/>
      <protection locked="0"/>
    </xf>
    <xf numFmtId="0" fontId="24" fillId="0" borderId="21" xfId="0" applyFont="1" applyFill="1" applyBorder="1" applyAlignment="1" applyProtection="1">
      <alignment horizontal="center"/>
    </xf>
    <xf numFmtId="0" fontId="24" fillId="3" borderId="11" xfId="0" applyFont="1" applyFill="1" applyBorder="1" applyAlignment="1" applyProtection="1">
      <protection locked="0"/>
    </xf>
    <xf numFmtId="0" fontId="24" fillId="3" borderId="14" xfId="0" applyFont="1" applyFill="1" applyBorder="1" applyAlignment="1" applyProtection="1"/>
    <xf numFmtId="0" fontId="20" fillId="0" borderId="0" xfId="0" applyFont="1" applyAlignment="1" applyProtection="1"/>
    <xf numFmtId="0" fontId="28" fillId="0" borderId="8" xfId="0" applyFont="1" applyBorder="1" applyAlignment="1" applyProtection="1"/>
    <xf numFmtId="0" fontId="22" fillId="0" borderId="0" xfId="0" applyFont="1" applyBorder="1" applyAlignment="1" applyProtection="1"/>
    <xf numFmtId="0" fontId="24" fillId="3" borderId="18" xfId="0" applyFont="1" applyFill="1" applyBorder="1" applyAlignment="1" applyProtection="1"/>
    <xf numFmtId="0" fontId="24" fillId="3" borderId="29" xfId="0" applyFont="1" applyFill="1" applyBorder="1" applyAlignment="1" applyProtection="1"/>
    <xf numFmtId="0" fontId="22" fillId="0" borderId="17" xfId="0" applyFont="1" applyBorder="1" applyProtection="1"/>
    <xf numFmtId="0" fontId="45" fillId="0" borderId="0" xfId="0" applyFont="1" applyAlignment="1" applyProtection="1">
      <alignment horizontal="left" wrapText="1"/>
    </xf>
    <xf numFmtId="0" fontId="45" fillId="0" borderId="0" xfId="0" applyFont="1" applyAlignment="1" applyProtection="1">
      <alignment horizontal="left"/>
    </xf>
    <xf numFmtId="0" fontId="45" fillId="0" borderId="0" xfId="0" applyFont="1" applyAlignment="1" applyProtection="1"/>
    <xf numFmtId="0" fontId="24" fillId="0" borderId="10" xfId="0" applyFont="1" applyBorder="1" applyAlignment="1" applyProtection="1"/>
    <xf numFmtId="0" fontId="24" fillId="0" borderId="12" xfId="0" applyFont="1" applyBorder="1" applyAlignment="1" applyProtection="1"/>
    <xf numFmtId="0" fontId="24" fillId="0" borderId="20" xfId="0" applyFont="1" applyFill="1" applyBorder="1" applyAlignment="1" applyProtection="1"/>
    <xf numFmtId="0" fontId="24" fillId="0" borderId="37" xfId="0" applyFont="1" applyFill="1" applyBorder="1" applyAlignment="1" applyProtection="1"/>
    <xf numFmtId="0" fontId="24" fillId="0" borderId="11" xfId="0" applyFont="1" applyFill="1" applyBorder="1" applyAlignment="1" applyProtection="1"/>
    <xf numFmtId="0" fontId="24" fillId="0" borderId="29" xfId="0" applyFont="1" applyFill="1" applyBorder="1" applyAlignment="1" applyProtection="1"/>
    <xf numFmtId="0" fontId="24" fillId="0" borderId="17" xfId="0" applyFont="1" applyBorder="1" applyAlignment="1" applyProtection="1"/>
    <xf numFmtId="0" fontId="13" fillId="3" borderId="10" xfId="0" applyFont="1" applyFill="1" applyBorder="1" applyAlignment="1" applyProtection="1"/>
    <xf numFmtId="0" fontId="13" fillId="3" borderId="0" xfId="0" applyFont="1" applyFill="1" applyBorder="1" applyAlignment="1" applyProtection="1"/>
    <xf numFmtId="0" fontId="24" fillId="0" borderId="16" xfId="0" applyFont="1" applyBorder="1" applyProtection="1"/>
    <xf numFmtId="0" fontId="22" fillId="3" borderId="17" xfId="0" applyFont="1" applyFill="1" applyBorder="1" applyProtection="1"/>
    <xf numFmtId="0" fontId="24" fillId="0" borderId="0" xfId="0" applyFont="1" applyProtection="1">
      <protection locked="0"/>
    </xf>
    <xf numFmtId="3" fontId="24" fillId="3" borderId="16" xfId="0" applyNumberFormat="1" applyFont="1" applyFill="1" applyBorder="1" applyAlignment="1" applyProtection="1">
      <protection locked="0"/>
    </xf>
    <xf numFmtId="3" fontId="24" fillId="3" borderId="14" xfId="0" applyNumberFormat="1" applyFont="1" applyFill="1" applyBorder="1" applyAlignment="1" applyProtection="1">
      <protection locked="0"/>
    </xf>
    <xf numFmtId="3" fontId="24" fillId="3" borderId="14" xfId="0" applyNumberFormat="1" applyFont="1" applyFill="1" applyBorder="1" applyAlignment="1" applyProtection="1">
      <alignment horizontal="left"/>
      <protection locked="0"/>
    </xf>
    <xf numFmtId="3" fontId="24" fillId="3" borderId="28" xfId="0" applyNumberFormat="1" applyFont="1" applyFill="1" applyBorder="1" applyAlignment="1" applyProtection="1">
      <protection locked="0"/>
    </xf>
    <xf numFmtId="3" fontId="24" fillId="3" borderId="18" xfId="0" applyNumberFormat="1" applyFont="1" applyFill="1" applyBorder="1" applyAlignment="1" applyProtection="1">
      <protection locked="0"/>
    </xf>
    <xf numFmtId="3" fontId="24" fillId="3" borderId="20" xfId="0" applyNumberFormat="1" applyFont="1" applyFill="1" applyBorder="1" applyAlignment="1" applyProtection="1">
      <protection locked="0"/>
    </xf>
    <xf numFmtId="3" fontId="24" fillId="3" borderId="11" xfId="0" applyNumberFormat="1" applyFont="1" applyFill="1" applyBorder="1" applyAlignment="1" applyProtection="1">
      <protection locked="0"/>
    </xf>
  </cellXfs>
  <cellStyles count="4">
    <cellStyle name="Normal" xfId="0" builtinId="0"/>
    <cellStyle name="Normal 2" xfId="1" xr:uid="{00000000-0005-0000-0000-000001000000}"/>
    <cellStyle name="Normal 3" xfId="3" xr:uid="{00000000-0005-0000-0000-000002000000}"/>
    <cellStyle name="Percent 2" xfId="2" xr:uid="{00000000-0005-0000-0000-000003000000}"/>
  </cellStyles>
  <dxfs count="2037">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ont>
        <strike val="0"/>
      </font>
      <fill>
        <patternFill>
          <bgColor theme="0" tint="-0.24994659260841701"/>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auto="1"/>
        </patternFill>
      </fill>
      <border>
        <left/>
        <right/>
        <top/>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auto="1"/>
        </patternFill>
      </fill>
      <border>
        <left/>
        <right/>
        <top/>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auto="1"/>
        </patternFill>
      </fill>
      <border>
        <left/>
        <right/>
        <top/>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auto="1"/>
        </patternFill>
      </fill>
      <border>
        <left/>
        <right/>
        <top/>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auto="1"/>
        </patternFill>
      </fill>
      <border>
        <left/>
        <right/>
        <top/>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indexed="65"/>
        </patternFill>
      </fill>
      <border>
        <left/>
        <right/>
        <top/>
        <bottom/>
      </border>
    </dxf>
    <dxf>
      <fill>
        <patternFill patternType="none">
          <bgColor auto="1"/>
        </patternFill>
      </fill>
      <border>
        <left/>
        <right/>
        <top/>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auto="1"/>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tabSelected="1" workbookViewId="0"/>
  </sheetViews>
  <sheetFormatPr defaultColWidth="8.85546875" defaultRowHeight="15" x14ac:dyDescent="0.25"/>
  <cols>
    <col min="1" max="1" width="24.42578125" style="6" customWidth="1"/>
    <col min="2" max="2" width="14.140625" style="6" customWidth="1"/>
    <col min="3" max="3" width="15.28515625" style="6" customWidth="1"/>
    <col min="4" max="4" width="15" style="6" customWidth="1"/>
    <col min="5" max="5" width="12.140625" style="6" customWidth="1"/>
    <col min="6" max="6" width="14.7109375" style="6" customWidth="1"/>
    <col min="7" max="7" width="22.140625" style="6" customWidth="1"/>
    <col min="8" max="8" width="5.5703125" style="6" customWidth="1"/>
    <col min="9" max="9" width="13.140625" style="6" customWidth="1"/>
    <col min="10" max="10" width="12.42578125" style="6" customWidth="1"/>
    <col min="11" max="11" width="3.7109375" style="6" hidden="1" customWidth="1"/>
    <col min="12" max="12" width="13.7109375" style="6" customWidth="1"/>
    <col min="13" max="13" width="11.7109375" style="6" customWidth="1"/>
    <col min="14" max="16384" width="8.85546875" style="6"/>
  </cols>
  <sheetData>
    <row r="1" spans="1:13" ht="18.75" x14ac:dyDescent="0.3">
      <c r="A1" s="378" t="s">
        <v>190</v>
      </c>
      <c r="B1" s="378"/>
      <c r="C1" s="378"/>
      <c r="D1" s="152" t="s">
        <v>236</v>
      </c>
      <c r="G1" s="28" t="s">
        <v>275</v>
      </c>
      <c r="H1" s="6" t="s">
        <v>249</v>
      </c>
    </row>
    <row r="2" spans="1:13" x14ac:dyDescent="0.25">
      <c r="A2" s="302" t="s">
        <v>77</v>
      </c>
      <c r="B2" s="302"/>
    </row>
    <row r="3" spans="1:13" x14ac:dyDescent="0.25">
      <c r="A3" s="29"/>
    </row>
    <row r="4" spans="1:13" x14ac:dyDescent="0.25">
      <c r="A4" s="396" t="s">
        <v>92</v>
      </c>
      <c r="B4" s="328"/>
      <c r="C4" s="397"/>
      <c r="D4" s="336" t="s">
        <v>106</v>
      </c>
      <c r="E4" s="336"/>
      <c r="F4" s="383"/>
      <c r="G4" s="329"/>
      <c r="H4" s="29"/>
      <c r="I4" s="29"/>
      <c r="J4" s="29"/>
      <c r="K4" s="29"/>
      <c r="L4" s="29"/>
      <c r="M4" s="29"/>
    </row>
    <row r="5" spans="1:13" ht="15" customHeight="1" x14ac:dyDescent="0.25">
      <c r="A5" s="315" t="s">
        <v>93</v>
      </c>
      <c r="B5" s="376"/>
      <c r="C5" s="381"/>
      <c r="D5" s="381"/>
      <c r="E5" s="382"/>
      <c r="F5" s="51" t="s">
        <v>105</v>
      </c>
      <c r="G5" s="42"/>
      <c r="H5" s="29" t="s">
        <v>274</v>
      </c>
      <c r="I5" s="380" t="s">
        <v>272</v>
      </c>
      <c r="J5" s="380"/>
      <c r="K5" s="380"/>
      <c r="L5" s="380"/>
      <c r="M5" s="380"/>
    </row>
    <row r="6" spans="1:13" x14ac:dyDescent="0.25">
      <c r="A6" s="315" t="s">
        <v>94</v>
      </c>
      <c r="B6" s="328"/>
      <c r="C6" s="377"/>
      <c r="D6" s="377"/>
      <c r="E6" s="377"/>
      <c r="F6" s="377"/>
      <c r="G6" s="338"/>
      <c r="H6" s="368"/>
      <c r="I6" s="380" t="s">
        <v>273</v>
      </c>
      <c r="J6" s="380"/>
      <c r="K6" s="380"/>
      <c r="L6" s="380"/>
      <c r="M6" s="380"/>
    </row>
    <row r="7" spans="1:13" x14ac:dyDescent="0.25">
      <c r="A7" s="315" t="s">
        <v>95</v>
      </c>
      <c r="B7" s="328"/>
      <c r="C7" s="377"/>
      <c r="D7" s="377"/>
      <c r="E7" s="377"/>
      <c r="F7" s="377"/>
      <c r="G7" s="338"/>
      <c r="H7" s="29"/>
      <c r="I7" s="29"/>
      <c r="J7" s="29"/>
      <c r="K7" s="29"/>
      <c r="L7" s="29"/>
      <c r="M7" s="29"/>
    </row>
    <row r="8" spans="1:13" x14ac:dyDescent="0.25">
      <c r="A8" s="315" t="s">
        <v>96</v>
      </c>
      <c r="B8" s="328"/>
      <c r="C8" s="338"/>
      <c r="D8" s="371" t="s">
        <v>103</v>
      </c>
      <c r="E8" s="372"/>
      <c r="F8" s="373" t="s">
        <v>104</v>
      </c>
      <c r="G8" s="374"/>
      <c r="H8" s="29"/>
      <c r="I8" s="29"/>
      <c r="J8" s="29"/>
      <c r="K8" s="29"/>
      <c r="L8" s="29"/>
      <c r="M8" s="29"/>
    </row>
    <row r="9" spans="1:13" x14ac:dyDescent="0.25">
      <c r="A9" s="315" t="s">
        <v>97</v>
      </c>
      <c r="B9" s="328"/>
      <c r="C9" s="338"/>
      <c r="D9" s="370" t="s">
        <v>102</v>
      </c>
      <c r="E9" s="328"/>
      <c r="F9" s="377"/>
      <c r="G9" s="338"/>
      <c r="H9" s="29"/>
      <c r="I9" s="29"/>
      <c r="J9" s="29"/>
      <c r="K9" s="29" t="s">
        <v>63</v>
      </c>
      <c r="L9" s="29"/>
      <c r="M9" s="29"/>
    </row>
    <row r="10" spans="1:13" x14ac:dyDescent="0.25">
      <c r="A10" s="366" t="s">
        <v>98</v>
      </c>
      <c r="B10" s="328"/>
      <c r="C10" s="377"/>
      <c r="D10" s="377"/>
      <c r="E10" s="377"/>
      <c r="F10" s="377"/>
      <c r="G10" s="338"/>
      <c r="H10" s="29"/>
      <c r="I10" s="29"/>
      <c r="J10" s="29"/>
      <c r="K10" s="29" t="s">
        <v>64</v>
      </c>
      <c r="L10" s="29"/>
      <c r="M10" s="29"/>
    </row>
    <row r="11" spans="1:13" x14ac:dyDescent="0.25">
      <c r="A11" s="366" t="s">
        <v>99</v>
      </c>
      <c r="B11" s="328"/>
      <c r="C11" s="377"/>
      <c r="D11" s="377"/>
      <c r="E11" s="377"/>
      <c r="F11" s="377"/>
      <c r="G11" s="338"/>
      <c r="H11" s="29"/>
      <c r="J11" s="29"/>
      <c r="K11" s="29"/>
      <c r="L11" s="29"/>
      <c r="M11" s="29"/>
    </row>
    <row r="12" spans="1:13" x14ac:dyDescent="0.25">
      <c r="A12" s="366" t="s">
        <v>100</v>
      </c>
      <c r="B12" s="328"/>
      <c r="C12" s="377"/>
      <c r="D12" s="377"/>
      <c r="E12" s="377"/>
      <c r="F12" s="377"/>
      <c r="G12" s="338"/>
      <c r="H12" s="29"/>
      <c r="J12" s="29"/>
      <c r="K12" s="29"/>
      <c r="L12" s="29"/>
      <c r="M12" s="29"/>
    </row>
    <row r="13" spans="1:13" x14ac:dyDescent="0.25">
      <c r="A13" s="315" t="s">
        <v>96</v>
      </c>
      <c r="B13" s="328"/>
      <c r="C13" s="338"/>
      <c r="D13" s="140" t="s">
        <v>103</v>
      </c>
      <c r="E13" s="316"/>
      <c r="F13" s="375" t="s">
        <v>104</v>
      </c>
      <c r="G13" s="374"/>
      <c r="H13" s="29"/>
      <c r="I13" s="29"/>
      <c r="J13" s="29"/>
      <c r="K13" s="29" t="s">
        <v>65</v>
      </c>
      <c r="L13" s="29"/>
      <c r="M13" s="29"/>
    </row>
    <row r="14" spans="1:13" x14ac:dyDescent="0.25">
      <c r="A14" s="367" t="s">
        <v>101</v>
      </c>
      <c r="B14" s="328"/>
      <c r="C14" s="338"/>
      <c r="D14" s="369" t="s">
        <v>102</v>
      </c>
      <c r="E14" s="328"/>
      <c r="F14" s="377"/>
      <c r="G14" s="338"/>
      <c r="H14" s="29"/>
      <c r="I14" s="29"/>
      <c r="J14" s="29"/>
      <c r="K14" s="29" t="s">
        <v>66</v>
      </c>
      <c r="L14" s="29"/>
      <c r="M14" s="29"/>
    </row>
    <row r="15" spans="1:13" x14ac:dyDescent="0.25">
      <c r="A15" s="44"/>
      <c r="B15" s="45"/>
      <c r="C15" s="45"/>
      <c r="D15" s="45"/>
      <c r="E15" s="46"/>
      <c r="F15" s="45"/>
      <c r="G15" s="45"/>
      <c r="H15" s="29"/>
      <c r="I15" s="29"/>
      <c r="J15" s="33"/>
      <c r="K15" s="33"/>
      <c r="L15" s="29"/>
      <c r="M15" s="29"/>
    </row>
    <row r="16" spans="1:13" x14ac:dyDescent="0.25">
      <c r="A16" s="47" t="s">
        <v>107</v>
      </c>
      <c r="B16" s="43">
        <v>3273</v>
      </c>
      <c r="C16" s="51"/>
      <c r="D16" s="45"/>
      <c r="E16" s="45"/>
      <c r="F16" s="45"/>
      <c r="G16" s="45"/>
      <c r="H16" s="29"/>
      <c r="I16" s="29"/>
      <c r="J16" s="29"/>
      <c r="K16" s="29"/>
      <c r="L16" s="29"/>
      <c r="M16" s="29"/>
    </row>
    <row r="17" spans="1:13" x14ac:dyDescent="0.25">
      <c r="A17" s="47" t="s">
        <v>108</v>
      </c>
      <c r="B17" s="43">
        <v>327320</v>
      </c>
      <c r="C17" s="51"/>
      <c r="D17" s="45"/>
      <c r="E17" s="45"/>
      <c r="F17" s="45"/>
      <c r="G17" s="45"/>
      <c r="H17" s="29"/>
      <c r="I17" s="29"/>
      <c r="J17" s="29"/>
      <c r="K17" s="29"/>
      <c r="L17" s="29"/>
      <c r="M17" s="29"/>
    </row>
    <row r="18" spans="1:13" x14ac:dyDescent="0.25">
      <c r="A18" s="47" t="s">
        <v>109</v>
      </c>
      <c r="B18" s="379" t="s">
        <v>189</v>
      </c>
      <c r="C18" s="379"/>
      <c r="D18" s="137"/>
      <c r="E18" s="45"/>
      <c r="F18" s="45"/>
      <c r="G18" s="45"/>
      <c r="H18" s="29"/>
      <c r="I18" s="29"/>
      <c r="J18" s="29"/>
      <c r="K18" s="29"/>
      <c r="L18" s="29"/>
      <c r="M18" s="29"/>
    </row>
    <row r="19" spans="1:13" x14ac:dyDescent="0.25">
      <c r="A19" s="48"/>
      <c r="B19" s="49"/>
      <c r="C19" s="45"/>
      <c r="D19" s="45"/>
      <c r="E19" s="45"/>
      <c r="F19" s="45"/>
      <c r="G19" s="45"/>
      <c r="H19" s="29"/>
      <c r="I19" s="29"/>
      <c r="J19" s="29"/>
      <c r="K19" s="29"/>
      <c r="L19" s="29"/>
      <c r="M19" s="29"/>
    </row>
    <row r="20" spans="1:13" x14ac:dyDescent="0.25">
      <c r="A20" s="348" t="s">
        <v>143</v>
      </c>
      <c r="B20" s="348"/>
      <c r="C20" s="102"/>
      <c r="D20" s="45"/>
      <c r="E20" s="45"/>
      <c r="F20" s="45"/>
      <c r="G20" s="45"/>
      <c r="H20" s="29"/>
      <c r="I20" s="29"/>
      <c r="J20" s="29"/>
      <c r="K20" s="29"/>
      <c r="L20" s="29"/>
      <c r="M20" s="29"/>
    </row>
    <row r="21" spans="1:13" x14ac:dyDescent="0.25">
      <c r="A21" s="77" t="str">
        <f>"Number of Plants Operated in "&amp;'Facility Information'!G5&amp;":"</f>
        <v>Number of Plants Operated in :</v>
      </c>
      <c r="B21" s="77"/>
      <c r="C21" s="102"/>
      <c r="D21" s="45"/>
      <c r="E21" s="45"/>
      <c r="F21" s="45"/>
      <c r="G21" s="45"/>
      <c r="H21" s="29"/>
      <c r="I21" s="29"/>
      <c r="J21" s="29"/>
      <c r="K21" s="29"/>
      <c r="L21" s="29"/>
      <c r="M21" s="29"/>
    </row>
    <row r="22" spans="1:13" x14ac:dyDescent="0.25">
      <c r="A22" s="53"/>
      <c r="B22" s="53"/>
      <c r="C22" s="45"/>
      <c r="D22" s="45"/>
      <c r="E22" s="45"/>
      <c r="F22" s="45"/>
      <c r="G22" s="45"/>
      <c r="H22" s="29"/>
      <c r="I22" s="29"/>
      <c r="J22" s="29"/>
      <c r="K22" s="29"/>
      <c r="L22" s="29"/>
      <c r="M22" s="29"/>
    </row>
    <row r="23" spans="1:13" x14ac:dyDescent="0.25">
      <c r="A23" s="12"/>
      <c r="B23" s="12"/>
      <c r="C23" s="12"/>
      <c r="D23" s="12"/>
      <c r="E23" s="12"/>
      <c r="F23" s="12"/>
      <c r="G23" s="32"/>
      <c r="H23" s="12"/>
      <c r="I23" s="30"/>
      <c r="J23" s="12"/>
    </row>
  </sheetData>
  <sheetProtection algorithmName="SHA-512" hashValue="byNapT0I30nWg9DPY+xFOKDKvY5+9HZ9iISHzlmUtUMjmJbwZ8MmpD+SwBXIUuDXcRHwa8pmBRdaE0aff8jIDQ==" saltValue="/hywdRU2gYJAmt7CAEzjYA==" spinCount="100000" sheet="1" objects="1" scenarios="1"/>
  <dataConsolidate/>
  <dataValidations count="3">
    <dataValidation type="list" allowBlank="1" showInputMessage="1" showErrorMessage="1" sqref="K13:K14" xr:uid="{00000000-0002-0000-0000-000000000000}">
      <formula1>Employ</formula1>
    </dataValidation>
    <dataValidation type="list" allowBlank="1" showInputMessage="1" showErrorMessage="1" sqref="B4" xr:uid="{00000000-0002-0000-0000-000001000000}">
      <formula1>Submit</formula1>
    </dataValidation>
    <dataValidation type="list" allowBlank="1" showInputMessage="1" showErrorMessage="1" sqref="G4" xr:uid="{00000000-0002-0000-0000-000002000000}">
      <formula1>NoEmploy</formula1>
    </dataValidation>
  </dataValidations>
  <pageMargins left="0.7" right="0.7" top="0.75" bottom="0.75" header="0.3" footer="0.3"/>
  <pageSetup fitToHeight="0" orientation="landscape"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180"/>
  <sheetViews>
    <sheetView topLeftCell="B1" workbookViewId="0">
      <selection activeCell="B1" sqref="B1"/>
    </sheetView>
  </sheetViews>
  <sheetFormatPr defaultColWidth="8.85546875" defaultRowHeight="14.25" customHeight="1" x14ac:dyDescent="0.2"/>
  <cols>
    <col min="1" max="1" width="8" style="67" hidden="1" customWidth="1"/>
    <col min="2" max="2" width="28.85546875" style="67" customWidth="1"/>
    <col min="3" max="3" width="9.7109375" style="67" customWidth="1"/>
    <col min="4" max="4" width="10.85546875" style="67" customWidth="1"/>
    <col min="5" max="5" width="9.42578125" style="67" customWidth="1"/>
    <col min="6" max="6" width="7.5703125" style="67" customWidth="1"/>
    <col min="7" max="7" width="2.85546875" style="67" customWidth="1"/>
    <col min="8" max="8" width="10.7109375" style="67" customWidth="1"/>
    <col min="9" max="9" width="14" style="67" customWidth="1"/>
    <col min="10" max="10" width="28" style="67" customWidth="1"/>
    <col min="11" max="11" width="37.7109375" style="67" customWidth="1"/>
    <col min="12" max="12" width="27.42578125" style="67" customWidth="1"/>
    <col min="13" max="13" width="6.28515625" style="177" hidden="1" customWidth="1"/>
    <col min="14" max="14" width="7.42578125" style="177" hidden="1" customWidth="1"/>
    <col min="15" max="15" width="7" style="67" customWidth="1"/>
    <col min="16" max="16" width="31" style="67" customWidth="1"/>
    <col min="17" max="17" width="17.85546875" style="67" customWidth="1"/>
    <col min="18" max="18" width="17.42578125" style="67" customWidth="1"/>
    <col min="19" max="19" width="18.28515625" style="67" hidden="1" customWidth="1"/>
    <col min="20" max="20" width="16.28515625" style="67" hidden="1" customWidth="1"/>
    <col min="21" max="21" width="16.140625" style="67" hidden="1" customWidth="1"/>
    <col min="22" max="22" width="16.28515625" style="67" customWidth="1"/>
    <col min="23" max="23" width="8.85546875" style="67" hidden="1" customWidth="1"/>
    <col min="24" max="16384" width="8.85546875" style="67"/>
  </cols>
  <sheetData>
    <row r="1" spans="2:21" ht="14.25" customHeight="1" x14ac:dyDescent="0.2">
      <c r="B1" s="322" t="s">
        <v>224</v>
      </c>
      <c r="C1" s="322"/>
      <c r="D1" s="167"/>
      <c r="E1" s="167"/>
      <c r="F1" s="167"/>
    </row>
    <row r="2" spans="2:21" ht="14.25" customHeight="1" x14ac:dyDescent="0.25">
      <c r="B2" s="325" t="s">
        <v>37</v>
      </c>
      <c r="C2" s="326"/>
      <c r="D2" s="326"/>
      <c r="E2" s="326"/>
      <c r="F2" s="172"/>
      <c r="J2" s="31"/>
      <c r="L2" s="323" t="s">
        <v>144</v>
      </c>
      <c r="M2" s="215"/>
      <c r="N2" s="215"/>
      <c r="P2" s="68" t="s">
        <v>253</v>
      </c>
      <c r="Q2" s="68"/>
      <c r="R2" s="68"/>
      <c r="S2" s="68"/>
    </row>
    <row r="3" spans="2:21" ht="29.25" customHeight="1" x14ac:dyDescent="0.2">
      <c r="P3" s="314" t="s">
        <v>0</v>
      </c>
      <c r="Q3" s="309" t="s">
        <v>242</v>
      </c>
      <c r="R3" s="309" t="s">
        <v>243</v>
      </c>
    </row>
    <row r="4" spans="2:21" ht="14.25" customHeight="1" x14ac:dyDescent="0.2">
      <c r="B4" s="180" t="str">
        <f>"Number of Sites this Plant operated at in "&amp;'Facility Information'!G5&amp;":"</f>
        <v>Number of Sites this Plant operated at in :</v>
      </c>
      <c r="C4" s="181"/>
      <c r="D4" s="166"/>
      <c r="E4" s="173"/>
      <c r="F4" s="53"/>
      <c r="I4" s="116"/>
      <c r="P4" s="90" t="s">
        <v>191</v>
      </c>
      <c r="Q4" s="110">
        <f ca="1">MAX((IFERROR(OFFSET($J$20,MATCH("Aggregate Delivery to Ground Storage",$J$21:$J$30,0),1),0)),((IFERROR((OFFSET($J$36,MATCH("Aggregate Delivery to Ground Storage",$J$37:$J$46,0),1)),0))),((IFERROR((OFFSET($J$51,MATCH("Aggregate Delivery to Ground Storage",$J$52:$J$61,0),1)),0))),((IFERROR((OFFSET($J$67,MATCH("Aggregate Delivery to Ground Storage",$J$68:$J$77,0),1)),0))),((IFERROR((OFFSET($J$83,MATCH("Aggregate Delivery to Ground Storage",$J$84:$J$93,0),1)),0))),((IFERROR((OFFSET($J$99,MATCH("Aggregate Delivery to Ground Storage",$J$100:$J$109,0),1)),0))),((IFERROR((OFFSET($J$115,MATCH("Aggregate Delivery to Ground Storage",$J$116:$J$125,0),1)),0))),((IFERROR((OFFSET($J$131,MATCH("Aggregate Delivery to Ground Storage",$J$132:$J$141,0),1)),0))),((IFERROR((OFFSET($J$147,MATCH("Aggregate Delivery to Ground Storage",$J$148:$J$157,0),1)),0))),((IFERROR((OFFSET($J$164,MATCH("Aggregate Delivery to Ground Storage",$J$165:$J$174,0),1)),0))))</f>
        <v>0</v>
      </c>
      <c r="R4" s="110">
        <f ca="1">SUM((IFERROR(OFFSET($J$20,MATCH("Aggregate Delivery to Ground Storage",$J$21:$J$30,0),2),0)),((IFERROR((OFFSET($J$36,MATCH("Aggregate Delivery to Ground Storage",$J$37:$J$46,0),2)),0))),((IFERROR((OFFSET($J$51,MATCH("Aggregate Delivery to Ground Storage",$J$52:$J$61,0),2)),0))),((IFERROR((OFFSET($J$67,MATCH("Aggregate Delivery to Ground Storage",$J$68:$J$77,0),2)),0))),((IFERROR((OFFSET($J$83,MATCH("Aggregate Delivery to Ground Storage",$J$84:$J$93,0),2)),0))),((IFERROR((OFFSET($J$99,MATCH("Aggregate Delivery to Ground Storage",$J$100:$J$109,0),2)),0))),((IFERROR((OFFSET($J$115,MATCH("Aggregate Delivery to Ground Storage",$J$116:$J$125,0),2)),0))),((IFERROR((OFFSET($J$131,MATCH("Aggregate Delivery to Ground Storage",$J$132:$J$141,0),2)),0))),((IFERROR((OFFSET($J$147,MATCH("Aggregate Delivery to Ground Storage",$J$148:$J$157,0),2)),0))),((IFERROR((OFFSET($J$164,MATCH("Aggregate Delivery to Ground Storage",$J$165:$J$174,0),2)),0))))</f>
        <v>0</v>
      </c>
      <c r="S4" s="385" t="s">
        <v>252</v>
      </c>
      <c r="T4" s="384"/>
      <c r="U4" s="384"/>
    </row>
    <row r="5" spans="2:21" ht="14.25" customHeight="1" x14ac:dyDescent="0.2">
      <c r="B5" s="83"/>
      <c r="C5" s="83"/>
      <c r="D5" s="83"/>
      <c r="E5" s="83"/>
      <c r="F5" s="83"/>
      <c r="G5" s="101"/>
      <c r="H5" s="101"/>
      <c r="I5" s="116"/>
      <c r="P5" s="90" t="s">
        <v>192</v>
      </c>
      <c r="Q5" s="110">
        <f ca="1">MAX((IFERROR(OFFSET($J$20,MATCH("Sand Delivery to Ground Storage",$J$21:$J$30,0),1),0)),((IFERROR((OFFSET($J$36,MATCH("Sand Delivery to Ground Storage",$J$37:$J$46,0),1)),0))),((IFERROR((OFFSET($J$51,MATCH("Sand Delivery to Ground Storage",$J$52:$J$61,0),1)),0))),((IFERROR((OFFSET($J$67,MATCH("Sand Delivery to Ground Storage",$J$68:$J$77,0),1)),0))),((IFERROR((OFFSET($J$83,MATCH("Sand Delivery to Ground Storage",$J$84:$J$93,0),1)),0))),((IFERROR((OFFSET($J$99,MATCH("Sand Delivery to Ground Storage",$J$100:$J$109,0),1)),0))),((IFERROR((OFFSET($J$115,MATCH("Sand Delivery to Ground Storage",$J$116:$J$125,0),1)),0))),((IFERROR((OFFSET($J$131,MATCH("Sand Delivery to Ground Storage",$J$132:$J$141,0),1)),0))),((IFERROR((OFFSET($J$147,MATCH("Sand Delivery to Ground Storage",$J$148:$J$157,0),1)),0))),((IFERROR((OFFSET($J$164,MATCH("Sand Delivery to Ground Storage",$J$165:$J$174,0),1)),0))))</f>
        <v>0</v>
      </c>
      <c r="R5" s="110">
        <f ca="1">SUM((IFERROR(OFFSET($J$20,MATCH("Sand Delivery to Ground Storage",$J$21:$J$30,0),2),0)),((IFERROR((OFFSET($J$36,MATCH("Sand Delivery to Ground Storage",$J$37:$J$46,0),2)),0))),((IFERROR((OFFSET($J$51,MATCH("Sand Delivery to Ground Storage",$J$52:$J$61,0),2)),0))),((IFERROR((OFFSET($J$67,MATCH("Sand Delivery to Ground Storage",$J$68:$J$77,0),2)),0))),((IFERROR((OFFSET($J$83,MATCH("Sand Delivery to Ground Storage",$J$84:$J$93,0),2)),0))),((IFERROR((OFFSET($J$99,MATCH("Sand Delivery to Ground Storage",$J$100:$J$109,0),2)),0))),((IFERROR((OFFSET($J$115,MATCH("Sand Delivery to Ground Storage",$J$116:$J$125,0),2)),0))),((IFERROR((OFFSET($J$131,MATCH("Sand Delivery to Ground Storage",$J$132:$J$141,0),2)),0))),((IFERROR((OFFSET($J$147,MATCH("Sand Delivery to Ground Storage",$J$148:$J$157,0),2)),0))),((IFERROR((OFFSET($J$164,MATCH("Sand Delivery to Ground Storage",$J$165:$J$174,0),2)),0))))</f>
        <v>0</v>
      </c>
      <c r="S5" s="384"/>
      <c r="T5" s="384"/>
      <c r="U5" s="384"/>
    </row>
    <row r="6" spans="2:21" ht="14.25" customHeight="1" x14ac:dyDescent="0.2">
      <c r="B6" s="327" t="s">
        <v>156</v>
      </c>
      <c r="C6" s="328"/>
      <c r="D6" s="338"/>
      <c r="E6" s="125"/>
      <c r="F6" s="125"/>
      <c r="G6" s="45"/>
      <c r="H6" s="45"/>
      <c r="I6" s="45"/>
      <c r="J6" s="45"/>
      <c r="K6" s="45"/>
      <c r="L6" s="45"/>
      <c r="M6" s="182"/>
      <c r="N6" s="182"/>
      <c r="P6" s="90" t="s">
        <v>193</v>
      </c>
      <c r="Q6" s="110">
        <f ca="1">MAX((IFERROR(OFFSET($J$20,MATCH("Aggregate Transfer to Conveyor",$J$21:$J$30,0),1),0)),((IFERROR((OFFSET($J$36,MATCH("Aggregate Transfer to Conveyor",$J$37:$J$46,0),1)),0))),((IFERROR((OFFSET($J$51,MATCH("Aggregate Transfer to Conveyor",$J$52:$J$61,0),1)),0))),((IFERROR((OFFSET($J$67,MATCH("Aggregate Transfer to Conveyor",$J$68:$J$77,0),1)),0))),((IFERROR((OFFSET($J$83,MATCH("Aggregate Transfer to Conveyor",$J$84:$J$93,0),1)),0))),((IFERROR((OFFSET($J$99,MATCH("Aggregate Transfer to Conveyor",$J$100:$J$109,0),1)),0))),((IFERROR((OFFSET($J$115,MATCH("Aggregate Transfer to Conveyor",$J$116:$J$125,0),1)),0))),((IFERROR((OFFSET($J$131,MATCH("Aggregate Transfer to Conveyor",$J$132:$J$141,0),1)),0))),((IFERROR((OFFSET($J$147,MATCH("Aggregate Transfer to Conveyor",$J$148:$J$157,0),1)),0))),((IFERROR((OFFSET($J$164,MATCH("Aggregate Transfer to Conveyor",$J$165:$J$174,0),1)),0))))</f>
        <v>0</v>
      </c>
      <c r="R6" s="110">
        <f ca="1">SUM((IFERROR(OFFSET($J$20,MATCH("Aggregate Transfer to Conveyor",$J$21:$J$30,0),2),0)),((IFERROR((OFFSET($J$36,MATCH("Aggregate Transfer to Conveyor",$J$37:$J$46,0),2)),0))),((IFERROR((OFFSET($J$51,MATCH("Aggregate Transfer to Conveyor",$J$52:$J$61,0),2)),0))),((IFERROR((OFFSET($J$67,MATCH("Aggregate Transfer to Conveyor",$J$68:$J$77,0),2)),0))),((IFERROR((OFFSET($J$83,MATCH("Aggregate Transfer to Conveyor",$J$84:$J$93,0),2)),0))),((IFERROR((OFFSET($J$99,MATCH("Aggregate Transfer to Conveyor",$J$100:$J$109,0),2)),0))),((IFERROR((OFFSET($J$115,MATCH("Aggregate Transfer to Conveyor",$J$116:$J$125,0),2)),0))),((IFERROR((OFFSET($J$131,MATCH("Aggregate Transfer to Conveyor",$J$132:$J$141,0),2)),0))),((IFERROR((OFFSET($J$147,MATCH("Aggregate Transfer to Conveyor",$J$148:$J$157,0),2)),0))),((IFERROR((OFFSET($J$164,MATCH("Aggregate Transfer to Conveyor",$J$165:$J$174,0),2)),0))))</f>
        <v>0</v>
      </c>
    </row>
    <row r="7" spans="2:21" ht="14.25" customHeight="1" x14ac:dyDescent="0.2">
      <c r="B7" s="52"/>
      <c r="C7" s="50"/>
      <c r="D7" s="50"/>
      <c r="E7" s="50"/>
      <c r="F7" s="50"/>
      <c r="G7" s="45"/>
      <c r="H7" s="45"/>
      <c r="I7" s="45"/>
      <c r="J7" s="45"/>
      <c r="K7" s="45"/>
      <c r="L7" s="45"/>
      <c r="M7" s="182"/>
      <c r="N7" s="182"/>
      <c r="P7" s="90" t="s">
        <v>194</v>
      </c>
      <c r="Q7" s="110">
        <f ca="1">MAX((IFERROR(OFFSET($J$20,MATCH("Sand Transfer to Conveyor",$J$21:$J$30,0),1),0)),((IFERROR((OFFSET($J$36,MATCH("Sand Transfer to Conveyor",$J$37:$J$46,0),1)),0))),((IFERROR((OFFSET($J$51,MATCH("Sand Transfer to Conveyor",$J$52:$J$61,0),1)),0))),((IFERROR((OFFSET($J$67,MATCH("Sand Transfer to Conveyor",$J$68:$J$77,0),1)),0))),((IFERROR((OFFSET($J$83,MATCH("Sand Transfer to Conveyor",$J$84:$J$93,0),1)),0))),((IFERROR((OFFSET($J$99,MATCH("Sand Transfer to Conveyor",$J$100:$J$109,0),1)),0))),((IFERROR((OFFSET($J$115,MATCH("Sand Transfer to Conveyor",$J$116:$J$125,0),1)),0))),((IFERROR((OFFSET($J$131,MATCH("Sand Transfer to Conveyor",$J$132:$J$141,0),1)),0))),((IFERROR((OFFSET($J$147,MATCH("Sand Transfer to Conveyor",$J$148:$J$157,0),1)),0))),((IFERROR((OFFSET($J$164,MATCH("Sand Transfer to Conveyor",$J$165:$J$174,0),1)),0))))</f>
        <v>0</v>
      </c>
      <c r="R7" s="110">
        <f ca="1">SUM((IFERROR(OFFSET($J$20,MATCH("Sand Transfer to Conveyor",$J$21:$J$30,0),2),0)),((IFERROR((OFFSET($J$36,MATCH("Sand Transfer to Conveyor",$J$37:$J$46,0),2)),0))),((IFERROR((OFFSET($J$51,MATCH("Sand Transfer to Conveyor",$J$52:$J$61,0),2)),0))),((IFERROR((OFFSET($J$67,MATCH("Sand Transfer to Conveyor",$J$68:$J$77,0),2)),0))),((IFERROR((OFFSET($J$83,MATCH("Sand Transfer to Conveyor",$J$84:$J$93,0),2)),0))),((IFERROR((OFFSET($J$99,MATCH("Sand Transfer to Conveyor",$J$100:$J$109,0),2)),0))),((IFERROR((OFFSET($J$115,MATCH("Sand Transfer to Conveyor",$J$116:$J$125,0),2)),0))),((IFERROR((OFFSET($J$131,MATCH("Sand Transfer to Conveyor",$J$132:$J$141,0),2)),0))),((IFERROR((OFFSET($J$147,MATCH("Sand Transfer to Conveyor",$J$148:$J$157,0),2)),0))),((IFERROR((OFFSET($J$164,MATCH("Sand Transfer to Conveyor",$J$165:$J$174,0),2)),0))))</f>
        <v>0</v>
      </c>
    </row>
    <row r="8" spans="2:21" ht="14.25" customHeight="1" x14ac:dyDescent="0.2">
      <c r="B8" s="52" t="s">
        <v>149</v>
      </c>
      <c r="C8" s="45"/>
      <c r="D8" s="45"/>
      <c r="E8" s="45"/>
      <c r="F8" s="45"/>
      <c r="G8" s="50"/>
      <c r="H8" s="56" t="s">
        <v>150</v>
      </c>
      <c r="I8" s="56"/>
      <c r="J8" s="50"/>
      <c r="K8" s="50"/>
      <c r="P8" s="90" t="s">
        <v>195</v>
      </c>
      <c r="Q8" s="110">
        <f ca="1">MAX((IFERROR(OFFSET($J$20,MATCH("Aggregate Transfer to Elevated Storage",$J$21:$J$30,0),1),0)),((IFERROR((OFFSET($J$36,MATCH("Aggregate Transfer to Elevated Storage",$J$37:$J$46,0),1)),0))),((IFERROR((OFFSET($J$51,MATCH("Aggregate Transfer to Elevated Storage",$J$52:$J$61,0),1)),0))),((IFERROR((OFFSET($J$67,MATCH("Aggregate Transfer to Elevated Storage",$J$68:$J$77,0),1)),0))),((IFERROR((OFFSET($J$83,MATCH("Aggregate Transfer to Elevated Storage",$J$84:$J$93,0),1)),0))),((IFERROR((OFFSET($J$99,MATCH("Aggregate Transfer to Elevated Storage",$J$100:$J$109,0),1)),0))),((IFERROR((OFFSET($J$115,MATCH("Aggregate Transfer to Elevated Storage",$J$116:$J$125,0),1)),0))),((IFERROR((OFFSET($J$131,MATCH("Aggregate Transfer to Elevated Storage",$J$132:$J$141,0),1)),0))),((IFERROR((OFFSET($J$147,MATCH("Aggregate Transfer to Elevated Storage",$J$148:$J$157,0),1)),0))),((IFERROR((OFFSET($J$164,MATCH("Aggregate Transfer to Elevated Storage",$J$165:$J$174,0),1)),0))))</f>
        <v>0</v>
      </c>
      <c r="R8" s="110">
        <f ca="1">SUM((IFERROR(OFFSET($J$20,MATCH("Aggregate Transfer to Elevated Storage",$J$21:$J$30,0),2),0)),((IFERROR((OFFSET($J$36,MATCH("Aggregate Transfer to Elevated Storage",$J$37:$J$46,0),2)),0))),((IFERROR((OFFSET($J$51,MATCH("Aggregate Transfer to Elevated Storage",$J$52:$J$61,0),2)),0))),((IFERROR((OFFSET($J$67,MATCH("Aggregate Transfer to Elevated Storage",$J$68:$J$77,0),2)),0))),((IFERROR((OFFSET($J$83,MATCH("Aggregate Transfer to Elevated Storage",$J$84:$J$93,0),2)),0))),((IFERROR((OFFSET($J$99,MATCH("Aggregate Transfer to Elevated Storage",$J$100:$J$109,0),2)),0))),((IFERROR((OFFSET($J$115,MATCH("Aggregate Transfer to Elevated Storage",$J$116:$J$125,0),2)),0))),((IFERROR((OFFSET($J$131,MATCH("Aggregate Transfer to Elevated Storage",$J$132:$J$141,0),2)),0))),((IFERROR((OFFSET($J$147,MATCH("Aggregate Transfer to Elevated Storage",$J$148:$J$157,0),2)),0))),((IFERROR((OFFSET($J$164,MATCH("Aggregate Transfer to Elevated Storage",$J$165:$J$174,0),2)),0))))</f>
        <v>0</v>
      </c>
    </row>
    <row r="9" spans="2:21" ht="14.25" customHeight="1" x14ac:dyDescent="0.2">
      <c r="B9" s="332" t="s">
        <v>204</v>
      </c>
      <c r="C9" s="334"/>
      <c r="D9" s="399"/>
      <c r="E9" s="337"/>
      <c r="F9" s="174"/>
      <c r="H9" s="57" t="s">
        <v>141</v>
      </c>
      <c r="I9" s="60" t="s">
        <v>139</v>
      </c>
      <c r="J9" s="60" t="s">
        <v>140</v>
      </c>
      <c r="P9" s="90" t="s">
        <v>196</v>
      </c>
      <c r="Q9" s="110">
        <f ca="1">MAX((IFERROR(OFFSET($J$20,MATCH("Sand Transfer to Elevated Storage",$J$21:$J$30,0),1),0)),((IFERROR((OFFSET($J$36,MATCH("Sand Transfer to Elevated Storage",$J$37:$J$46,0),1)),0))),((IFERROR((OFFSET($J$51,MATCH("Sand Transfer to Elevated Storage",$J$52:$J$61,0),1)),0))),((IFERROR((OFFSET($J$37,MATCH("Sand Transfer to Elevated Storage",$J$68:$J$77,0),1)),0))),((IFERROR((OFFSET($J$83,MATCH("Sand Transfer to Elevated Storage",$J$84:$J$93,0),1)),0))),((IFERROR((OFFSET($J$99,MATCH("Sand Transfer to Elevated Storage",$J$100:$J$109,0),1)),0))),((IFERROR((OFFSET($J$115,MATCH("Sand Transfer to Elevated Storage",$J$116:$J$125,0),1)),0))),((IFERROR((OFFSET($J$131,MATCH("Sand Transfer to Elevated Storage",$J$132:$J$141,0),1)),0))),((IFERROR((OFFSET($J$147,MATCH("Sand Transfer to Elevated Storage",$J$148:$J$157,0),1)),0))),((IFERROR((OFFSET($J$164,MATCH("Sand Transfer to Elevated Storage",$J$165:$J$174,0),1)),0))))</f>
        <v>0</v>
      </c>
      <c r="R9" s="110">
        <f ca="1">SUM((IFERROR(OFFSET($J$20,MATCH("Sand Transfer to Elevated Storage",$J$21:$J$30,0),2),0)),((IFERROR((OFFSET($J$36,MATCH("Sand Transfer to Elevated Storage",$J$37:$J$46,0),2)),0))),((IFERROR((OFFSET($J$51,MATCH("Sand Transfer to Elevated Storage",$J$52:$J$61,0),2)),0))),((IFERROR((OFFSET($J$37,MATCH("Sand Transfer to Elevated Storage",$J$68:$J$77,0),2)),0))),((IFERROR((OFFSET($J$83,MATCH("Sand Transfer to Elevated Storage",$J$84:$J$93,0),2)),0))),((IFERROR((OFFSET($J$99,MATCH("Sand Transfer to Elevated Storage",$J$100:$J$109,0),2)),0))),((IFERROR((OFFSET($J$115,MATCH("Sand Transfer to Elevated Storage",$J$116:$J$125,0),2)),0))),((IFERROR((OFFSET($J$131,MATCH("Sand Transfer to Elevated Storage",$J$132:$J$141,0),2)),0))),((IFERROR((OFFSET($J$147,MATCH("Sand Transfer to Elevated Storage",$J$148:$J$157,0),2)),0))),((IFERROR((OFFSET($J$164,MATCH("Sand Transfer to Elevated Storage",$J$165:$J$174,0),2)),0))))</f>
        <v>0</v>
      </c>
    </row>
    <row r="10" spans="2:21" ht="14.25" customHeight="1" x14ac:dyDescent="0.2">
      <c r="B10" s="331" t="s">
        <v>205</v>
      </c>
      <c r="C10" s="41"/>
      <c r="D10" s="399"/>
      <c r="E10" s="337"/>
      <c r="F10" s="174"/>
      <c r="H10" s="59" t="s">
        <v>110</v>
      </c>
      <c r="I10" s="102"/>
      <c r="J10" s="102"/>
      <c r="P10" s="90" t="s">
        <v>203</v>
      </c>
      <c r="Q10" s="110">
        <f ca="1">MAX((IFERROR(OFFSET($J$20,MATCH("Weigh Hopper Loading",$J$21:$J$30,0),1),0)),((IFERROR((OFFSET($J$36,MATCH("Weigh Hopper Loading",$J$37:$J$46,0),1)),0))),((IFERROR((OFFSET($J$51,MATCH("Weigh Hopper Loading",$J$52:$J$61,0),1)),0))),((IFERROR((OFFSET($J$67,MATCH("Weigh Hopper Loading",$J$68:$J$77,0),1)),0))),((IFERROR((OFFSET($J$83,MATCH("Weigh Hopper Loading",$J$84:$J$93,0),1)),0))),((IFERROR((OFFSET($J$99,MATCH("Weigh Hopper Loading",$J$100:$J$109,0),1)),0))),((IFERROR((OFFSET($J$115,MATCH("Weigh Hopper Loading",$J$116:$J$125,0),1)),0))),((IFERROR((OFFSET($J$131,MATCH("Weigh Hopper Loading",$J$132:$J$141,0),1)),0))),((IFERROR((OFFSET($J$147,MATCH("Weigh Hopper Loading",$J$148:$J$157,0),1)),0))),((IFERROR((OFFSET($J$164,MATCH("Weigh Hopper Loading",$J$165:$J$174,0),1)),0))))</f>
        <v>0</v>
      </c>
      <c r="R10" s="110">
        <f ca="1">SUM((IFERROR(OFFSET($J$20,MATCH("Weigh Hopper Loading",$J$21:$J$30,0),2),0)),((IFERROR((OFFSET($J$36,MATCH("Weigh Hopper Loading",$J$37:$J$46,0),2)),0))),((IFERROR((OFFSET($J$51,MATCH("Weigh Hopper Loading",$J$52:$J$61,0),2)),0))),((IFERROR((OFFSET($J$67,MATCH("Weigh Hopper Loading",$J$68:$J$77,0),2)),0))),((IFERROR((OFFSET($J$83,MATCH("Weigh Hopper Loading",$J$84:$J$93,0),2)),0))),((IFERROR((OFFSET($J$99,MATCH("Weigh Hopper Loading",$J$100:$J$109,0),2)),0))),((IFERROR((OFFSET($J$115,MATCH("Weigh Hopper Loading",$J$116:$J$125,0),2)),0))),((IFERROR((OFFSET($J$131,MATCH("Weigh Hopper Loading",$J$132:$J$141,0),2)),0))),((IFERROR((OFFSET($J$147,MATCH("Weigh Hopper Loading",$J$148:$J$157,0),2)),0))),((IFERROR((OFFSET($J$164,MATCH("Weigh Hopper Loading",$J$165:$J$174,0),2)),0))))</f>
        <v>0</v>
      </c>
    </row>
    <row r="11" spans="2:21" ht="14.25" customHeight="1" x14ac:dyDescent="0.2">
      <c r="B11" s="330" t="s">
        <v>146</v>
      </c>
      <c r="C11" s="332"/>
      <c r="D11" s="399"/>
      <c r="E11" s="337"/>
      <c r="F11" s="174"/>
      <c r="H11" s="58" t="s">
        <v>17</v>
      </c>
      <c r="I11" s="102"/>
      <c r="J11" s="102"/>
      <c r="P11" s="90" t="s">
        <v>197</v>
      </c>
      <c r="Q11" s="110">
        <f ca="1">MAX((IFERROR(OFFSET($J$20,MATCH("Central Mix Loading",$J$21:$J$30,0),1),0)),((IFERROR((OFFSET($J$36,MATCH("Central Mix Loading",$J$37:$J$46,0),1)),0))),((IFERROR((OFFSET($J$51,MATCH("Central Mix Loading",$J$52:$J$61,0),1)),0))),((IFERROR((OFFSET($J$67,MATCH("Central Mix Loading",$J$68:$J$77,0),1)),0))),((IFERROR((OFFSET($J$83,MATCH("Central Mix Loading",$J$84:$J$93,0),1)),0))),((IFERROR((OFFSET($J$99,MATCH("Central Mix Loading",$J$100:$J$109,0),1)),0))),((IFERROR((OFFSET($J$115,MATCH("Central Mix Loading",$J$116:$J$125,0),1)),0))),((IFERROR((OFFSET($J$131,MATCH("Central Mix Loading",$J$132:$J$141,0),1)),0))),((IFERROR((OFFSET($J$147,MATCH("Central Mix Loading",$J$148:$J$157,0),1)),0))),((IFERROR((OFFSET($J$164,MATCH("Central Mix Loading",$J$165:$J$174,0),1)),0))))</f>
        <v>0</v>
      </c>
      <c r="R11" s="110">
        <f ca="1">SUM((IFERROR(OFFSET($J$20,MATCH("Central Mix Loading",$J$21:$J$30,0),2),0)),((IFERROR((OFFSET($J$36,MATCH("Central Mix Loading",$J$37:$J$46,0),2)),0))),((IFERROR((OFFSET($J$51,MATCH("Central Mix Loading",$J$52:$J$61,0),2)),0))),((IFERROR((OFFSET($J$67,MATCH("Central Mix Loading",$J$68:$J$77,0),2)),0))),((IFERROR((OFFSET($J$83,MATCH("Central Mix Loading",$J$84:$J$93,0),2)),0))),((IFERROR((OFFSET($J$99,MATCH("Central Mix Loading",$J$100:$J$109,0),2)),0))),((IFERROR((OFFSET($J$115,MATCH("Central Mix Loading",$J$116:$J$125,0),2)),0))),((IFERROR((OFFSET($J$131,MATCH("Central Mix Loading",$J$132:$J$141,0),2)),0))),((IFERROR((OFFSET($J$147,MATCH("Central Mix Loading",$J$148:$J$157,0),2)),0))),((IFERROR((OFFSET($J$164,MATCH("Central Mix Loading",$J$165:$J$174,0),2)),0))))</f>
        <v>0</v>
      </c>
    </row>
    <row r="12" spans="2:21" ht="14.25" customHeight="1" x14ac:dyDescent="0.25">
      <c r="B12" s="321" t="s">
        <v>269</v>
      </c>
      <c r="C12" s="318"/>
      <c r="D12" s="319"/>
      <c r="E12" s="319"/>
      <c r="F12" s="171"/>
      <c r="G12" s="30"/>
      <c r="H12" s="58" t="s">
        <v>3</v>
      </c>
      <c r="I12" s="102"/>
      <c r="J12" s="102"/>
      <c r="P12" s="90" t="s">
        <v>198</v>
      </c>
      <c r="Q12" s="110">
        <f ca="1">MAX((IFERROR(OFFSET($J$20,MATCH("Truck Mix Loading",$J$21:$J$30,0),1),0)),((IFERROR((OFFSET($J$36,MATCH("Truck Mix Loading",$J$37:$J$46,0),1)),0))),((IFERROR((OFFSET($J$51,MATCH("Truck Mix Loading",$J$52:$J$61,0),1)),0))),((IFERROR((OFFSET($J$67,MATCH("Truck Mix Loading",$J$68:$J$77,0),1)),0))),((IFERROR((OFFSET($J$83,MATCH("Truck Mix Loading",$J$84:$J$93,0),1)),0))),((IFERROR((OFFSET($J$99,MATCH("Truck Mix Loading",$J$100:$J$109,0),1)),0))),((IFERROR((OFFSET($J$115,MATCH("Truck Mix Loading",$J$116:$J$125,0),1)),0))),((IFERROR((OFFSET($J$131,MATCH("Truck Mix Loading",$J$132:$J$141,0),1)),0))),((IFERROR((OFFSET($J$147,MATCH("Truck Mix Loading",$J$148:$J$157,0),1)),0))),((IFERROR((OFFSET($J$164,MATCH("Truck Mix Loading",$J$165:$J$174,0),1)),0))))</f>
        <v>0</v>
      </c>
      <c r="R12" s="110">
        <f ca="1">SUM((IFERROR(OFFSET($J$20,MATCH("Truck Mix Loading",$J$21:$J$30,0),2),0)),((IFERROR((OFFSET($J$36,MATCH("Truck Mix Loading",$J$37:$J$46,0),2)),0))),((IFERROR((OFFSET($J$51,MATCH("Truck Mix Loading",$J$52:$J$61,0),2)),0))),((IFERROR((OFFSET($J$67,MATCH("Truck Mix Loading",$J$68:$J$77,0),2)),0))),((IFERROR((OFFSET($J$83,MATCH("Truck Mix Loading",$J$84:$J$93,0),2)),0))),((IFERROR((OFFSET($J$99,MATCH("Truck Mix Loading",$J$100:$J$109,0),2)),0))),((IFERROR((OFFSET($J$115,MATCH("Truck Mix Loading",$J$116:$J$125,0),2)),0))),((IFERROR((OFFSET($J$131,MATCH("Truck Mix Loading",$J$132:$J$141,0),2)),0))),((IFERROR((OFFSET($J$147,MATCH("Truck Mix Loading",$J$148:$J$157,0),2)),0))),((IFERROR((OFFSET($J$164,MATCH("Truck Mix Loading",$J$165:$J$174,0),2)),0))))</f>
        <v>0</v>
      </c>
    </row>
    <row r="13" spans="2:21" ht="14.25" customHeight="1" x14ac:dyDescent="0.25">
      <c r="B13" s="320" t="s">
        <v>271</v>
      </c>
      <c r="C13" s="319"/>
      <c r="D13" s="319"/>
      <c r="E13" s="319"/>
      <c r="F13" s="171"/>
      <c r="G13" s="30"/>
      <c r="H13" s="58" t="s">
        <v>27</v>
      </c>
      <c r="I13" s="102"/>
      <c r="J13" s="102"/>
      <c r="P13" s="90" t="s">
        <v>199</v>
      </c>
      <c r="Q13" s="110">
        <f ca="1">MAX((IFERROR(OFFSET($J$20,MATCH("Cement Delivery to Silo",$J$21:$J$30,0),1),0)),((IFERROR((OFFSET($J$36,MATCH("Cement Delivery to Silo",$J$37:$J$46,0),1)),0))),((IFERROR((OFFSET($J$51,MATCH("Cement Delivery to Silo",$J$52:$J$61,0),1)),0))),((IFERROR((OFFSET($J$67,MATCH("Cement Delivery to Silo",$J$68:$J$77,0),1)),0))),((IFERROR((OFFSET($J$83,MATCH("Cement Delivery to Silo",$J$84:$J$93,0),1)),0))),((IFERROR((OFFSET($J$99,MATCH("Cement Delivery to Silo",$J$100:$J$109,0),1)),0))),((IFERROR((OFFSET($J$115,MATCH("Cement Delivery to Silo",$J$116:$J$125,0),1)),0))),((IFERROR((OFFSET($J$131,MATCH("Cement Delivery to Silo",$J$132:$J$141,0),1)),0))),((IFERROR((OFFSET($J$147,MATCH("Cement Delivery to Silo",$J$148:$J$157,0),1)),0))),((IFERROR((OFFSET($J$164,MATCH("Cement Delivery to Silo",$J$165:$J$174,0),1)),0))))</f>
        <v>0</v>
      </c>
      <c r="R13" s="110">
        <f ca="1">SUM((IFERROR(OFFSET($J$20,MATCH("Cement Delivery to Silo",$J$21:$J$30,0),2),0)),((IFERROR((OFFSET($J$36,MATCH("Cement Delivery to Silo",$J$37:$J$46,0),2)),0))),((IFERROR((OFFSET($J$51,MATCH("Cement Delivery to Silo",$J$52:$J$61,0),2)),0))),((IFERROR((OFFSET($J$67,MATCH("Cement Delivery to Silo",$J$68:$J$77,0),2)),0))),((IFERROR((OFFSET($J$83,MATCH("Cement Delivery to Silo",$J$84:$J$93,0),2)),0))),((IFERROR((OFFSET($J$99,MATCH("Cement Delivery to Silo",$J$100:$J$109,0),2)),0))),((IFERROR((OFFSET($J$115,MATCH("Cement Delivery to Silo",$J$116:$J$125,0),2)),0))),((IFERROR((OFFSET($J$131,MATCH("Cement Delivery to Silo",$J$132:$J$141,0),2)),0))),((IFERROR((OFFSET($J$147,MATCH("Cement Delivery to Silo",$J$148:$J$157,0),2)),0))),((IFERROR((OFFSET($J$164,MATCH("Cement Delivery to Silo",$J$165:$J$174,0),2)),0))))</f>
        <v>0</v>
      </c>
    </row>
    <row r="14" spans="2:21" ht="14.25" customHeight="1" x14ac:dyDescent="0.25">
      <c r="B14" s="319" t="s">
        <v>270</v>
      </c>
      <c r="C14" s="319"/>
      <c r="D14" s="319"/>
      <c r="E14" s="319"/>
      <c r="F14" s="171"/>
      <c r="G14" s="30"/>
      <c r="H14" s="58" t="s">
        <v>5</v>
      </c>
      <c r="I14" s="102"/>
      <c r="J14" s="102"/>
      <c r="P14" s="90" t="s">
        <v>200</v>
      </c>
      <c r="Q14" s="110">
        <f ca="1">MAX((IFERROR(OFFSET($J$20,MATCH("Cement Supplement Delivery to Silo",$J$21:$J$30,0),1),0)),((IFERROR((OFFSET($J$36,MATCH("Cement Supplement Delivery to Silo",$J$37:$J$46,0),1)),0))),((IFERROR((OFFSET($J$51,MATCH("Cement Supplement Delivery to Silo",$J$52:$J$61,0),1)),0))),((IFERROR((OFFSET($J$67,MATCH("Cement Supplement Delivery to Silo",$J$68:$J$77,0),1)),0))),((IFERROR((OFFSET($J$83,MATCH("Cement Supplement Delivery to Silo",$J$84:$J$93,0),1)),0))),((IFERROR((OFFSET($J$99,MATCH("Cement Supplement Delivery to Silo",$J$100:$J$109,0),1)),0))),((IFERROR((OFFSET($J$115,MATCH("Cement Supplement Delivery to Silo",$J$116:$J$125,0),1)),0))),((IFERROR((OFFSET($J$131,MATCH("Cement Supplement Delivery to Silo",$J$132:$J$141,0),1)),0))),((IFERROR((OFFSET($J$147,MATCH("Cement Supplement Delivery to Silo",$J$148:$J$157,0),1)),0))),((IFERROR((OFFSET($J$164,MATCH("Cement Supplement Delivery to Silo",$J$165:$J$174,0),1)),0))))</f>
        <v>0</v>
      </c>
      <c r="R14" s="110">
        <f ca="1">SUM((IFERROR(OFFSET($J$20,MATCH("Cement Supplement Delivery to Silo",$J$21:$J$30,0),2),0)),((IFERROR((OFFSET($J$36,MATCH("Cement Supplement Delivery to Silo",$J$37:$J$46,0),2)),0))),((IFERROR((OFFSET($J$51,MATCH("Cement Supplement Delivery to Silo",$J$52:$J$61,0),2)),0))),((IFERROR((OFFSET($J$67,MATCH("Cement Supplement Delivery to Silo",$J$68:$J$77,0),2)),0))),((IFERROR((OFFSET($J$83,MATCH("Cement Supplement Delivery to Silo",$J$84:$J$93,0),2)),0))),((IFERROR((OFFSET($J$99,MATCH("Cement Supplement Delivery to Silo",$J$100:$J$109,0),2)),0))),((IFERROR((OFFSET($J$115,MATCH("Cement Supplement Delivery to Silo",$J$116:$J$125,0),2)),0))),((IFERROR((OFFSET($J$131,MATCH("Cement Supplement Delivery to Silo",$J$132:$J$141,0),2)),0))),((IFERROR((OFFSET($J$147,MATCH("Cement Supplement Delivery to Silo",$J$148:$J$157,0),2)),0))),((IFERROR((OFFSET($J$164,MATCH("Cement Supplement Delivery to Silo",$J$165:$J$174,0),2)),0))))</f>
        <v>0</v>
      </c>
    </row>
    <row r="15" spans="2:21" ht="14.25" customHeight="1" x14ac:dyDescent="0.25">
      <c r="B15" s="12"/>
      <c r="C15" s="12"/>
      <c r="D15" s="12"/>
      <c r="E15" s="12"/>
      <c r="F15" s="12"/>
      <c r="G15" s="12"/>
      <c r="H15" s="58" t="s">
        <v>6</v>
      </c>
      <c r="I15" s="102"/>
      <c r="J15" s="102"/>
    </row>
    <row r="16" spans="2:21" ht="15" customHeight="1" thickBot="1" x14ac:dyDescent="0.3">
      <c r="B16" s="85"/>
      <c r="C16" s="85"/>
      <c r="D16" s="85"/>
      <c r="E16" s="85"/>
      <c r="F16" s="85"/>
      <c r="G16" s="85"/>
      <c r="H16" s="86"/>
      <c r="I16" s="86"/>
      <c r="J16" s="124"/>
      <c r="K16" s="124"/>
      <c r="L16" s="87"/>
      <c r="M16" s="71"/>
      <c r="N16" s="71"/>
      <c r="P16" s="68"/>
      <c r="Q16" s="188" t="s">
        <v>155</v>
      </c>
      <c r="R16" s="189" t="s">
        <v>154</v>
      </c>
      <c r="S16" s="88"/>
    </row>
    <row r="17" spans="1:23" ht="14.25" customHeight="1" x14ac:dyDescent="0.25">
      <c r="B17" s="12"/>
      <c r="C17" s="12"/>
      <c r="D17" s="12"/>
      <c r="E17" s="12"/>
      <c r="F17" s="12"/>
      <c r="G17" s="12"/>
      <c r="H17" s="84"/>
      <c r="I17" s="84"/>
      <c r="J17" s="50"/>
      <c r="K17" s="50"/>
      <c r="P17" s="90" t="s">
        <v>40</v>
      </c>
      <c r="Q17" s="91">
        <f>SUM(J34,J49,J65,J81,J97,J113,J129,J145,J161,J178)</f>
        <v>0</v>
      </c>
      <c r="R17" s="91">
        <f>SUM(K34*L34,K49*L49,K65*L65,K81*L81,K97*L97,K113*L113,K129*L129,K145*L145,K161*L161,K178*L178)</f>
        <v>0</v>
      </c>
      <c r="S17" s="68"/>
    </row>
    <row r="18" spans="1:23" ht="6" customHeight="1" x14ac:dyDescent="0.25">
      <c r="B18" s="12"/>
      <c r="C18" s="12"/>
      <c r="D18" s="12"/>
      <c r="E18" s="12"/>
      <c r="F18" s="12"/>
      <c r="G18" s="12"/>
      <c r="H18" s="84"/>
      <c r="I18" s="84"/>
      <c r="J18" s="50"/>
      <c r="K18" s="50"/>
      <c r="P18" s="364"/>
      <c r="Q18" s="365"/>
      <c r="R18" s="365"/>
      <c r="S18" s="68"/>
    </row>
    <row r="19" spans="1:23" ht="13.5" customHeight="1" x14ac:dyDescent="0.2">
      <c r="D19" s="71"/>
      <c r="E19" s="71"/>
      <c r="F19" s="71"/>
      <c r="M19" s="217"/>
      <c r="N19" s="217"/>
      <c r="P19" s="45" t="s">
        <v>254</v>
      </c>
    </row>
    <row r="20" spans="1:23" ht="39.75" customHeight="1" x14ac:dyDescent="0.25">
      <c r="B20" s="69" t="s">
        <v>201</v>
      </c>
      <c r="C20" s="70" t="s">
        <v>145</v>
      </c>
      <c r="G20" s="45"/>
      <c r="H20" s="310" t="s">
        <v>1</v>
      </c>
      <c r="I20" s="310" t="s">
        <v>181</v>
      </c>
      <c r="J20" s="310" t="s">
        <v>142</v>
      </c>
      <c r="K20" s="311" t="s">
        <v>241</v>
      </c>
      <c r="L20" s="310" t="str">
        <f>('Facility Information'!G5&amp;" Annual Throughput (cubic yards)")</f>
        <v xml:space="preserve"> Annual Throughput (cubic yards)</v>
      </c>
      <c r="M20" s="218" t="s">
        <v>250</v>
      </c>
      <c r="N20" s="218" t="s">
        <v>251</v>
      </c>
      <c r="P20" s="89" t="s">
        <v>110</v>
      </c>
      <c r="Q20" s="308" t="s">
        <v>242</v>
      </c>
      <c r="R20" s="308" t="s">
        <v>240</v>
      </c>
      <c r="S20" s="308" t="s">
        <v>147</v>
      </c>
      <c r="T20" s="308" t="s">
        <v>130</v>
      </c>
      <c r="U20" s="308" t="s">
        <v>14</v>
      </c>
      <c r="V20" s="308" t="s">
        <v>148</v>
      </c>
    </row>
    <row r="21" spans="1:23" ht="14.25" customHeight="1" x14ac:dyDescent="0.2">
      <c r="A21" s="67" t="s">
        <v>38</v>
      </c>
      <c r="B21" s="186" t="s">
        <v>89</v>
      </c>
      <c r="C21" s="339"/>
      <c r="D21" s="342"/>
      <c r="E21" s="343"/>
      <c r="F21" s="175"/>
      <c r="G21" s="45"/>
      <c r="H21" s="126" t="str">
        <f>IF(J21="cement delivery to silo","CP-1 EP-2",IF(J21="cement supplement delivery to silo","CP-1 EP-3",IF(J21="weigh hopper loading","CP-1 EP-4",IF(J21="truck mix loading","CP-1 EP-5",IF(J21="central mix loading","CP-1 EP-6",IF(J21="","","CP-1 EP-1"))))))</f>
        <v/>
      </c>
      <c r="I21" s="126" t="str">
        <f>IF(J21="","",IF(J21="aggregate delivery to ground storage","CP-1 EU-1",IF(J21="sand delivery to ground storage","CP-1 EU-2",IF(J21="aggregate transfer to conveyor","CP-1 EU-3",IF(J21="sand transfer to conveyor","CP-1 EU-4",IF(J21="aggregate transfer to elevated storage","CP-1 EU-5",IF(J21="sand transfer to elevated storage","CP-1 EU-6",IF(J21="weigh hopper loading","CP-1 EU-7",IF(J21="central mix loading","CP-1 EU-8",IF(J21="truck mix loading","CP-1 EU-9",IF(J21="cement delivery to silo","CP-1 EU-10",IF(J21="cement supplement delivery to silo","CP-1 EU-11"))))))))))))</f>
        <v/>
      </c>
      <c r="J21" s="82"/>
      <c r="K21" s="61"/>
      <c r="L21" s="156"/>
      <c r="M21" s="219" t="str">
        <f>IF(J21="truck mix loading",IF($F$24="yes",L21*0.05/2000,L21/2000),"")</f>
        <v/>
      </c>
      <c r="N21" s="219" t="str">
        <f>IF(J21="central mix loading",IF($F$24="yes",L21*0.05/2000,L21/2000),"")</f>
        <v/>
      </c>
      <c r="P21" s="90" t="s">
        <v>191</v>
      </c>
      <c r="Q21" s="105">
        <f t="shared" ref="Q21:Q31" ca="1" si="0">Q4</f>
        <v>0</v>
      </c>
      <c r="R21" s="111">
        <f ca="1">IF(Q21=0,0,LOOKUP(P21,'Emission Factors'!$A$5:$A$16,'Emission Factors'!$D$5:$D$16))</f>
        <v>0</v>
      </c>
      <c r="S21" s="105">
        <f t="shared" ref="S21:S29" ca="1" si="1">Q21*R21</f>
        <v>0</v>
      </c>
      <c r="T21" s="105" t="str">
        <f ca="1">IF(Q21=0,"",IF($I$10&gt;0,$I$10,""))</f>
        <v/>
      </c>
      <c r="U21" s="105">
        <f ca="1">IF($J$10&gt;0,$J$10,IF($D$9&gt;0,$D$9*R21/2000,IF($D$10&gt;0,$D$10*365*R21/2000,IF($D$11&gt;0,$D$11*365*R21*Q21/2000,IF($I$10&gt;0,0,S21*8760/2000)))))</f>
        <v>0</v>
      </c>
      <c r="V21" s="113">
        <f t="shared" ref="V21:V27" ca="1" si="2">(R4*R21/2000)</f>
        <v>0</v>
      </c>
    </row>
    <row r="22" spans="1:23" ht="14.25" customHeight="1" x14ac:dyDescent="0.2">
      <c r="A22" s="67" t="s">
        <v>39</v>
      </c>
      <c r="B22" s="186" t="s">
        <v>90</v>
      </c>
      <c r="C22" s="339"/>
      <c r="D22" s="342"/>
      <c r="E22" s="343"/>
      <c r="F22" s="175"/>
      <c r="G22" s="45"/>
      <c r="H22" s="126" t="str">
        <f t="shared" ref="H22:H30" si="3">IF(J22="cement delivery to silo","CP-1 EP-2",IF(J22="cement supplement delivery to silo","CP-1 EP-3",IF(J22="weigh hopper loading","CP-1 EP-4",IF(J22="truck mix loading","CP-1 EP-5",IF(J22="central mix loading","CP-1 EP-6",IF(J22="","","CP-1 EP-1"))))))</f>
        <v/>
      </c>
      <c r="I22" s="126" t="str">
        <f t="shared" ref="I22:I30" si="4">IF(J22="","",IF(J22="aggregate delivery to ground storage","CP-1 EU-1",IF(J22="sand delivery to ground storage","CP-1 EU-2",IF(J22="aggregate transfer to conveyor","CP-1 EU-3",IF(J22="sand transfer to conveyor","CP-1 EU-4",IF(J22="aggregate transfer to elevated storage","CP-1 EU-5",IF(J22="sand transfer to elevated storage","CP-1 EU-6",IF(J22="weigh hopper loading","CP-1 EU-7",IF(J22="central mix loading","CP-1 EU-8",IF(J22="truck mix loading","CP-1 EU-9",IF(J22="cement delivery to silo","CP-1 EU-10",IF(J22="cement supplement delivery to silo","CP-1 EU-11"))))))))))))</f>
        <v/>
      </c>
      <c r="J22" s="82"/>
      <c r="K22" s="61"/>
      <c r="L22" s="156"/>
      <c r="M22" s="219" t="str">
        <f t="shared" ref="M22:M30" si="5">IF(J22="truck mix loading",IF($F$24="yes",L22*0.05/2000,L22/2000),"")</f>
        <v/>
      </c>
      <c r="N22" s="219" t="str">
        <f t="shared" ref="N22:N30" si="6">IF(J22="central mix loading",IF($F$24="yes",L22*0.05/2000,L22/2000),"")</f>
        <v/>
      </c>
      <c r="P22" s="90" t="s">
        <v>192</v>
      </c>
      <c r="Q22" s="105">
        <f t="shared" ca="1" si="0"/>
        <v>0</v>
      </c>
      <c r="R22" s="111">
        <f ca="1">IF(Q22=0,0,LOOKUP(P22,'Emission Factors'!$A$5:$A$16,'Emission Factors'!$D$5:$D$16))</f>
        <v>0</v>
      </c>
      <c r="S22" s="105">
        <f t="shared" ca="1" si="1"/>
        <v>0</v>
      </c>
      <c r="T22" s="105" t="str">
        <f t="shared" ref="T22:T27" ca="1" si="7">IF(Q22=0,"",IF($I$10&gt;0,$I$10,""))</f>
        <v/>
      </c>
      <c r="U22" s="105">
        <f t="shared" ref="U22:U27" ca="1" si="8">IF($J$10&gt;0,"",IF($D$9&gt;0,$D$9*R22/2000,IF($D$10&gt;0,$D$10*365*R22/2000,IF($D$11&gt;0,$D$11*365*R22*Q22/2000,IF($I$10&gt;0,0,S22*8760/2000)))))</f>
        <v>0</v>
      </c>
      <c r="V22" s="113">
        <f t="shared" ca="1" si="2"/>
        <v>0</v>
      </c>
    </row>
    <row r="23" spans="1:23" ht="14.25" customHeight="1" x14ac:dyDescent="0.2">
      <c r="B23" s="186" t="s">
        <v>202</v>
      </c>
      <c r="C23" s="339"/>
      <c r="D23" s="342"/>
      <c r="E23" s="343"/>
      <c r="F23" s="175"/>
      <c r="G23" s="45"/>
      <c r="H23" s="126" t="str">
        <f t="shared" si="3"/>
        <v/>
      </c>
      <c r="I23" s="126" t="str">
        <f t="shared" si="4"/>
        <v/>
      </c>
      <c r="J23" s="82"/>
      <c r="K23" s="61"/>
      <c r="L23" s="156"/>
      <c r="M23" s="219" t="str">
        <f t="shared" si="5"/>
        <v/>
      </c>
      <c r="N23" s="219" t="str">
        <f t="shared" si="6"/>
        <v/>
      </c>
      <c r="P23" s="90" t="s">
        <v>193</v>
      </c>
      <c r="Q23" s="105">
        <f t="shared" ca="1" si="0"/>
        <v>0</v>
      </c>
      <c r="R23" s="111">
        <f ca="1">IF(Q23=0,0,LOOKUP(P23,'Emission Factors'!$A$5:$A$16,'Emission Factors'!$D$5:$D$16))</f>
        <v>0</v>
      </c>
      <c r="S23" s="105">
        <f t="shared" ca="1" si="1"/>
        <v>0</v>
      </c>
      <c r="T23" s="105" t="str">
        <f t="shared" ca="1" si="7"/>
        <v/>
      </c>
      <c r="U23" s="105">
        <f t="shared" ca="1" si="8"/>
        <v>0</v>
      </c>
      <c r="V23" s="113">
        <f t="shared" ca="1" si="2"/>
        <v>0</v>
      </c>
    </row>
    <row r="24" spans="1:23" ht="14.25" customHeight="1" x14ac:dyDescent="0.25">
      <c r="A24" s="149" t="s">
        <v>191</v>
      </c>
      <c r="B24" s="51" t="str">
        <f>IF(OR(COUNTIF(J21:J30,"Truck Mix Loading")&gt;0,(COUNTIF(J21:J30,"Central Mix Loading")&gt;0)),"Is the Central/Truck Mix Loading process controlled by a baghouse?","")</f>
        <v/>
      </c>
      <c r="C24" s="51"/>
      <c r="D24" s="51"/>
      <c r="E24" s="51"/>
      <c r="F24" s="221"/>
      <c r="G24" s="45"/>
      <c r="H24" s="126" t="str">
        <f t="shared" si="3"/>
        <v/>
      </c>
      <c r="I24" s="126" t="str">
        <f t="shared" si="4"/>
        <v/>
      </c>
      <c r="J24" s="82"/>
      <c r="K24" s="61"/>
      <c r="L24" s="156"/>
      <c r="M24" s="219" t="str">
        <f t="shared" si="5"/>
        <v/>
      </c>
      <c r="N24" s="219" t="str">
        <f t="shared" si="6"/>
        <v/>
      </c>
      <c r="P24" s="90" t="s">
        <v>194</v>
      </c>
      <c r="Q24" s="105">
        <f t="shared" ca="1" si="0"/>
        <v>0</v>
      </c>
      <c r="R24" s="111">
        <f ca="1">IF(Q24=0,0,LOOKUP(P24,'Emission Factors'!$A$5:$A$16,'Emission Factors'!$D$5:$D$16))</f>
        <v>0</v>
      </c>
      <c r="S24" s="105">
        <f t="shared" ca="1" si="1"/>
        <v>0</v>
      </c>
      <c r="T24" s="105" t="str">
        <f t="shared" ca="1" si="7"/>
        <v/>
      </c>
      <c r="U24" s="105">
        <f t="shared" ca="1" si="8"/>
        <v>0</v>
      </c>
      <c r="V24" s="113">
        <f t="shared" ca="1" si="2"/>
        <v>0</v>
      </c>
    </row>
    <row r="25" spans="1:23" ht="14.25" customHeight="1" x14ac:dyDescent="0.25">
      <c r="A25" s="6" t="s">
        <v>192</v>
      </c>
      <c r="G25" s="45"/>
      <c r="H25" s="126" t="str">
        <f t="shared" si="3"/>
        <v/>
      </c>
      <c r="I25" s="126" t="str">
        <f t="shared" si="4"/>
        <v/>
      </c>
      <c r="J25" s="82"/>
      <c r="K25" s="61"/>
      <c r="L25" s="156"/>
      <c r="M25" s="219" t="str">
        <f t="shared" si="5"/>
        <v/>
      </c>
      <c r="N25" s="219" t="str">
        <f t="shared" si="6"/>
        <v/>
      </c>
      <c r="P25" s="90" t="s">
        <v>195</v>
      </c>
      <c r="Q25" s="105">
        <f t="shared" ca="1" si="0"/>
        <v>0</v>
      </c>
      <c r="R25" s="111">
        <f ca="1">IF(Q25=0,0,LOOKUP(P25,'Emission Factors'!$A$5:$A$16,'Emission Factors'!$D$5:$D$16))</f>
        <v>0</v>
      </c>
      <c r="S25" s="105">
        <f t="shared" ca="1" si="1"/>
        <v>0</v>
      </c>
      <c r="T25" s="105" t="str">
        <f t="shared" ca="1" si="7"/>
        <v/>
      </c>
      <c r="U25" s="105">
        <f t="shared" ca="1" si="8"/>
        <v>0</v>
      </c>
      <c r="V25" s="113">
        <f t="shared" ca="1" si="2"/>
        <v>0</v>
      </c>
    </row>
    <row r="26" spans="1:23" ht="28.5" customHeight="1" x14ac:dyDescent="0.25">
      <c r="A26" s="6" t="s">
        <v>193</v>
      </c>
      <c r="B26" s="312" t="str">
        <f>IF(AND(B28="",B29="",B32="",B31="",B30=""),"","Process (complete stack information if applicable):")</f>
        <v/>
      </c>
      <c r="C26" s="312" t="str">
        <f>IF(AND(B28="",B29="",B32="",B31="",B30=""),"","Stack Height (ft):")</f>
        <v/>
      </c>
      <c r="D26" s="312" t="str">
        <f>IF(AND(B28="",B29="",B32="",B31="",B30=""),"","Stack Diameter (inches):")</f>
        <v/>
      </c>
      <c r="E26" s="312" t="str">
        <f>IF(AND(B28="",B29="",B32="",B31="",B30=""),"","Flow Rate (acfm):")</f>
        <v/>
      </c>
      <c r="F26" s="312" t="str">
        <f>IF(AND(B28="",B29="",B32="",B31="",B30=""),"","Temp (Deg F):")</f>
        <v/>
      </c>
      <c r="G26" s="45"/>
      <c r="H26" s="126" t="str">
        <f t="shared" si="3"/>
        <v/>
      </c>
      <c r="I26" s="126" t="str">
        <f t="shared" si="4"/>
        <v/>
      </c>
      <c r="J26" s="82"/>
      <c r="K26" s="61"/>
      <c r="L26" s="156"/>
      <c r="M26" s="219" t="str">
        <f t="shared" si="5"/>
        <v/>
      </c>
      <c r="N26" s="219" t="str">
        <f t="shared" si="6"/>
        <v/>
      </c>
      <c r="P26" s="90" t="s">
        <v>196</v>
      </c>
      <c r="Q26" s="105">
        <f t="shared" ca="1" si="0"/>
        <v>0</v>
      </c>
      <c r="R26" s="111">
        <f ca="1">IF(Q26=0,0,LOOKUP(P26,'Emission Factors'!$A$5:$A$16,'Emission Factors'!$D$5:$D$16))</f>
        <v>0</v>
      </c>
      <c r="S26" s="105">
        <f t="shared" ca="1" si="1"/>
        <v>0</v>
      </c>
      <c r="T26" s="105" t="str">
        <f t="shared" ca="1" si="7"/>
        <v/>
      </c>
      <c r="U26" s="105">
        <f t="shared" ca="1" si="8"/>
        <v>0</v>
      </c>
      <c r="V26" s="113">
        <f t="shared" ca="1" si="2"/>
        <v>0</v>
      </c>
    </row>
    <row r="27" spans="1:23" ht="14.25" customHeight="1" x14ac:dyDescent="0.25">
      <c r="A27" s="6" t="s">
        <v>194</v>
      </c>
      <c r="B27" s="344"/>
      <c r="C27" s="344"/>
      <c r="D27" s="344"/>
      <c r="E27" s="344"/>
      <c r="F27" s="344"/>
      <c r="G27" s="45"/>
      <c r="H27" s="126" t="str">
        <f t="shared" si="3"/>
        <v/>
      </c>
      <c r="I27" s="126" t="str">
        <f t="shared" si="4"/>
        <v/>
      </c>
      <c r="J27" s="82"/>
      <c r="K27" s="61"/>
      <c r="L27" s="156"/>
      <c r="M27" s="219" t="str">
        <f t="shared" si="5"/>
        <v/>
      </c>
      <c r="N27" s="219" t="str">
        <f t="shared" si="6"/>
        <v/>
      </c>
      <c r="P27" s="90" t="s">
        <v>203</v>
      </c>
      <c r="Q27" s="105">
        <f t="shared" ca="1" si="0"/>
        <v>0</v>
      </c>
      <c r="R27" s="111">
        <f ca="1">IF(Q27=0,0,LOOKUP(P27,'Emission Factors'!$A$5:$A$16,'Emission Factors'!$D$5:$D$16))</f>
        <v>0</v>
      </c>
      <c r="S27" s="105">
        <f t="shared" ca="1" si="1"/>
        <v>0</v>
      </c>
      <c r="T27" s="105" t="str">
        <f t="shared" ca="1" si="7"/>
        <v/>
      </c>
      <c r="U27" s="105">
        <f t="shared" ca="1" si="8"/>
        <v>0</v>
      </c>
      <c r="V27" s="113">
        <f t="shared" ca="1" si="2"/>
        <v>0</v>
      </c>
    </row>
    <row r="28" spans="1:23" ht="14.25" customHeight="1" x14ac:dyDescent="0.25">
      <c r="A28" s="6" t="s">
        <v>195</v>
      </c>
      <c r="B28" s="45" t="str">
        <f>IF(COUNTIF(J21:J30,"Cement Delivery to Silo")&gt;0,"EP-2 Cement Silo Stack:","")</f>
        <v/>
      </c>
      <c r="C28" s="221"/>
      <c r="D28" s="221"/>
      <c r="E28" s="221"/>
      <c r="F28" s="221"/>
      <c r="G28" s="45"/>
      <c r="H28" s="126" t="str">
        <f t="shared" si="3"/>
        <v/>
      </c>
      <c r="I28" s="126" t="str">
        <f t="shared" si="4"/>
        <v/>
      </c>
      <c r="J28" s="82"/>
      <c r="K28" s="61"/>
      <c r="L28" s="156"/>
      <c r="M28" s="219" t="str">
        <f t="shared" si="5"/>
        <v/>
      </c>
      <c r="N28" s="219" t="str">
        <f t="shared" si="6"/>
        <v/>
      </c>
      <c r="P28" s="90" t="s">
        <v>197</v>
      </c>
      <c r="Q28" s="105">
        <f t="shared" ca="1" si="0"/>
        <v>0</v>
      </c>
      <c r="R28" s="111">
        <f ca="1">IF(Q28=0,0,LOOKUP(P28,'Emission Factors'!$A$5:$A$16,'Emission Factors'!$D$5:$D$16))</f>
        <v>0</v>
      </c>
      <c r="S28" s="105">
        <f t="shared" ca="1" si="1"/>
        <v>0</v>
      </c>
      <c r="T28" s="105" t="str">
        <f ca="1">IF(Q28=0,"",IF($I$10&gt;0,$I$10,IF(COUNTIF($F$24:$F$168,"no")&gt;0,"",S28*(1-0.95))))</f>
        <v/>
      </c>
      <c r="U28" s="105">
        <f ca="1">IF($J$10&gt;0,"",IF($D$9&gt;0,$D$9*R28*((100-$W$30)/100)/2000,IF($D$10&gt;0,$D$10*365*R28*((100-$W$30)/100)/2000,IF($D$11&gt;0,$D$11*365*R28*((100-$W$30)/100)*Q28/2000,IF(T28="",S28*8760/2000,T28*8760/2000)))))</f>
        <v>0</v>
      </c>
      <c r="V28" s="113">
        <f ca="1">(R28*N180)</f>
        <v>0</v>
      </c>
    </row>
    <row r="29" spans="1:23" ht="14.25" customHeight="1" x14ac:dyDescent="0.25">
      <c r="A29" s="138" t="s">
        <v>196</v>
      </c>
      <c r="B29" s="45" t="str">
        <f>IF(COUNTIF(J21:J30,"Cement Supplement Delivery to Silo")&gt;0,"EP-3 Cement Supplement Silo Stack:","")</f>
        <v/>
      </c>
      <c r="C29" s="221"/>
      <c r="D29" s="221"/>
      <c r="E29" s="221"/>
      <c r="F29" s="221"/>
      <c r="G29" s="45"/>
      <c r="H29" s="126" t="str">
        <f t="shared" si="3"/>
        <v/>
      </c>
      <c r="I29" s="126" t="str">
        <f t="shared" si="4"/>
        <v/>
      </c>
      <c r="J29" s="82"/>
      <c r="K29" s="61"/>
      <c r="L29" s="156"/>
      <c r="M29" s="219" t="str">
        <f t="shared" si="5"/>
        <v/>
      </c>
      <c r="N29" s="219" t="str">
        <f t="shared" si="6"/>
        <v/>
      </c>
      <c r="P29" s="90" t="s">
        <v>198</v>
      </c>
      <c r="Q29" s="105">
        <f t="shared" ca="1" si="0"/>
        <v>0</v>
      </c>
      <c r="R29" s="111">
        <f ca="1">IF(Q29=0,0,LOOKUP(P29,'Emission Factors'!$A$5:$A$16,'Emission Factors'!$D$5:$D$16))</f>
        <v>0</v>
      </c>
      <c r="S29" s="105">
        <f t="shared" ca="1" si="1"/>
        <v>0</v>
      </c>
      <c r="T29" s="105" t="str">
        <f ca="1">IF(Q29=0,"",IF($I$10&gt;0,$I$10,IF(COUNTIF($F$24:$F$168,"no")&gt;0,"",S29*(1-0.95))))</f>
        <v/>
      </c>
      <c r="U29" s="105">
        <f ca="1">IF($J$10&gt;0,"",IF($D$9&gt;0,$D$9*R29*((100-$W$30)/100)/2000,IF($D$10&gt;0,$D$10*365*R29*((100-$W$30)/100)/2000,IF($D$11&gt;0,$D$11*365*R29*((100-$W$30)/100)*Q29/2000,IF(T29="",S29*8760/2000,T29*8760/2000)))))</f>
        <v>0</v>
      </c>
      <c r="V29" s="113">
        <f ca="1">(R29*M180)</f>
        <v>0</v>
      </c>
    </row>
    <row r="30" spans="1:23" ht="14.25" customHeight="1" x14ac:dyDescent="0.25">
      <c r="A30" s="138" t="s">
        <v>203</v>
      </c>
      <c r="B30" s="45" t="str">
        <f>IF(COUNTIF(J21:J30,"Weigh Hopper Loading")&gt;0,"EP-4 Weigh Hopper Loading Stack:","")</f>
        <v/>
      </c>
      <c r="C30" s="221"/>
      <c r="D30" s="221"/>
      <c r="E30" s="221"/>
      <c r="F30" s="221"/>
      <c r="H30" s="126" t="str">
        <f t="shared" si="3"/>
        <v/>
      </c>
      <c r="I30" s="126" t="str">
        <f t="shared" si="4"/>
        <v/>
      </c>
      <c r="J30" s="82"/>
      <c r="K30" s="61"/>
      <c r="L30" s="156"/>
      <c r="M30" s="219" t="str">
        <f t="shared" si="5"/>
        <v/>
      </c>
      <c r="N30" s="219" t="str">
        <f t="shared" si="6"/>
        <v/>
      </c>
      <c r="P30" s="90" t="s">
        <v>199</v>
      </c>
      <c r="Q30" s="105">
        <f t="shared" ca="1" si="0"/>
        <v>0</v>
      </c>
      <c r="R30" s="111">
        <f ca="1">IF(Q30=0,0,LOOKUP(P30,'Emission Factors'!$A$5:$A$16,'Emission Factors'!$D$5:$D$16))</f>
        <v>0</v>
      </c>
      <c r="S30" s="148"/>
      <c r="T30" s="106">
        <f ca="1">IF(Q30=0,0,IF($I$10&gt;0,$I$10,Q30*R30))</f>
        <v>0</v>
      </c>
      <c r="U30" s="105">
        <f ca="1">IF($J$10&gt;0,"",IF($D$9&gt;0,$D$9*R30/2000,IF($D$10&gt;0,$D$10*365*R30/2000,IF($D$11&gt;0,$D$11*365*R30*Q30/2000,IF($I$10&gt;0,0,T30*8760/2000)))))</f>
        <v>0</v>
      </c>
      <c r="V30" s="113">
        <f ca="1">(R13*R30/2000)</f>
        <v>0</v>
      </c>
      <c r="W30" s="67">
        <f>IF(COUNTIF($F$24:$F$168,"no")&gt;0,0,95)</f>
        <v>95</v>
      </c>
    </row>
    <row r="31" spans="1:23" ht="14.25" customHeight="1" x14ac:dyDescent="0.25">
      <c r="A31" s="138" t="s">
        <v>197</v>
      </c>
      <c r="B31" s="45" t="str">
        <f>IF(COUNTIF(J21:J30,"Truck Mix Loading")&gt;0,"EP-5 Truck Mix Loading Stack:","")</f>
        <v/>
      </c>
      <c r="C31" s="221"/>
      <c r="D31" s="221"/>
      <c r="E31" s="221"/>
      <c r="F31" s="221"/>
      <c r="G31" s="76"/>
      <c r="H31" s="45"/>
      <c r="I31" s="45"/>
      <c r="P31" s="90" t="s">
        <v>200</v>
      </c>
      <c r="Q31" s="105">
        <f t="shared" ca="1" si="0"/>
        <v>0</v>
      </c>
      <c r="R31" s="111">
        <f ca="1">IF(Q31=0,0,LOOKUP(P31,'Emission Factors'!$A$5:$A$16,'Emission Factors'!$D$5:$D$16))</f>
        <v>0</v>
      </c>
      <c r="S31" s="148"/>
      <c r="T31" s="105">
        <f ca="1">IF(Q31=0,0,IF($I$10&gt;0,$I$10,Q31*R31))</f>
        <v>0</v>
      </c>
      <c r="U31" s="105">
        <f ca="1">IF($J$10&gt;0,"",IF($D$9&gt;0,$D$9*R31/2000,IF($D$10&gt;0,$D$10*365*R31/2000,IF($D$11&gt;0,$D$11*365*R31*Q31/2000,IF($I$10&gt;0,0,T31*8760/2000)))))</f>
        <v>0</v>
      </c>
      <c r="V31" s="113">
        <f ca="1">(R14*R31/2000)</f>
        <v>0</v>
      </c>
    </row>
    <row r="32" spans="1:23" ht="14.25" customHeight="1" x14ac:dyDescent="0.25">
      <c r="A32" s="138" t="s">
        <v>198</v>
      </c>
      <c r="B32" s="45" t="str">
        <f>IF(COUNTIF(J21:J30,"Central Mix Loading")&gt;0,"EP-6 Central Mix Loading Stack:","")</f>
        <v/>
      </c>
      <c r="C32" s="221"/>
      <c r="D32" s="221"/>
      <c r="E32" s="221"/>
      <c r="F32" s="221"/>
      <c r="H32" s="74" t="s">
        <v>85</v>
      </c>
      <c r="I32" s="74"/>
      <c r="J32" s="75"/>
    </row>
    <row r="33" spans="1:23" ht="14.25" customHeight="1" x14ac:dyDescent="0.25">
      <c r="A33" s="138" t="s">
        <v>199</v>
      </c>
      <c r="B33" s="45"/>
      <c r="I33" s="77" t="s">
        <v>61</v>
      </c>
      <c r="J33" s="43" t="s">
        <v>86</v>
      </c>
      <c r="K33" s="100" t="s">
        <v>87</v>
      </c>
      <c r="L33" s="43" t="s">
        <v>88</v>
      </c>
      <c r="M33" s="146"/>
      <c r="N33" s="146"/>
      <c r="P33" s="89" t="s">
        <v>17</v>
      </c>
      <c r="Q33" s="107"/>
      <c r="R33" s="112"/>
      <c r="S33" s="108"/>
      <c r="T33" s="108"/>
      <c r="U33" s="108"/>
      <c r="V33" s="114"/>
    </row>
    <row r="34" spans="1:23" ht="14.25" customHeight="1" x14ac:dyDescent="0.25">
      <c r="A34" s="138" t="s">
        <v>200</v>
      </c>
      <c r="C34" s="163"/>
      <c r="D34" s="163"/>
      <c r="E34" s="163"/>
      <c r="F34" s="163"/>
      <c r="I34" s="63"/>
      <c r="J34" s="102"/>
      <c r="K34" s="64"/>
      <c r="L34" s="102"/>
      <c r="M34" s="146"/>
      <c r="N34" s="146"/>
      <c r="P34" s="90" t="s">
        <v>191</v>
      </c>
      <c r="Q34" s="105">
        <f t="shared" ref="Q34:Q44" ca="1" si="9">Q4</f>
        <v>0</v>
      </c>
      <c r="R34" s="111">
        <f ca="1">IF(Q34=0,0,LOOKUP(P34,'Emission Factors'!$A$5:$A$16,'Emission Factors'!$H$5:$H$16))</f>
        <v>0</v>
      </c>
      <c r="S34" s="105">
        <f ca="1">Q34*R34</f>
        <v>0</v>
      </c>
      <c r="T34" s="105" t="str">
        <f ca="1">IF(Q34=0,"",IF($I$11&gt;0,$I$11,""))</f>
        <v/>
      </c>
      <c r="U34" s="105">
        <f ca="1">IF($J$11&gt;0,$J$11,IF($D$9&gt;0,$D$9*R34/2000,IF($D$10&gt;0,$D$10*365*R34/2000,IF($D$11&gt;0,$D$11*365*R34*Q34/2000,IF($I$11&gt;0,0,S34*8760/2000)))))</f>
        <v>0</v>
      </c>
      <c r="V34" s="113">
        <f t="shared" ref="V34:V40" ca="1" si="10">(R4*R34/2000)</f>
        <v>0</v>
      </c>
    </row>
    <row r="35" spans="1:23" ht="14.25" customHeight="1" x14ac:dyDescent="0.2">
      <c r="G35" s="45"/>
      <c r="P35" s="90" t="s">
        <v>192</v>
      </c>
      <c r="Q35" s="105">
        <f t="shared" ca="1" si="9"/>
        <v>0</v>
      </c>
      <c r="R35" s="111">
        <f ca="1">IF(Q35=0,0,LOOKUP(P35,'Emission Factors'!$A$5:$A$16,'Emission Factors'!$H$5:$H$16))</f>
        <v>0</v>
      </c>
      <c r="S35" s="109">
        <f t="shared" ref="S35:S36" ca="1" si="11">Q35*R35</f>
        <v>0</v>
      </c>
      <c r="T35" s="105" t="str">
        <f t="shared" ref="T35:T36" ca="1" si="12">IF(Q35=0,"",IF($I$11&gt;0,$I$11,""))</f>
        <v/>
      </c>
      <c r="U35" s="105">
        <f t="shared" ref="U35:U36" ca="1" si="13">IF($J$11&gt;0,"",IF($D$9&gt;0,$D$9*R35/2000,IF($D$10&gt;0,$D$10*365*R35/2000,IF($D$11&gt;0,$D$11*365*R35*Q35/2000,IF($I$11&gt;0,0,S35*8760/2000)))))</f>
        <v>0</v>
      </c>
      <c r="V35" s="113">
        <f t="shared" ca="1" si="10"/>
        <v>0</v>
      </c>
    </row>
    <row r="36" spans="1:23" ht="29.25" customHeight="1" x14ac:dyDescent="0.25">
      <c r="B36" s="78" t="str">
        <f>IF('Concrete Plant (CP-1)'!$D$4&gt;1,"Batch Plant","")</f>
        <v/>
      </c>
      <c r="C36" s="71" t="str">
        <f>IF('Concrete Plant (CP-1)'!$D$4&gt;1,"Site 2","")</f>
        <v/>
      </c>
      <c r="D36" s="71"/>
      <c r="E36" s="71"/>
      <c r="F36" s="71"/>
      <c r="G36" s="45"/>
      <c r="H36" s="310" t="str">
        <f>IF('Concrete Plant (CP-1)'!$D$4&gt;1,"Emission Point #","")</f>
        <v/>
      </c>
      <c r="I36" s="310" t="str">
        <f>IF('Concrete Plant (CP-1)'!$D$4&gt;1,"Emission     Unit #","")</f>
        <v/>
      </c>
      <c r="J36" s="310" t="str">
        <f>IF('Concrete Plant (CP-1)'!$D$4&gt;1,"Processes","")</f>
        <v/>
      </c>
      <c r="K36" s="311" t="str">
        <f>IF('Concrete Plant (CP-1)'!$D$4&gt;1,"Combined Maximum Hourly Design Rate for all Like Processes (cubic yard/hr)","")</f>
        <v/>
      </c>
      <c r="L36" s="310" t="str">
        <f>IF('Concrete Plant (CP-1)'!$D$4&gt;1,('Facility Information'!G5&amp;" Annual Throughput (cubic yards)"),"")</f>
        <v/>
      </c>
      <c r="M36" s="217"/>
      <c r="N36" s="217"/>
      <c r="P36" s="90" t="s">
        <v>193</v>
      </c>
      <c r="Q36" s="105">
        <f t="shared" ca="1" si="9"/>
        <v>0</v>
      </c>
      <c r="R36" s="111">
        <f ca="1">IF(Q36=0,0,LOOKUP(P36,'Emission Factors'!$A$5:$A$16,'Emission Factors'!$H$5:$H$16))</f>
        <v>0</v>
      </c>
      <c r="S36" s="105">
        <f t="shared" ca="1" si="11"/>
        <v>0</v>
      </c>
      <c r="T36" s="105" t="str">
        <f t="shared" ca="1" si="12"/>
        <v/>
      </c>
      <c r="U36" s="105">
        <f t="shared" ca="1" si="13"/>
        <v>0</v>
      </c>
      <c r="V36" s="113">
        <f t="shared" ca="1" si="10"/>
        <v>0</v>
      </c>
    </row>
    <row r="37" spans="1:23" ht="14.25" customHeight="1" x14ac:dyDescent="0.2">
      <c r="B37" s="79" t="str">
        <f>IF('Concrete Plant (CP-1)'!$D$4&gt;1,"Site Name:","")</f>
        <v/>
      </c>
      <c r="C37" s="339"/>
      <c r="D37" s="340"/>
      <c r="E37" s="341"/>
      <c r="F37" s="175"/>
      <c r="G37" s="45"/>
      <c r="H37" s="127" t="str">
        <f>IF(J37="cement delivery to silo","CP-1 EP-2",IF(J37="cement supplement delivery to silo","CP-1 EP-3",IF(J37="weigh hopper loading","CP-1 EP-4",IF(J37="truck mix loading","CP-1 EP-5",IF(J37="central mix loading","CP-1 EP-6",IF(J37="","","CP-1 EP-1"))))))</f>
        <v/>
      </c>
      <c r="I37" s="127" t="str">
        <f>IF(J37="","",IF(J37="aggregate delivery to ground storage","CP-1 EU-1",IF(J37="sand delivery to ground storage","CP-1 EU-2",IF(J37="aggregate transfer to conveyor","CP-1 EU-3",IF(J37="sand transfer to conveyor","CP-1 EU-4",IF(J37="aggregate transfer to elevated storage","CP-1 EU-5",IF(J37="sand transfer to elevated storage","CP-1 EU-6",IF(J37="weigh hopper loading","CP-1 EU-7",IF(J37="central mix loading","CP-1 EU-8",IF(J37="truck mix loading","CP-1 EU-9",IF(J37="cement delivery to silo","CP-1 EU-10",IF(J37="cement supplement delivery to silo","CP-1 EU-11"))))))))))))</f>
        <v/>
      </c>
      <c r="J37" s="82"/>
      <c r="K37" s="61"/>
      <c r="L37" s="156"/>
      <c r="M37" s="219" t="str">
        <f>IF(J37="truck mix loading",IF($F$40="yes",L37*0.05/2000,L37/2000),"")</f>
        <v/>
      </c>
      <c r="N37" s="219" t="str">
        <f>IF(J37="central mix loading",IF($F$40="yes",L37*0.05/2000,L37/2000),"")</f>
        <v/>
      </c>
      <c r="P37" s="90" t="s">
        <v>194</v>
      </c>
      <c r="Q37" s="105">
        <f t="shared" ca="1" si="9"/>
        <v>0</v>
      </c>
      <c r="R37" s="111">
        <f ca="1">IF(Q37=0,0,LOOKUP(P37,'Emission Factors'!$A$5:$A$16,'Emission Factors'!$H$5:$H$16))</f>
        <v>0</v>
      </c>
      <c r="S37" s="105">
        <f t="shared" ref="S37:S42" ca="1" si="14">Q37*R37</f>
        <v>0</v>
      </c>
      <c r="T37" s="105" t="str">
        <f ca="1">IF(Q37=0,"",IF($I$11&gt;0,$I$11,""))</f>
        <v/>
      </c>
      <c r="U37" s="105">
        <f ca="1">IF($J$11&gt;0,"",IF($D$9&gt;0,$D$9*R37/2000,IF($D$10&gt;0,$D$10*365*R37/2000,IF($D$11&gt;0,$D$11*365*R37*Q37/2000,IF($I$11&gt;0,0,S37*8760/2000)))))</f>
        <v>0</v>
      </c>
      <c r="V37" s="113">
        <f t="shared" ca="1" si="10"/>
        <v>0</v>
      </c>
    </row>
    <row r="38" spans="1:23" ht="14.25" customHeight="1" x14ac:dyDescent="0.2">
      <c r="B38" s="79" t="str">
        <f>IF('Concrete Plant (CP-1)'!$D$4&gt;1,"County:","")</f>
        <v/>
      </c>
      <c r="C38" s="339"/>
      <c r="D38" s="340"/>
      <c r="E38" s="341"/>
      <c r="F38" s="175"/>
      <c r="G38" s="45"/>
      <c r="H38" s="127" t="str">
        <f t="shared" ref="H38:H46" si="15">IF(J38="cement delivery to silo","CP-1 EP-2",IF(J38="cement supplement delivery to silo","CP-1 EP-3",IF(J38="weigh hopper loading","CP-1 EP-4",IF(J38="truck mix loading","CP-1 EP-5",IF(J38="central mix loading","CP-1 EP-6",IF(J38="","","CP-1 EP-1"))))))</f>
        <v/>
      </c>
      <c r="I38" s="127" t="str">
        <f>IF(J38="","",IF(J38="aggregate delivery to ground storage","CP-1 EU-1",IF(J38="sand delivery to ground storage","CP-1 EU-2",IF(J38="aggregate transfer to conveyor","CP-1 EU-3",IF(J38="sand transfer to conveyor","CP-1 EU-4",IF(J38="aggregate transfer to elevated storage","CP-1 EU-5",IF(J38="sand transfer to elevated storage","CP-1 EU-6",IF(J38="weigh hopper loading","CP-1 EU-7",IF(J38="central mix loading","CP-1 EU-8",IF(J38="truck mix loading","CP-1 EU-9",IF(J38="cement delivery to silo","CP-1 EU-10",IF(J38="cement supplement delivery to silo","CP-1 EU-11"))))))))))))</f>
        <v/>
      </c>
      <c r="J38" s="82"/>
      <c r="K38" s="61"/>
      <c r="L38" s="156"/>
      <c r="M38" s="219" t="str">
        <f t="shared" ref="M38:M46" si="16">IF(J38="truck mix loading",IF($F$40="yes",L38*0.05/2000,L38/2000),"")</f>
        <v/>
      </c>
      <c r="N38" s="219" t="str">
        <f t="shared" ref="N38:N46" si="17">IF(J38="central mix loading",IF($F$40="yes",L38*0.05/2000,L38/2000),"")</f>
        <v/>
      </c>
      <c r="P38" s="90" t="s">
        <v>195</v>
      </c>
      <c r="Q38" s="105">
        <f t="shared" ca="1" si="9"/>
        <v>0</v>
      </c>
      <c r="R38" s="111">
        <f ca="1">IF(Q38=0,0,LOOKUP(P38,'Emission Factors'!$A$5:$A$16,'Emission Factors'!$H$5:$H$16))</f>
        <v>0</v>
      </c>
      <c r="S38" s="105">
        <f t="shared" ca="1" si="14"/>
        <v>0</v>
      </c>
      <c r="T38" s="105" t="str">
        <f ca="1">IF(Q38=0,"",IF($I$11&gt;0,$I$11,""))</f>
        <v/>
      </c>
      <c r="U38" s="105">
        <f ca="1">IF($J$11&gt;0,"",IF($D$9&gt;0,$D$9*R38/2000,IF($D$10&gt;0,$D$10*365*R38/2000,IF($D$11&gt;0,$D$11*365*R38*Q38/2000,IF($I$11&gt;0,0,S38*8760/2000)))))</f>
        <v>0</v>
      </c>
      <c r="V38" s="113">
        <f t="shared" ca="1" si="10"/>
        <v>0</v>
      </c>
    </row>
    <row r="39" spans="1:23" ht="14.25" customHeight="1" x14ac:dyDescent="0.2">
      <c r="B39" s="79" t="str">
        <f>IF('Concrete Plant (CP-1)'!$D$4&gt;1,"Batching Period (Dates):","")</f>
        <v/>
      </c>
      <c r="C39" s="339"/>
      <c r="D39" s="340"/>
      <c r="E39" s="341"/>
      <c r="F39" s="175"/>
      <c r="G39" s="45"/>
      <c r="H39" s="127" t="str">
        <f t="shared" si="15"/>
        <v/>
      </c>
      <c r="I39" s="127" t="str">
        <f t="shared" ref="I39:I46" si="18">IF(J39="","",IF(J39="aggregate delivery to ground storage","CP-1 EU-1",IF(J39="sand delivery to ground storage","CP-1 EU-2",IF(J39="aggregate transfer to conveyor","CP-1 EU-3",IF(J39="sand transfer to conveyor","CP-1 EU-4",IF(J39="aggregate transfer to elevated storage","CP-1 EU-5",IF(J39="sand transfer to elevated storage","CP-1 EU-6",IF(J39="weigh hopper loading","CP-1 EU-7",IF(J39="central mix loading","CP-1 EU-8",IF(J39="truck mix loading","CP-1 EU-9",IF(J39="cement delivery to silo","CP-1 EU-10",IF(J39="cement supplement delivery to silo","CP-1 EU-11"))))))))))))</f>
        <v/>
      </c>
      <c r="J39" s="82"/>
      <c r="K39" s="61"/>
      <c r="L39" s="156"/>
      <c r="M39" s="219" t="str">
        <f t="shared" si="16"/>
        <v/>
      </c>
      <c r="N39" s="219" t="str">
        <f t="shared" si="17"/>
        <v/>
      </c>
      <c r="P39" s="90" t="s">
        <v>196</v>
      </c>
      <c r="Q39" s="105">
        <f t="shared" ca="1" si="9"/>
        <v>0</v>
      </c>
      <c r="R39" s="111">
        <f ca="1">IF(Q39=0,0,LOOKUP(P39,'Emission Factors'!$A$5:$A$16,'Emission Factors'!$H$5:$H$16))</f>
        <v>0</v>
      </c>
      <c r="S39" s="105">
        <f t="shared" ca="1" si="14"/>
        <v>0</v>
      </c>
      <c r="T39" s="105" t="str">
        <f ca="1">IF(Q39=0,"",IF($I$11&gt;0,$I$11,""))</f>
        <v/>
      </c>
      <c r="U39" s="105">
        <f ca="1">IF($J$11&gt;0,"",IF($D$9&gt;0,$D$9*R39/2000,IF($D$10&gt;0,$D$10*365*R39/2000,IF($D$11&gt;0,$D$11*365*R39*Q39/2000,IF($I$11&gt;0,0,S39*8760/2000)))))</f>
        <v>0</v>
      </c>
      <c r="V39" s="113">
        <f t="shared" ca="1" si="10"/>
        <v>0</v>
      </c>
    </row>
    <row r="40" spans="1:23" ht="14.25" customHeight="1" x14ac:dyDescent="0.2">
      <c r="B40" s="51" t="str">
        <f>IF(OR(COUNTIF(J37:J46,"Truck Mix Loading")&gt;0,(COUNTIF(J37:J46,"Central Mix Loading")&gt;0)),"Is the Central/Truck Mix Loading process controlled by a baghouse?","")</f>
        <v/>
      </c>
      <c r="C40" s="51"/>
      <c r="D40" s="51"/>
      <c r="E40" s="51"/>
      <c r="F40" s="221"/>
      <c r="G40" s="45"/>
      <c r="H40" s="127" t="str">
        <f t="shared" si="15"/>
        <v/>
      </c>
      <c r="I40" s="127" t="str">
        <f t="shared" si="18"/>
        <v/>
      </c>
      <c r="J40" s="82"/>
      <c r="K40" s="61"/>
      <c r="L40" s="156"/>
      <c r="M40" s="219" t="str">
        <f t="shared" si="16"/>
        <v/>
      </c>
      <c r="N40" s="219" t="str">
        <f t="shared" si="17"/>
        <v/>
      </c>
      <c r="P40" s="90" t="s">
        <v>203</v>
      </c>
      <c r="Q40" s="105">
        <f t="shared" ca="1" si="9"/>
        <v>0</v>
      </c>
      <c r="R40" s="111">
        <f ca="1">IF(Q40=0,0,LOOKUP(P40,'Emission Factors'!$A$5:$A$16,'Emission Factors'!$H$5:$H$16))</f>
        <v>0</v>
      </c>
      <c r="S40" s="105">
        <f t="shared" ca="1" si="14"/>
        <v>0</v>
      </c>
      <c r="T40" s="105" t="str">
        <f ca="1">IF(Q40=0,"",IF($I$11&gt;0,$I$11,""))</f>
        <v/>
      </c>
      <c r="U40" s="105">
        <f ca="1">IF($J$11&gt;0,"",IF($D$9&gt;0,$D$9*R40/2000,IF($D$10&gt;0,$D$10*365*R40/2000,IF($D$11&gt;0,$D$11*365*R40*Q40/2000,IF($I$11&gt;0,0,S40*8760/2000)))))</f>
        <v>0</v>
      </c>
      <c r="V40" s="113">
        <f t="shared" ca="1" si="10"/>
        <v>0</v>
      </c>
    </row>
    <row r="41" spans="1:23" ht="14.25" customHeight="1" x14ac:dyDescent="0.2">
      <c r="C41" s="163"/>
      <c r="D41" s="163"/>
      <c r="E41" s="163"/>
      <c r="F41" s="163"/>
      <c r="G41" s="45"/>
      <c r="H41" s="127" t="str">
        <f t="shared" si="15"/>
        <v/>
      </c>
      <c r="I41" s="127" t="str">
        <f t="shared" si="18"/>
        <v/>
      </c>
      <c r="J41" s="82"/>
      <c r="K41" s="61"/>
      <c r="L41" s="156"/>
      <c r="M41" s="219" t="str">
        <f t="shared" si="16"/>
        <v/>
      </c>
      <c r="N41" s="219" t="str">
        <f t="shared" si="17"/>
        <v/>
      </c>
      <c r="P41" s="90" t="s">
        <v>197</v>
      </c>
      <c r="Q41" s="105">
        <f t="shared" ca="1" si="9"/>
        <v>0</v>
      </c>
      <c r="R41" s="111">
        <f ca="1">IF(Q41=0,0,LOOKUP(P41,'Emission Factors'!$A$5:$A$16,'Emission Factors'!$H$5:$H$16))</f>
        <v>0</v>
      </c>
      <c r="S41" s="105">
        <f t="shared" ca="1" si="14"/>
        <v>0</v>
      </c>
      <c r="T41" s="105" t="str">
        <f ca="1">IF(Q41=0,"",IF($I$11&gt;0,$I$11,IF(COUNTIF($F$24:$F$168,"no")&gt;0,"",S41*(1-0.95))))</f>
        <v/>
      </c>
      <c r="U41" s="105">
        <f ca="1">IF($J$11&gt;0,"",IF($D$9&gt;0,$D$9*R41*((100-$W$30)/100)/2000,IF($D$10&gt;0,$D$10*365*R41*((100-$W$30)/100)/2000,IF($D$11&gt;0,$D$11*365*R41*((100-$W$30)/100)*Q41/2000,IF(T41="",S41*8760/2000,T41*8760/2000)))))</f>
        <v>0</v>
      </c>
      <c r="V41" s="113">
        <f ca="1">(N180*R41)</f>
        <v>0</v>
      </c>
      <c r="W41" s="67">
        <f>IF(COUNTIF($F$24:$F$168,"no")&gt;0,0,95)</f>
        <v>95</v>
      </c>
    </row>
    <row r="42" spans="1:23" ht="27.75" customHeight="1" x14ac:dyDescent="0.2">
      <c r="B42" s="312" t="str">
        <f>IF(AND(B44="",B45="",B46="",B47="",B48=""),"","Process (complete stack information if applicable):")</f>
        <v/>
      </c>
      <c r="C42" s="312" t="str">
        <f>IF(AND(B44="",B45="",B46="",B47="",B48=""),"","Stack Height (ft):")</f>
        <v/>
      </c>
      <c r="D42" s="312" t="str">
        <f>IF(AND(B44="",B45="",B46="",B47="",B48=""),"","Stack Diameter (inches):")</f>
        <v/>
      </c>
      <c r="E42" s="312" t="str">
        <f>IF(AND(B44="",B45="",B46="",B47="",B48=""),"","Flow Rate (acfm):")</f>
        <v/>
      </c>
      <c r="F42" s="312" t="str">
        <f>IF(AND(B44="",B45="",B46="",B47="",B48=""),"","Temp (Deg F):")</f>
        <v/>
      </c>
      <c r="G42" s="45"/>
      <c r="H42" s="127" t="str">
        <f t="shared" si="15"/>
        <v/>
      </c>
      <c r="I42" s="127" t="str">
        <f t="shared" si="18"/>
        <v/>
      </c>
      <c r="J42" s="82"/>
      <c r="K42" s="61"/>
      <c r="L42" s="156"/>
      <c r="M42" s="219" t="str">
        <f t="shared" si="16"/>
        <v/>
      </c>
      <c r="N42" s="219" t="str">
        <f t="shared" si="17"/>
        <v/>
      </c>
      <c r="P42" s="90" t="s">
        <v>198</v>
      </c>
      <c r="Q42" s="105">
        <f t="shared" ca="1" si="9"/>
        <v>0</v>
      </c>
      <c r="R42" s="111">
        <f ca="1">IF(Q42=0,0,LOOKUP(P42,'Emission Factors'!$A$5:$A$16,'Emission Factors'!$H$5:$H$16))</f>
        <v>0</v>
      </c>
      <c r="S42" s="105">
        <f t="shared" ca="1" si="14"/>
        <v>0</v>
      </c>
      <c r="T42" s="105" t="str">
        <f ca="1">IF(Q42=0,"",IF($I$11&gt;0,$I$11,IF(COUNTIF($F$24:$F$168,"no")&gt;0,"",S42*(1-0.95))))</f>
        <v/>
      </c>
      <c r="U42" s="105">
        <f ca="1">IF($J$11&gt;0,"",IF($D$9&gt;0,$D$9*R42*((100-$W$30)/100)/2000,IF($D$10&gt;0,$D$10*365*R42*((100-$W$30)/100)/2000,IF($D$11&gt;0,$D$11*365*R42*((100-$W$30)/100)*Q42/2000,IF(T42="",S42*8760/2000,T42*8760/2000)))))</f>
        <v>0</v>
      </c>
      <c r="V42" s="113">
        <f ca="1">(M180*R42)</f>
        <v>0</v>
      </c>
    </row>
    <row r="43" spans="1:23" ht="14.25" customHeight="1" x14ac:dyDescent="0.2">
      <c r="B43" s="312"/>
      <c r="C43" s="312"/>
      <c r="D43" s="312"/>
      <c r="E43" s="312"/>
      <c r="F43" s="312"/>
      <c r="G43" s="45"/>
      <c r="H43" s="127" t="str">
        <f t="shared" si="15"/>
        <v/>
      </c>
      <c r="I43" s="127" t="str">
        <f t="shared" si="18"/>
        <v/>
      </c>
      <c r="J43" s="82"/>
      <c r="K43" s="61"/>
      <c r="L43" s="156"/>
      <c r="M43" s="219" t="str">
        <f t="shared" si="16"/>
        <v/>
      </c>
      <c r="N43" s="219" t="str">
        <f t="shared" si="17"/>
        <v/>
      </c>
      <c r="P43" s="90" t="s">
        <v>199</v>
      </c>
      <c r="Q43" s="105">
        <f t="shared" ca="1" si="9"/>
        <v>0</v>
      </c>
      <c r="R43" s="111">
        <f ca="1">IF(Q43=0,0,LOOKUP(P43,'Emission Factors'!$A$5:$A$16,'Emission Factors'!$H$5:$H$16))</f>
        <v>0</v>
      </c>
      <c r="S43" s="148"/>
      <c r="T43" s="105">
        <f ca="1">IF(Q43=0,0,IF($I$10&gt;0,$I$10,Q43*R43))</f>
        <v>0</v>
      </c>
      <c r="U43" s="105">
        <f ca="1">IF($J$11&gt;0,"",IF($D$9&gt;0,$D$9*R43/2000,IF($D$10&gt;0,$D$10*365*R43/2000,IF($D$11&gt;0,$D$11*365*R43*Q43/2000,IF($I$11&gt;0,0,T43*8760/2000)))))</f>
        <v>0</v>
      </c>
      <c r="V43" s="113">
        <f ca="1">(R13*R43/2000)</f>
        <v>0</v>
      </c>
    </row>
    <row r="44" spans="1:23" ht="14.25" customHeight="1" x14ac:dyDescent="0.2">
      <c r="B44" s="45" t="str">
        <f>IF(COUNTIF(J37:J46,"Cement Delivery to Silo")&gt;0,"EP-2 Cement Silo Stack:","")</f>
        <v/>
      </c>
      <c r="C44" s="221"/>
      <c r="D44" s="221"/>
      <c r="E44" s="221"/>
      <c r="F44" s="221"/>
      <c r="H44" s="127" t="str">
        <f t="shared" si="15"/>
        <v/>
      </c>
      <c r="I44" s="127" t="str">
        <f t="shared" si="18"/>
        <v/>
      </c>
      <c r="J44" s="82"/>
      <c r="K44" s="61"/>
      <c r="L44" s="156"/>
      <c r="M44" s="219" t="str">
        <f t="shared" si="16"/>
        <v/>
      </c>
      <c r="N44" s="219" t="str">
        <f t="shared" si="17"/>
        <v/>
      </c>
      <c r="P44" s="90" t="s">
        <v>200</v>
      </c>
      <c r="Q44" s="105">
        <f t="shared" ca="1" si="9"/>
        <v>0</v>
      </c>
      <c r="R44" s="111">
        <f ca="1">IF(Q44=0,0,LOOKUP(P44,'Emission Factors'!$A$5:$A$16,'Emission Factors'!$H$5:$H$16))</f>
        <v>0</v>
      </c>
      <c r="S44" s="148"/>
      <c r="T44" s="105">
        <f ca="1">IF(Q44=0,0,IF($I$10&gt;0,$I$10,Q44*R44))</f>
        <v>0</v>
      </c>
      <c r="U44" s="105">
        <f ca="1">IF($J$11&gt;0,"",IF($D$9&gt;0,$D$9*R44/2000,IF($D$10&gt;0,$D$10*365*R44/2000,IF($D$11&gt;0,$D$11*365*R44*Q44/2000,IF($I$11&gt;0,0,T44*8760/2000)))))</f>
        <v>0</v>
      </c>
      <c r="V44" s="113">
        <f ca="1">(R14*R44/2000)</f>
        <v>0</v>
      </c>
    </row>
    <row r="45" spans="1:23" ht="14.25" customHeight="1" x14ac:dyDescent="0.2">
      <c r="B45" s="45" t="str">
        <f>IF(COUNTIF(J37:J46,"Cement Supplement Delivery to Silo")&gt;0,"EP-3 Cement Supplement Silo Stack:","")</f>
        <v/>
      </c>
      <c r="C45" s="221"/>
      <c r="D45" s="221"/>
      <c r="E45" s="221"/>
      <c r="F45" s="221"/>
      <c r="G45" s="76"/>
      <c r="H45" s="127" t="str">
        <f t="shared" si="15"/>
        <v/>
      </c>
      <c r="I45" s="127" t="str">
        <f t="shared" si="18"/>
        <v/>
      </c>
      <c r="J45" s="82"/>
      <c r="K45" s="61"/>
      <c r="L45" s="156"/>
      <c r="M45" s="219" t="str">
        <f t="shared" si="16"/>
        <v/>
      </c>
      <c r="N45" s="219" t="str">
        <f t="shared" si="17"/>
        <v/>
      </c>
      <c r="O45" s="76"/>
    </row>
    <row r="46" spans="1:23" ht="14.25" customHeight="1" x14ac:dyDescent="0.2">
      <c r="B46" s="45" t="str">
        <f>IF(COUNTIF(J37:J46,"Weigh Hopper Loading")&gt;0,"EP-4 Weigh Hopper Loading Stack:","")</f>
        <v/>
      </c>
      <c r="C46" s="221"/>
      <c r="D46" s="221"/>
      <c r="E46" s="221"/>
      <c r="F46" s="221"/>
      <c r="H46" s="127" t="str">
        <f t="shared" si="15"/>
        <v/>
      </c>
      <c r="I46" s="127" t="str">
        <f t="shared" si="18"/>
        <v/>
      </c>
      <c r="J46" s="82"/>
      <c r="K46" s="61"/>
      <c r="L46" s="156"/>
      <c r="M46" s="219" t="str">
        <f t="shared" si="16"/>
        <v/>
      </c>
      <c r="N46" s="219" t="str">
        <f t="shared" si="17"/>
        <v/>
      </c>
    </row>
    <row r="47" spans="1:23" ht="26.25" customHeight="1" x14ac:dyDescent="0.2">
      <c r="B47" s="45" t="str">
        <f>IF(COUNTIF(J37:J46,"Truck Mix Loading")&gt;0,"EP-5 Truck Mix Loading Stack:","")</f>
        <v/>
      </c>
      <c r="C47" s="221"/>
      <c r="D47" s="221"/>
      <c r="E47" s="221"/>
      <c r="F47" s="221"/>
      <c r="G47" s="135"/>
      <c r="H47" s="74" t="str">
        <f>IF('Concrete Plant (CP-1)'!$D$4&gt;1,"Stock Pile Area","")</f>
        <v/>
      </c>
      <c r="I47" s="74"/>
      <c r="J47" s="74"/>
      <c r="L47" s="76"/>
      <c r="P47" s="68" t="s">
        <v>40</v>
      </c>
      <c r="Q47" s="309" t="s">
        <v>151</v>
      </c>
      <c r="R47" s="309" t="s">
        <v>152</v>
      </c>
      <c r="S47" s="308" t="s">
        <v>147</v>
      </c>
      <c r="T47" s="308" t="s">
        <v>130</v>
      </c>
      <c r="U47" s="308" t="s">
        <v>14</v>
      </c>
      <c r="V47" s="308" t="s">
        <v>148</v>
      </c>
    </row>
    <row r="48" spans="1:23" ht="15" customHeight="1" x14ac:dyDescent="0.2">
      <c r="B48" s="45" t="str">
        <f>IF(COUNTIF(J37:J46,"Central Mix Loading")&gt;0,"EP-6 Central Mix Loading Stack:","")</f>
        <v/>
      </c>
      <c r="C48" s="221"/>
      <c r="D48" s="221"/>
      <c r="E48" s="221"/>
      <c r="F48" s="221"/>
      <c r="G48" s="71"/>
      <c r="I48" s="51" t="str">
        <f>IF('Concrete Plant (CP-1)'!$D$4&gt;1,"Emission Unit #","")</f>
        <v/>
      </c>
      <c r="J48" s="81" t="str">
        <f>IF('Concrete Plant (CP-1)'!$D$4&gt;1,"Maximum Storage Area (acres)","")</f>
        <v/>
      </c>
      <c r="K48" s="81" t="str">
        <f>IF('Concrete Plant (CP-1)'!$D$4&gt;1,"Actual Storage Area (acres)","")</f>
        <v/>
      </c>
      <c r="L48" s="81" t="str">
        <f>IF('Concrete Plant (CP-1)'!$D$4&gt;1,"Actual Days in Existence (days)","")</f>
        <v/>
      </c>
      <c r="M48" s="71"/>
      <c r="N48" s="71"/>
      <c r="P48" s="92" t="s">
        <v>153</v>
      </c>
      <c r="Q48" s="91">
        <f>Q17</f>
        <v>0</v>
      </c>
      <c r="R48" s="91">
        <v>3.64</v>
      </c>
      <c r="S48" s="91">
        <f>Q48*R48*(1/24)</f>
        <v>0</v>
      </c>
      <c r="T48" s="91"/>
      <c r="U48" s="91">
        <f>Q48*R48*365/2000</f>
        <v>0</v>
      </c>
      <c r="V48" s="91">
        <f>R17*R48/2000</f>
        <v>0</v>
      </c>
    </row>
    <row r="49" spans="2:19" ht="14.25" customHeight="1" x14ac:dyDescent="0.2">
      <c r="B49" s="73"/>
      <c r="C49" s="146"/>
      <c r="D49" s="146"/>
      <c r="E49" s="146"/>
      <c r="F49" s="146"/>
      <c r="G49" s="45"/>
      <c r="I49" s="63"/>
      <c r="J49" s="136"/>
      <c r="K49" s="136"/>
      <c r="L49" s="136"/>
      <c r="M49" s="146"/>
      <c r="N49" s="146"/>
    </row>
    <row r="50" spans="2:19" ht="14.25" customHeight="1" x14ac:dyDescent="0.2">
      <c r="B50" s="73"/>
      <c r="C50" s="163"/>
      <c r="D50" s="163"/>
      <c r="E50" s="163"/>
      <c r="F50" s="163"/>
      <c r="G50" s="45"/>
      <c r="Q50" s="68"/>
      <c r="R50" s="68"/>
      <c r="S50" s="68"/>
    </row>
    <row r="51" spans="2:19" ht="28.5" customHeight="1" x14ac:dyDescent="0.25">
      <c r="B51" s="78" t="str">
        <f>IF('Concrete Plant (CP-1)'!$D$4&gt;2,"Batch Plant","")</f>
        <v/>
      </c>
      <c r="C51" s="71" t="str">
        <f>IF('Concrete Plant (CP-1)'!$D$4&gt;2,"Site 3","")</f>
        <v/>
      </c>
      <c r="D51" s="71"/>
      <c r="E51" s="71"/>
      <c r="F51" s="71"/>
      <c r="G51" s="45"/>
      <c r="H51" s="310" t="str">
        <f>IF('Concrete Plant (CP-1)'!$D$4&gt;2,"Emission Point #","")</f>
        <v/>
      </c>
      <c r="I51" s="310" t="str">
        <f>IF('Concrete Plant (CP-1)'!$D$4&gt;2,"Emission     Unit #","")</f>
        <v/>
      </c>
      <c r="J51" s="310" t="str">
        <f>IF('Concrete Plant (CP-1)'!$D$4&gt;2,"Processes","")</f>
        <v/>
      </c>
      <c r="K51" s="311" t="str">
        <f>IF('Concrete Plant (CP-1)'!$D$4&gt;2,"Combined Maximum Hourly Design Rate for all Like Processes (cubic yard/hr)","")</f>
        <v/>
      </c>
      <c r="L51" s="310" t="str">
        <f>IF('Concrete Plant (CP-1)'!$D$4&gt;2,('Facility Information'!G5&amp;" Annual Throughput (cubic yards)"),"")</f>
        <v/>
      </c>
      <c r="M51" s="217"/>
      <c r="N51" s="217"/>
      <c r="Q51" s="68"/>
      <c r="R51" s="68"/>
      <c r="S51" s="68"/>
    </row>
    <row r="52" spans="2:19" ht="14.25" customHeight="1" x14ac:dyDescent="0.2">
      <c r="B52" s="79" t="str">
        <f>IF('Concrete Plant (CP-1)'!$D$4&gt;2,"Site Name:","")</f>
        <v/>
      </c>
      <c r="C52" s="349"/>
      <c r="D52" s="350"/>
      <c r="E52" s="351"/>
      <c r="F52" s="175"/>
      <c r="G52" s="45"/>
      <c r="H52" s="127" t="str">
        <f>IF(J52="cement delivery to silo","CP-1 EP-2",IF(J52="cement supplement delivery to silo","CP-1 EP-3",IF(J52="weigh hopper loading","CP-1 EP-4",IF(J52="truck mix loading","CP-1 EP-5",IF(J52="central mix loading","CP-1 EP-6",IF(J52="","","CP-1 EP-1"))))))</f>
        <v/>
      </c>
      <c r="I52" s="127" t="str">
        <f>IF(J52="","",IF(J52="aggregate delivery to ground storage","CP-1 EU-1",IF(J52="sand delivery to ground storage","CP-1 EU-2",IF(J52="aggregate transfer to conveyor","CP-1 EU-3",IF(J52="sand transfer to conveyor","CP-1 EU-4",IF(J52="aggregate transfer to elevated storage","CP-1 EU-5",IF(J52="sand transfer to elevated storage","CP-1 EU-6",IF(J52="weigh hopper loading","CP-1 EU-7",IF(J52="central mix loading","CP-1 EU-8",IF(J52="truck mix loading","CP-1 EU-9",IF(J52="cement delivery to silo","CP-1 EU-10",IF(J52="cement supplement delivery to silo","CP-1 EU-11"))))))))))))</f>
        <v/>
      </c>
      <c r="J52" s="82"/>
      <c r="K52" s="61"/>
      <c r="L52" s="156"/>
      <c r="M52" s="219" t="str">
        <f>IF(J52="truck mix loading",IF($F$55="yes",L52*0.05/2000,L52/2000),"")</f>
        <v/>
      </c>
      <c r="N52" s="219" t="str">
        <f>IF(J52="central mix loading",IF($F$55="yes",L52*0.05/2000,L52/2000),"")</f>
        <v/>
      </c>
      <c r="Q52" s="68"/>
      <c r="R52" s="68"/>
      <c r="S52" s="68"/>
    </row>
    <row r="53" spans="2:19" ht="14.25" customHeight="1" x14ac:dyDescent="0.2">
      <c r="B53" s="79" t="str">
        <f>IF('Concrete Plant (CP-1)'!$D$4&gt;2,"County:","")</f>
        <v/>
      </c>
      <c r="C53" s="339"/>
      <c r="D53" s="340"/>
      <c r="E53" s="341"/>
      <c r="F53" s="175"/>
      <c r="G53" s="45"/>
      <c r="H53" s="127" t="str">
        <f t="shared" ref="H53:H61" si="19">IF(J53="cement delivery to silo","CP-1 EP-2",IF(J53="cement supplement delivery to silo","CP-1 EP-3",IF(J53="weigh hopper loading","CP-1 EP-4",IF(J53="truck mix loading","CP-1 EP-5",IF(J53="central mix loading","CP-1 EP-6",IF(J53="","","CP-1 EP-1"))))))</f>
        <v/>
      </c>
      <c r="I53" s="127" t="str">
        <f t="shared" ref="I53:I61" si="20">IF(J53="","",IF(J53="aggregate delivery to ground storage","CP-1 EU-1",IF(J53="sand delivery to ground storage","CP-1 EU-2",IF(J53="aggregate transfer to conveyor","CP-1 EU-3",IF(J53="sand transfer to conveyor","CP-1 EU-4",IF(J53="aggregate transfer to elevated storage","CP-1 EU-5",IF(J53="sand transfer to elevated storage","CP-1 EU-6",IF(J53="weigh hopper loading","CP-1 EU-7",IF(J53="central mix loading","CP-1 EU-8",IF(J53="truck mix loading","CP-1 EU-9",IF(J53="cement delivery to silo","CP-1 EU-10",IF(J53="cement supplement delivery to silo","CP-1 EU-11"))))))))))))</f>
        <v/>
      </c>
      <c r="J53" s="82"/>
      <c r="K53" s="61"/>
      <c r="L53" s="156"/>
      <c r="M53" s="219" t="str">
        <f t="shared" ref="M53:M61" si="21">IF(J53="truck mix loading",IF($F$55="yes",L53*0.05/2000,L53/2000),"")</f>
        <v/>
      </c>
      <c r="N53" s="219" t="str">
        <f t="shared" ref="N53:N61" si="22">IF(J53="central mix loading",IF($F$55="yes",L53*0.05/2000,L53/2000),"")</f>
        <v/>
      </c>
      <c r="Q53" s="68"/>
      <c r="R53" s="68"/>
      <c r="S53" s="68"/>
    </row>
    <row r="54" spans="2:19" ht="14.25" customHeight="1" x14ac:dyDescent="0.2">
      <c r="B54" s="79" t="str">
        <f>IF('Concrete Plant (CP-1)'!$D$4&gt;2,"Batching Period (Dates):","")</f>
        <v/>
      </c>
      <c r="C54" s="352"/>
      <c r="D54" s="353"/>
      <c r="E54" s="354"/>
      <c r="F54" s="175"/>
      <c r="G54" s="45"/>
      <c r="H54" s="127" t="str">
        <f t="shared" si="19"/>
        <v/>
      </c>
      <c r="I54" s="127" t="str">
        <f t="shared" si="20"/>
        <v/>
      </c>
      <c r="J54" s="82"/>
      <c r="K54" s="61"/>
      <c r="L54" s="156"/>
      <c r="M54" s="219" t="str">
        <f t="shared" si="21"/>
        <v/>
      </c>
      <c r="N54" s="219" t="str">
        <f t="shared" si="22"/>
        <v/>
      </c>
      <c r="Q54" s="68"/>
      <c r="R54" s="68"/>
      <c r="S54" s="68"/>
    </row>
    <row r="55" spans="2:19" ht="14.25" customHeight="1" x14ac:dyDescent="0.2">
      <c r="B55" s="51" t="str">
        <f>IF(OR(COUNTIF(J52:J61,"Truck Mix Loading")&gt;0,(COUNTIF(J52:J61,"Central Mix Loading")&gt;0)),"Is the Central/Truck Mix Loading process controlled by a baghouse?","")</f>
        <v/>
      </c>
      <c r="C55" s="51"/>
      <c r="D55" s="51"/>
      <c r="E55" s="51"/>
      <c r="F55" s="221"/>
      <c r="G55" s="45"/>
      <c r="H55" s="127" t="str">
        <f t="shared" si="19"/>
        <v/>
      </c>
      <c r="I55" s="127" t="str">
        <f t="shared" si="20"/>
        <v/>
      </c>
      <c r="J55" s="82"/>
      <c r="K55" s="61"/>
      <c r="L55" s="156"/>
      <c r="M55" s="219" t="str">
        <f t="shared" si="21"/>
        <v/>
      </c>
      <c r="N55" s="219" t="str">
        <f t="shared" si="22"/>
        <v/>
      </c>
      <c r="Q55" s="68"/>
      <c r="R55" s="68"/>
      <c r="S55" s="68"/>
    </row>
    <row r="56" spans="2:19" ht="14.25" customHeight="1" x14ac:dyDescent="0.2">
      <c r="C56" s="163"/>
      <c r="D56" s="163"/>
      <c r="E56" s="163"/>
      <c r="F56" s="163"/>
      <c r="G56" s="45"/>
      <c r="H56" s="127" t="str">
        <f t="shared" si="19"/>
        <v/>
      </c>
      <c r="I56" s="127" t="str">
        <f t="shared" si="20"/>
        <v/>
      </c>
      <c r="J56" s="82"/>
      <c r="K56" s="61"/>
      <c r="L56" s="156"/>
      <c r="M56" s="219" t="str">
        <f t="shared" si="21"/>
        <v/>
      </c>
      <c r="N56" s="219" t="str">
        <f t="shared" si="22"/>
        <v/>
      </c>
      <c r="Q56" s="68"/>
      <c r="R56" s="68"/>
      <c r="S56" s="68"/>
    </row>
    <row r="57" spans="2:19" ht="27" customHeight="1" x14ac:dyDescent="0.2">
      <c r="B57" s="312" t="str">
        <f>IF(AND(B59="",B60="",B61="",B62="",B63=""),"","Process (complete stack information if applicable):")</f>
        <v/>
      </c>
      <c r="C57" s="312" t="str">
        <f>IF(AND(B59="",B60="",B61="",B62="",B63=""),"","Stack Height (ft):")</f>
        <v/>
      </c>
      <c r="D57" s="312" t="str">
        <f>IF(AND(B59="",B60="",B61="",B62="",B63=""),"","Stack Diameter (inches):")</f>
        <v/>
      </c>
      <c r="E57" s="312" t="str">
        <f>IF(AND(B59="",B60="",B61="",B62="",B63=""),"","Flow Rate (acfm):")</f>
        <v/>
      </c>
      <c r="F57" s="312" t="str">
        <f>IF(AND(B59="",B60="",B61="",B62="",B63=""),"","Temp (Deg F):")</f>
        <v/>
      </c>
      <c r="H57" s="127" t="str">
        <f t="shared" si="19"/>
        <v/>
      </c>
      <c r="I57" s="127" t="str">
        <f t="shared" si="20"/>
        <v/>
      </c>
      <c r="J57" s="82"/>
      <c r="K57" s="61"/>
      <c r="L57" s="156"/>
      <c r="M57" s="219" t="str">
        <f t="shared" si="21"/>
        <v/>
      </c>
      <c r="N57" s="219" t="str">
        <f t="shared" si="22"/>
        <v/>
      </c>
    </row>
    <row r="58" spans="2:19" ht="14.25" customHeight="1" x14ac:dyDescent="0.2">
      <c r="B58" s="312"/>
      <c r="C58" s="312"/>
      <c r="D58" s="312"/>
      <c r="E58" s="312"/>
      <c r="F58" s="312"/>
      <c r="G58" s="76"/>
      <c r="H58" s="127" t="str">
        <f t="shared" si="19"/>
        <v/>
      </c>
      <c r="I58" s="127" t="str">
        <f t="shared" si="20"/>
        <v/>
      </c>
      <c r="J58" s="82"/>
      <c r="K58" s="61"/>
      <c r="L58" s="156"/>
      <c r="M58" s="219" t="str">
        <f t="shared" si="21"/>
        <v/>
      </c>
      <c r="N58" s="219" t="str">
        <f t="shared" si="22"/>
        <v/>
      </c>
    </row>
    <row r="59" spans="2:19" ht="14.25" customHeight="1" x14ac:dyDescent="0.2">
      <c r="B59" s="45" t="str">
        <f>IF(COUNTIF(J52:J61,"Cement Delivery to Silo")&gt;0,"EP-2 Cement Silo Stack:","")</f>
        <v/>
      </c>
      <c r="C59" s="221"/>
      <c r="D59" s="221"/>
      <c r="E59" s="221"/>
      <c r="F59" s="221"/>
      <c r="H59" s="127" t="str">
        <f t="shared" si="19"/>
        <v/>
      </c>
      <c r="I59" s="127" t="str">
        <f t="shared" si="20"/>
        <v/>
      </c>
      <c r="J59" s="82"/>
      <c r="K59" s="61"/>
      <c r="L59" s="156"/>
      <c r="M59" s="219" t="str">
        <f t="shared" si="21"/>
        <v/>
      </c>
      <c r="N59" s="219" t="str">
        <f t="shared" si="22"/>
        <v/>
      </c>
    </row>
    <row r="60" spans="2:19" ht="14.25" customHeight="1" x14ac:dyDescent="0.2">
      <c r="B60" s="45" t="str">
        <f>IF(COUNTIF(J52:J61,"Cement Supplement Delivery to Silo")&gt;0,"EP-3 Cement Supplement Silo Stack:","")</f>
        <v/>
      </c>
      <c r="C60" s="221"/>
      <c r="D60" s="221"/>
      <c r="E60" s="221"/>
      <c r="F60" s="221"/>
      <c r="H60" s="127" t="str">
        <f t="shared" si="19"/>
        <v/>
      </c>
      <c r="I60" s="127" t="str">
        <f t="shared" si="20"/>
        <v/>
      </c>
      <c r="J60" s="82"/>
      <c r="K60" s="61"/>
      <c r="L60" s="156"/>
      <c r="M60" s="219" t="str">
        <f t="shared" si="21"/>
        <v/>
      </c>
      <c r="N60" s="219" t="str">
        <f t="shared" si="22"/>
        <v/>
      </c>
    </row>
    <row r="61" spans="2:19" ht="14.25" customHeight="1" x14ac:dyDescent="0.2">
      <c r="B61" s="45" t="str">
        <f>IF(COUNTIF(J52:J61,"Weigh Hopper Loading")&gt;0,"EP-4 Weigh Hopper Loading Stack:","")</f>
        <v/>
      </c>
      <c r="C61" s="221"/>
      <c r="D61" s="221"/>
      <c r="E61" s="221"/>
      <c r="F61" s="221"/>
      <c r="H61" s="127" t="str">
        <f t="shared" si="19"/>
        <v/>
      </c>
      <c r="I61" s="127" t="str">
        <f t="shared" si="20"/>
        <v/>
      </c>
      <c r="J61" s="82"/>
      <c r="K61" s="61"/>
      <c r="L61" s="156"/>
      <c r="M61" s="219" t="str">
        <f t="shared" si="21"/>
        <v/>
      </c>
      <c r="N61" s="219" t="str">
        <f t="shared" si="22"/>
        <v/>
      </c>
    </row>
    <row r="62" spans="2:19" ht="14.25" customHeight="1" x14ac:dyDescent="0.2">
      <c r="B62" s="45" t="str">
        <f>IF(COUNTIF(J52:J61,"Truck Mix Loading")&gt;0,"EP-5 Truck Mix Loading Stack:","")</f>
        <v/>
      </c>
      <c r="C62" s="221"/>
      <c r="D62" s="221"/>
      <c r="E62" s="221"/>
      <c r="F62" s="221"/>
      <c r="H62" s="45"/>
      <c r="I62" s="45"/>
    </row>
    <row r="63" spans="2:19" ht="14.25" customHeight="1" x14ac:dyDescent="0.2">
      <c r="B63" s="45" t="str">
        <f>IF(COUNTIF(J52:J61,"Central Mix Loading")&gt;0,"EP-6 Central Mix Loading Stack:","")</f>
        <v/>
      </c>
      <c r="C63" s="221"/>
      <c r="D63" s="221"/>
      <c r="E63" s="221"/>
      <c r="F63" s="221"/>
      <c r="G63" s="45"/>
      <c r="H63" s="74" t="str">
        <f>IF('Concrete Plant (CP-1)'!$D$4&gt;2,"Stock Pile Area","")</f>
        <v/>
      </c>
      <c r="I63" s="74"/>
      <c r="J63" s="75"/>
    </row>
    <row r="64" spans="2:19" ht="14.25" customHeight="1" x14ac:dyDescent="0.2">
      <c r="B64" s="73"/>
      <c r="C64" s="163"/>
      <c r="D64" s="163"/>
      <c r="E64" s="163"/>
      <c r="F64" s="163"/>
      <c r="G64" s="45"/>
      <c r="I64" s="51" t="str">
        <f>IF('Concrete Plant (CP-1)'!$D$4&gt;2,"Emission Unit #","")</f>
        <v/>
      </c>
      <c r="J64" s="80" t="str">
        <f>IF('Concrete Plant (CP-1)'!$D$4&gt;2,"Maximum Storage Area (acres)","")</f>
        <v/>
      </c>
      <c r="K64" s="81" t="str">
        <f>IF('Concrete Plant (CP-1)'!$D$4&gt;2,"Actual Storage Area (acres)","")</f>
        <v/>
      </c>
      <c r="L64" s="80" t="str">
        <f>IF('Concrete Plant (CP-1)'!$D$4&gt;2,"Actual Days in Existence (days)","")</f>
        <v/>
      </c>
      <c r="M64" s="146"/>
      <c r="N64" s="146"/>
    </row>
    <row r="65" spans="2:14" ht="14.25" customHeight="1" x14ac:dyDescent="0.2">
      <c r="B65" s="73"/>
      <c r="C65" s="163"/>
      <c r="D65" s="163"/>
      <c r="E65" s="163"/>
      <c r="F65" s="163"/>
      <c r="G65" s="45"/>
      <c r="I65" s="65"/>
      <c r="J65" s="102"/>
      <c r="K65" s="66"/>
      <c r="L65" s="102"/>
      <c r="M65" s="146"/>
      <c r="N65" s="146"/>
    </row>
    <row r="66" spans="2:14" ht="14.25" customHeight="1" x14ac:dyDescent="0.2">
      <c r="B66" s="73"/>
      <c r="C66" s="163"/>
      <c r="D66" s="163"/>
      <c r="E66" s="163"/>
      <c r="F66" s="163"/>
      <c r="G66" s="45"/>
    </row>
    <row r="67" spans="2:14" ht="28.5" customHeight="1" x14ac:dyDescent="0.25">
      <c r="B67" s="78" t="str">
        <f>IF('Concrete Plant (CP-1)'!$D$4&gt;3,"Batch Plant","")</f>
        <v/>
      </c>
      <c r="C67" s="71" t="str">
        <f>IF('Concrete Plant (CP-1)'!$D$4&gt;3,"Site 4","")</f>
        <v/>
      </c>
      <c r="D67" s="71"/>
      <c r="E67" s="71"/>
      <c r="F67" s="71"/>
      <c r="G67" s="45"/>
      <c r="H67" s="310" t="str">
        <f>IF('Concrete Plant (CP-1)'!$D$4&gt;3,"Emission Point #","")</f>
        <v/>
      </c>
      <c r="I67" s="310" t="str">
        <f>IF('Concrete Plant (CP-1)'!$D$4&gt;3,"Emission     Unit #","")</f>
        <v/>
      </c>
      <c r="J67" s="310" t="str">
        <f>IF('Concrete Plant (CP-1)'!$D$4&gt;3,"Processes","")</f>
        <v/>
      </c>
      <c r="K67" s="311" t="str">
        <f>IF('Concrete Plant (CP-1)'!$D$4&gt;3,"Combined Maximum Hourly Design Rate for all Like Processes (cubic yard/hr)","")</f>
        <v/>
      </c>
      <c r="L67" s="310" t="str">
        <f>IF('Concrete Plant (CP-1)'!$D$4&gt;3,('Facility Information'!G5&amp;" Annual Throughput (cubic yards)"),"")</f>
        <v/>
      </c>
      <c r="M67" s="217"/>
      <c r="N67" s="217"/>
    </row>
    <row r="68" spans="2:14" ht="14.25" customHeight="1" x14ac:dyDescent="0.2">
      <c r="B68" s="79" t="str">
        <f>IF('Concrete Plant (CP-1)'!$D$4&gt;3,"Site Name:","")</f>
        <v/>
      </c>
      <c r="C68" s="349"/>
      <c r="D68" s="350"/>
      <c r="E68" s="351"/>
      <c r="F68" s="175"/>
      <c r="G68" s="45"/>
      <c r="H68" s="127" t="str">
        <f>IF(J68="cement delivery to silo","CP-1 EP-2",IF(J68="cement supplement delivery to silo","CP-1 EP-3",IF(J68="weigh hopper loading","CP-1 EP-4",IF(J68="truck mix loading","CP-1 EP-5",IF(J68="central mix loading","CP-1 EP-6",IF(J68="","","CP-1 EP-1"))))))</f>
        <v/>
      </c>
      <c r="I68" s="127" t="str">
        <f>IF(J68="","",IF(J68="aggregate delivery to ground storage","CP-1 EU-1",IF(J68="sand delivery to ground storage","CP-1 EU-2",IF(J68="aggregate transfer to conveyor","CP-1 EU-3",IF(J68="sand transfer to conveyor","CP-1 EU-4",IF(J68="aggregate transfer to elevated storage","CP-1 EU-5",IF(J68="sand transfer to elevated storage","CP-1 EU-6",IF(J68="weigh hopper loading","CP-1 EU-7",IF(J68="central mix loading","CP-1 EU-8",IF(J68="truck mix loading","CP-1 EU-9",IF(J68="cement delivery to silo","CP-1 EU-10",IF(J68="cement supplement delivery to silo","CP-1 EU-11"))))))))))))</f>
        <v/>
      </c>
      <c r="J68" s="82"/>
      <c r="K68" s="61"/>
      <c r="L68" s="156"/>
      <c r="M68" s="219" t="str">
        <f>IF(J68="truck mix loading",IF($F$71="yes",L68*0.05/2000,L68/2000),"")</f>
        <v/>
      </c>
      <c r="N68" s="219" t="str">
        <f>IF(J68="central mix loading",IF($F$71="yes",L68*0.05/2000,L68/2000),"")</f>
        <v/>
      </c>
    </row>
    <row r="69" spans="2:14" ht="14.25" customHeight="1" x14ac:dyDescent="0.2">
      <c r="B69" s="79" t="str">
        <f>IF('Concrete Plant (CP-1)'!$D$4&gt;3,"County:","")</f>
        <v/>
      </c>
      <c r="C69" s="339"/>
      <c r="D69" s="340"/>
      <c r="E69" s="341"/>
      <c r="F69" s="175"/>
      <c r="G69" s="45"/>
      <c r="H69" s="127" t="str">
        <f t="shared" ref="H69:H77" si="23">IF(J69="cement delivery to silo","CP-1 EP-2",IF(J69="cement supplement delivery to silo","CP-1 EP-3",IF(J69="weigh hopper loading","CP-1 EP-4",IF(J69="truck mix loading","CP-1 EP-5",IF(J69="central mix loading","CP-1 EP-6",IF(J69="","","CP-1 EP-1"))))))</f>
        <v/>
      </c>
      <c r="I69" s="127" t="str">
        <f t="shared" ref="I69:I77" si="24">IF(J69="","",IF(J69="aggregate delivery to ground storage","CP-1 EU-1",IF(J69="sand delivery to ground storage","CP-1 EU-2",IF(J69="aggregate transfer to conveyor","CP-1 EU-3",IF(J69="sand transfer to conveyor","CP-1 EU-4",IF(J69="aggregate transfer to elevated storage","CP-1 EU-5",IF(J69="sand transfer to elevated storage","CP-1 EU-6",IF(J69="weigh hopper loading","CP-1 EU-7",IF(J69="central mix loading","CP-1 EU-8",IF(J69="truck mix loading","CP-1 EU-9",IF(J69="cement delivery to silo","CP-1 EU-10",IF(J69="cement supplement delivery to silo","CP-1 EU-11"))))))))))))</f>
        <v/>
      </c>
      <c r="J69" s="82"/>
      <c r="K69" s="61"/>
      <c r="L69" s="156"/>
      <c r="M69" s="219" t="str">
        <f t="shared" ref="M69:M77" si="25">IF(J69="truck mix loading",IF($F$71="yes",L69*0.05/2000,L69/2000),"")</f>
        <v/>
      </c>
      <c r="N69" s="219" t="str">
        <f t="shared" ref="N69:N77" si="26">IF(J69="central mix loading",IF($F$71="yes",L69*0.05/2000,L69/2000),"")</f>
        <v/>
      </c>
    </row>
    <row r="70" spans="2:14" ht="14.25" customHeight="1" x14ac:dyDescent="0.2">
      <c r="B70" s="79" t="str">
        <f>IF('Concrete Plant (CP-1)'!$D$4&gt;3,"Batching Period (Dates):","")</f>
        <v/>
      </c>
      <c r="C70" s="352"/>
      <c r="D70" s="353"/>
      <c r="E70" s="354"/>
      <c r="F70" s="175"/>
      <c r="G70" s="45"/>
      <c r="H70" s="127" t="str">
        <f t="shared" si="23"/>
        <v/>
      </c>
      <c r="I70" s="127" t="str">
        <f t="shared" si="24"/>
        <v/>
      </c>
      <c r="J70" s="82"/>
      <c r="K70" s="61"/>
      <c r="L70" s="156"/>
      <c r="M70" s="219" t="str">
        <f t="shared" si="25"/>
        <v/>
      </c>
      <c r="N70" s="219" t="str">
        <f t="shared" si="26"/>
        <v/>
      </c>
    </row>
    <row r="71" spans="2:14" ht="14.25" customHeight="1" x14ac:dyDescent="0.2">
      <c r="B71" s="51" t="str">
        <f>IF(OR(COUNTIF(J68:J77,"Truck Mix Loading")&gt;0,(COUNTIF(J68:J77,"Central Mix Loading")&gt;0)),"Is the Central/Truck Mix Loading process controlled by a baghouse?","")</f>
        <v/>
      </c>
      <c r="C71" s="51"/>
      <c r="D71" s="51"/>
      <c r="E71" s="51"/>
      <c r="F71" s="221"/>
      <c r="H71" s="127" t="str">
        <f t="shared" si="23"/>
        <v/>
      </c>
      <c r="I71" s="127" t="str">
        <f t="shared" si="24"/>
        <v/>
      </c>
      <c r="J71" s="82"/>
      <c r="K71" s="61"/>
      <c r="L71" s="156"/>
      <c r="M71" s="219" t="str">
        <f t="shared" si="25"/>
        <v/>
      </c>
      <c r="N71" s="219" t="str">
        <f t="shared" si="26"/>
        <v/>
      </c>
    </row>
    <row r="72" spans="2:14" ht="14.25" customHeight="1" x14ac:dyDescent="0.2">
      <c r="C72" s="163"/>
      <c r="D72" s="163"/>
      <c r="E72" s="163"/>
      <c r="F72" s="176"/>
      <c r="G72" s="76"/>
      <c r="H72" s="127" t="str">
        <f t="shared" si="23"/>
        <v/>
      </c>
      <c r="I72" s="127" t="str">
        <f t="shared" si="24"/>
        <v/>
      </c>
      <c r="J72" s="82"/>
      <c r="K72" s="61"/>
      <c r="L72" s="156"/>
      <c r="M72" s="219" t="str">
        <f t="shared" si="25"/>
        <v/>
      </c>
      <c r="N72" s="219" t="str">
        <f t="shared" si="26"/>
        <v/>
      </c>
    </row>
    <row r="73" spans="2:14" ht="28.5" customHeight="1" x14ac:dyDescent="0.2">
      <c r="B73" s="312" t="str">
        <f>IF(AND(B75="",B76="",B77="",B78="",B79=""),"","Process (complete stack information if applicable):")</f>
        <v/>
      </c>
      <c r="C73" s="312" t="str">
        <f>IF(AND(B75="",B76="",B77="",B78="",B79=""),"","Stack Height (ft):")</f>
        <v/>
      </c>
      <c r="D73" s="312" t="str">
        <f>IF(AND(B75="",B76="",B77="",B78="",B79=""),"","Stack Diameter (inches):")</f>
        <v/>
      </c>
      <c r="E73" s="312" t="str">
        <f>IF(AND(B75="",B76="",B77="",B78="",B79=""),"","Flow Rate (acfm):")</f>
        <v/>
      </c>
      <c r="F73" s="312" t="str">
        <f>IF(AND(B75="",B76="",B77="",B78="",B79=""),"","Temperature (Deg F):")</f>
        <v/>
      </c>
      <c r="H73" s="127" t="str">
        <f t="shared" si="23"/>
        <v/>
      </c>
      <c r="I73" s="127" t="str">
        <f t="shared" si="24"/>
        <v/>
      </c>
      <c r="J73" s="82"/>
      <c r="K73" s="61"/>
      <c r="L73" s="156"/>
      <c r="M73" s="219" t="str">
        <f t="shared" si="25"/>
        <v/>
      </c>
      <c r="N73" s="219" t="str">
        <f t="shared" si="26"/>
        <v/>
      </c>
    </row>
    <row r="74" spans="2:14" ht="14.25" customHeight="1" x14ac:dyDescent="0.2">
      <c r="B74" s="312"/>
      <c r="C74" s="312"/>
      <c r="D74" s="312"/>
      <c r="E74" s="312"/>
      <c r="F74" s="312"/>
      <c r="H74" s="127" t="str">
        <f t="shared" si="23"/>
        <v/>
      </c>
      <c r="I74" s="127" t="str">
        <f t="shared" si="24"/>
        <v/>
      </c>
      <c r="J74" s="82"/>
      <c r="K74" s="61"/>
      <c r="L74" s="156"/>
      <c r="M74" s="219" t="str">
        <f t="shared" si="25"/>
        <v/>
      </c>
      <c r="N74" s="219" t="str">
        <f t="shared" si="26"/>
        <v/>
      </c>
    </row>
    <row r="75" spans="2:14" ht="14.25" customHeight="1" x14ac:dyDescent="0.2">
      <c r="B75" s="45" t="str">
        <f>IF(COUNTIF(J68:J77,"Cement Delivery to Silo")&gt;0,"EP-2 Cement Silo Stack:","")</f>
        <v/>
      </c>
      <c r="C75" s="221"/>
      <c r="D75" s="221"/>
      <c r="E75" s="221"/>
      <c r="F75" s="221"/>
      <c r="H75" s="127" t="str">
        <f t="shared" si="23"/>
        <v/>
      </c>
      <c r="I75" s="127" t="str">
        <f t="shared" si="24"/>
        <v/>
      </c>
      <c r="J75" s="82"/>
      <c r="K75" s="61"/>
      <c r="L75" s="156"/>
      <c r="M75" s="219" t="str">
        <f t="shared" si="25"/>
        <v/>
      </c>
      <c r="N75" s="219" t="str">
        <f t="shared" si="26"/>
        <v/>
      </c>
    </row>
    <row r="76" spans="2:14" ht="14.25" customHeight="1" x14ac:dyDescent="0.2">
      <c r="B76" s="45" t="str">
        <f>IF(COUNTIF(J68:J77,"Cement Supplement Delivery to Silo")&gt;0,"EP-3 Cement Supplement Silo Stack:","")</f>
        <v/>
      </c>
      <c r="C76" s="221"/>
      <c r="D76" s="221"/>
      <c r="E76" s="221"/>
      <c r="F76" s="221"/>
      <c r="H76" s="127" t="str">
        <f t="shared" si="23"/>
        <v/>
      </c>
      <c r="I76" s="127" t="str">
        <f t="shared" si="24"/>
        <v/>
      </c>
      <c r="J76" s="82"/>
      <c r="K76" s="61"/>
      <c r="L76" s="156"/>
      <c r="M76" s="219" t="str">
        <f t="shared" si="25"/>
        <v/>
      </c>
      <c r="N76" s="219" t="str">
        <f t="shared" si="26"/>
        <v/>
      </c>
    </row>
    <row r="77" spans="2:14" ht="14.25" customHeight="1" x14ac:dyDescent="0.2">
      <c r="B77" s="45" t="str">
        <f>IF(COUNTIF(J68:J77,"Weigh Hopper Loading")&gt;0,"EP-4 Weigh Hopper Loading Stack:","")</f>
        <v/>
      </c>
      <c r="C77" s="221"/>
      <c r="D77" s="221"/>
      <c r="E77" s="221"/>
      <c r="F77" s="221"/>
      <c r="G77" s="45"/>
      <c r="H77" s="127" t="str">
        <f t="shared" si="23"/>
        <v/>
      </c>
      <c r="I77" s="127" t="str">
        <f t="shared" si="24"/>
        <v/>
      </c>
      <c r="J77" s="82"/>
      <c r="K77" s="61"/>
      <c r="L77" s="156"/>
      <c r="M77" s="219" t="str">
        <f t="shared" si="25"/>
        <v/>
      </c>
      <c r="N77" s="219" t="str">
        <f t="shared" si="26"/>
        <v/>
      </c>
    </row>
    <row r="78" spans="2:14" ht="14.25" customHeight="1" x14ac:dyDescent="0.2">
      <c r="B78" s="45" t="str">
        <f>IF(COUNTIF(J68:J77,"Truck Mix Loading")&gt;0,"EP-5 Truck Mix Loading Stack:","")</f>
        <v/>
      </c>
      <c r="C78" s="221"/>
      <c r="D78" s="221"/>
      <c r="E78" s="221"/>
      <c r="F78" s="221"/>
      <c r="G78" s="45"/>
      <c r="H78" s="45"/>
      <c r="I78" s="45"/>
    </row>
    <row r="79" spans="2:14" ht="14.25" customHeight="1" x14ac:dyDescent="0.2">
      <c r="B79" s="45" t="str">
        <f>IF(COUNTIF(J68:J77,"Central Mix Loading")&gt;0,"EP-6 Central Mix Loading Stack:","")</f>
        <v/>
      </c>
      <c r="C79" s="221"/>
      <c r="D79" s="221"/>
      <c r="E79" s="221"/>
      <c r="F79" s="221"/>
      <c r="G79" s="45"/>
      <c r="H79" s="74" t="str">
        <f>IF('Concrete Plant (CP-1)'!$D$4&gt;3,"Stock Pile Area","")</f>
        <v/>
      </c>
      <c r="I79" s="74"/>
      <c r="J79" s="75"/>
    </row>
    <row r="80" spans="2:14" ht="14.25" customHeight="1" x14ac:dyDescent="0.2">
      <c r="B80" s="73"/>
      <c r="C80" s="163"/>
      <c r="D80" s="163"/>
      <c r="E80" s="163"/>
      <c r="F80" s="163"/>
      <c r="G80" s="45"/>
      <c r="I80" s="51" t="str">
        <f>IF('Concrete Plant (CP-1)'!$D$4&gt;3,"Emission Unit #","")</f>
        <v/>
      </c>
      <c r="J80" s="80" t="str">
        <f>IF('Concrete Plant (CP-1)'!$D$4&gt;3,"Maximum Storage Area (acres)","")</f>
        <v/>
      </c>
      <c r="K80" s="81" t="str">
        <f>IF('Concrete Plant (CP-1)'!$D$4&gt;3,"Actual Storage Area (acres)","")</f>
        <v/>
      </c>
      <c r="L80" s="80" t="str">
        <f>IF('Concrete Plant (CP-1)'!$D$4&gt;3,"Actual Days in Existence (days)","")</f>
        <v/>
      </c>
      <c r="M80" s="146"/>
      <c r="N80" s="146"/>
    </row>
    <row r="81" spans="2:14" ht="14.25" customHeight="1" x14ac:dyDescent="0.2">
      <c r="B81" s="73"/>
      <c r="C81" s="163"/>
      <c r="D81" s="163"/>
      <c r="E81" s="163"/>
      <c r="F81" s="163"/>
      <c r="G81" s="45"/>
      <c r="I81" s="65"/>
      <c r="J81" s="102"/>
      <c r="K81" s="66"/>
      <c r="L81" s="102"/>
      <c r="M81" s="146"/>
      <c r="N81" s="146"/>
    </row>
    <row r="82" spans="2:14" ht="14.25" customHeight="1" x14ac:dyDescent="0.2">
      <c r="B82" s="73"/>
      <c r="C82" s="163"/>
      <c r="D82" s="163"/>
      <c r="E82" s="163"/>
      <c r="F82" s="163"/>
      <c r="G82" s="45"/>
    </row>
    <row r="83" spans="2:14" ht="29.25" customHeight="1" x14ac:dyDescent="0.25">
      <c r="B83" s="78" t="str">
        <f>IF('Concrete Plant (CP-1)'!$D$4&gt;4,"Batch Plant","")</f>
        <v/>
      </c>
      <c r="C83" s="71" t="str">
        <f>IF('Concrete Plant (CP-1)'!$D$4&gt;4,"Site 5","")</f>
        <v/>
      </c>
      <c r="D83" s="71"/>
      <c r="E83" s="71"/>
      <c r="F83" s="71"/>
      <c r="G83" s="45"/>
      <c r="H83" s="310" t="str">
        <f>IF('Concrete Plant (CP-1)'!$D$4&gt;4,"Emission Point #","")</f>
        <v/>
      </c>
      <c r="I83" s="310" t="str">
        <f>IF('Concrete Plant (CP-1)'!$D$4&gt;4,"Emission     Unit #","")</f>
        <v/>
      </c>
      <c r="J83" s="310" t="str">
        <f>IF('Concrete Plant (CP-1)'!$D$4&gt;4,"Processes","")</f>
        <v/>
      </c>
      <c r="K83" s="311" t="str">
        <f>IF('Concrete Plant (CP-1)'!$D$4&gt;4,"Combined Maximum Hourly Design Rate for all Like Processes (cubic yard/hr)","")</f>
        <v/>
      </c>
      <c r="L83" s="310" t="str">
        <f>IF('Concrete Plant (CP-1)'!$D$4&gt;4,('Facility Information'!G5&amp;" Annual Throughput (cubic yards)"),"")</f>
        <v/>
      </c>
      <c r="M83" s="217"/>
      <c r="N83" s="217"/>
    </row>
    <row r="84" spans="2:14" ht="14.25" customHeight="1" x14ac:dyDescent="0.2">
      <c r="B84" s="79" t="str">
        <f>IF('Concrete Plant (CP-1)'!$D$4&gt;4,"Site Name:","")</f>
        <v/>
      </c>
      <c r="C84" s="349"/>
      <c r="D84" s="350"/>
      <c r="E84" s="351"/>
      <c r="F84" s="175"/>
      <c r="G84" s="45"/>
      <c r="H84" s="127" t="str">
        <f>IF(J84="cement delivery to silo","CP-1 EP-2",IF(J84="cement supplement delivery to silo","CP-1 EP-3",IF(J84="weigh hopper loading","CP-1 EP-4",IF(J84="truck mix loading","CP-1 EP-5",IF(J84="central mix loading","CP-1 EP-6",IF(J84="","","CP-1 EP-1"))))))</f>
        <v/>
      </c>
      <c r="I84" s="127" t="str">
        <f>IF(J84="","",IF(J84="aggregate delivery to ground storage","CP-1 EU-1",IF(J84="sand delivery to ground storage","CP-1 EU-2",IF(J84="aggregate transfer to conveyor","CP-1 EU-3",IF(J84="sand transfer to conveyor","CP-1 EU-4",IF(J84="aggregate transfer to elevated storage","CP-1 EU-5",IF(J84="sand transfer to elevated storage","CP-1 EU-6",IF(J84="weigh hopper loading","CP-1 EU-7",IF(J84="central mix loading","CP-1 EU-8",IF(J84="truck mix loading","CP-1 EU-9",IF(J84="cement delivery to silo","CP-1 EU-10",IF(J84="cement supplement delivery to silo","CP-1 EU-11"))))))))))))</f>
        <v/>
      </c>
      <c r="J84" s="82"/>
      <c r="K84" s="61"/>
      <c r="L84" s="156"/>
      <c r="M84" s="219" t="str">
        <f>IF(J84="truck mix loading",IF($F$87="yes",L84*0.05/2000,L84/2000),"")</f>
        <v/>
      </c>
      <c r="N84" s="219" t="str">
        <f>IF(J84="central mix loading",IF($F$87="yes",L84*0.05/2000,L84/2000),"")</f>
        <v/>
      </c>
    </row>
    <row r="85" spans="2:14" ht="14.25" customHeight="1" x14ac:dyDescent="0.2">
      <c r="B85" s="79" t="str">
        <f>IF('Concrete Plant (CP-1)'!$D$4&gt;4,"County:","")</f>
        <v/>
      </c>
      <c r="C85" s="339"/>
      <c r="D85" s="340"/>
      <c r="E85" s="341"/>
      <c r="F85" s="175"/>
      <c r="H85" s="127" t="str">
        <f t="shared" ref="H85:H93" si="27">IF(J85="cement delivery to silo","CP-1 EP-2",IF(J85="cement supplement delivery to silo","CP-1 EP-3",IF(J85="weigh hopper loading","CP-1 EP-4",IF(J85="truck mix loading","CP-1 EP-5",IF(J85="central mix loading","CP-1 EP-6",IF(J85="","","CP-1 EP-1"))))))</f>
        <v/>
      </c>
      <c r="I85" s="127" t="str">
        <f t="shared" ref="I85:I93" si="28">IF(J85="","",IF(J85="aggregate delivery to ground storage","CP-1 EU-1",IF(J85="sand delivery to ground storage","CP-1 EU-2",IF(J85="aggregate transfer to conveyor","CP-1 EU-3",IF(J85="sand transfer to conveyor","CP-1 EU-4",IF(J85="aggregate transfer to elevated storage","CP-1 EU-5",IF(J85="sand transfer to elevated storage","CP-1 EU-6",IF(J85="weigh hopper loading","CP-1 EU-7",IF(J85="central mix loading","CP-1 EU-8",IF(J85="truck mix loading","CP-1 EU-9",IF(J85="cement delivery to silo","CP-1 EU-10",IF(J85="cement supplement delivery to silo","CP-1 EU-11"))))))))))))</f>
        <v/>
      </c>
      <c r="J85" s="82"/>
      <c r="K85" s="61"/>
      <c r="L85" s="156"/>
      <c r="M85" s="219" t="str">
        <f t="shared" ref="M85:M93" si="29">IF(J85="truck mix loading",IF($F$87="yes",L85*0.05/2000,L85/2000),"")</f>
        <v/>
      </c>
      <c r="N85" s="219" t="str">
        <f t="shared" ref="N85:N93" si="30">IF(J85="central mix loading",IF($F$87="yes",L85*0.05/2000,L85/2000),"")</f>
        <v/>
      </c>
    </row>
    <row r="86" spans="2:14" ht="14.25" customHeight="1" x14ac:dyDescent="0.2">
      <c r="B86" s="79" t="str">
        <f>IF('Concrete Plant (CP-1)'!$D$4&gt;4,"Batching Period (Dates):","")</f>
        <v/>
      </c>
      <c r="C86" s="352"/>
      <c r="D86" s="353"/>
      <c r="E86" s="354"/>
      <c r="F86" s="175"/>
      <c r="G86" s="76"/>
      <c r="H86" s="127" t="str">
        <f t="shared" si="27"/>
        <v/>
      </c>
      <c r="I86" s="127" t="str">
        <f t="shared" si="28"/>
        <v/>
      </c>
      <c r="J86" s="82"/>
      <c r="K86" s="61"/>
      <c r="L86" s="156"/>
      <c r="M86" s="219" t="str">
        <f t="shared" si="29"/>
        <v/>
      </c>
      <c r="N86" s="219" t="str">
        <f t="shared" si="30"/>
        <v/>
      </c>
    </row>
    <row r="87" spans="2:14" ht="14.25" customHeight="1" x14ac:dyDescent="0.2">
      <c r="B87" s="51" t="str">
        <f>IF(OR(COUNTIF(J84:J93,"Truck Mix Loading")&gt;0,(COUNTIF(J84:J93,"Central Mix Loading")&gt;0)),"Is the Central/Truck Mix Loading process controlled by a baghouse?","")</f>
        <v/>
      </c>
      <c r="C87" s="51"/>
      <c r="D87" s="51"/>
      <c r="E87" s="51"/>
      <c r="F87" s="221"/>
      <c r="H87" s="127" t="str">
        <f t="shared" si="27"/>
        <v/>
      </c>
      <c r="I87" s="127" t="str">
        <f t="shared" si="28"/>
        <v/>
      </c>
      <c r="J87" s="82"/>
      <c r="K87" s="61"/>
      <c r="L87" s="156"/>
      <c r="M87" s="219" t="str">
        <f t="shared" si="29"/>
        <v/>
      </c>
      <c r="N87" s="219" t="str">
        <f t="shared" si="30"/>
        <v/>
      </c>
    </row>
    <row r="88" spans="2:14" ht="14.25" customHeight="1" x14ac:dyDescent="0.2">
      <c r="C88" s="163"/>
      <c r="D88" s="163"/>
      <c r="E88" s="163"/>
      <c r="F88" s="163"/>
      <c r="H88" s="127" t="str">
        <f t="shared" si="27"/>
        <v/>
      </c>
      <c r="I88" s="127" t="str">
        <f t="shared" si="28"/>
        <v/>
      </c>
      <c r="J88" s="82"/>
      <c r="K88" s="61"/>
      <c r="L88" s="156"/>
      <c r="M88" s="219" t="str">
        <f t="shared" si="29"/>
        <v/>
      </c>
      <c r="N88" s="219" t="str">
        <f t="shared" si="30"/>
        <v/>
      </c>
    </row>
    <row r="89" spans="2:14" ht="28.5" customHeight="1" x14ac:dyDescent="0.2">
      <c r="B89" s="312" t="str">
        <f>IF(AND(B91="",B92="",B93="",B94="",B95=""),"","Process (complete stack information if applicable):")</f>
        <v/>
      </c>
      <c r="C89" s="312" t="str">
        <f>IF(AND(B91="",B92="",B93="",B94="",B95=""),"","Stack Height (ft):")</f>
        <v/>
      </c>
      <c r="D89" s="312" t="str">
        <f>IF(AND(B91="",B92="",B93="",B94="",B95=""),"","Stack Diameter (inches):")</f>
        <v/>
      </c>
      <c r="E89" s="312" t="str">
        <f>IF(AND(B91="",B92="",B93="",B94="",B95=""),"","Flow Rate (acfm):")</f>
        <v/>
      </c>
      <c r="F89" s="312" t="str">
        <f>IF(AND(B91="",B92="",B93="",B94="",B95=""),"","Temp (Deg F):")</f>
        <v/>
      </c>
      <c r="H89" s="127" t="str">
        <f t="shared" si="27"/>
        <v/>
      </c>
      <c r="I89" s="127" t="str">
        <f t="shared" si="28"/>
        <v/>
      </c>
      <c r="J89" s="82"/>
      <c r="K89" s="61"/>
      <c r="L89" s="156"/>
      <c r="M89" s="219" t="str">
        <f t="shared" si="29"/>
        <v/>
      </c>
      <c r="N89" s="219" t="str">
        <f t="shared" si="30"/>
        <v/>
      </c>
    </row>
    <row r="90" spans="2:14" ht="14.25" customHeight="1" x14ac:dyDescent="0.2">
      <c r="B90" s="312"/>
      <c r="C90" s="312"/>
      <c r="D90" s="312"/>
      <c r="E90" s="312"/>
      <c r="F90" s="312"/>
      <c r="H90" s="127" t="str">
        <f t="shared" si="27"/>
        <v/>
      </c>
      <c r="I90" s="127" t="str">
        <f t="shared" si="28"/>
        <v/>
      </c>
      <c r="J90" s="82"/>
      <c r="K90" s="61"/>
      <c r="L90" s="156"/>
      <c r="M90" s="219" t="str">
        <f t="shared" si="29"/>
        <v/>
      </c>
      <c r="N90" s="219" t="str">
        <f t="shared" si="30"/>
        <v/>
      </c>
    </row>
    <row r="91" spans="2:14" ht="14.25" customHeight="1" x14ac:dyDescent="0.2">
      <c r="B91" s="45" t="str">
        <f>IF(COUNTIF(J84:J93,"Cement Delivery to Silo")&gt;0,"EP-2 Cement Silo Stack:","")</f>
        <v/>
      </c>
      <c r="C91" s="221"/>
      <c r="D91" s="221"/>
      <c r="E91" s="221"/>
      <c r="F91" s="221"/>
      <c r="G91" s="45"/>
      <c r="H91" s="127" t="str">
        <f t="shared" si="27"/>
        <v/>
      </c>
      <c r="I91" s="127" t="str">
        <f t="shared" si="28"/>
        <v/>
      </c>
      <c r="J91" s="82"/>
      <c r="K91" s="61"/>
      <c r="L91" s="156"/>
      <c r="M91" s="219" t="str">
        <f t="shared" si="29"/>
        <v/>
      </c>
      <c r="N91" s="219" t="str">
        <f t="shared" si="30"/>
        <v/>
      </c>
    </row>
    <row r="92" spans="2:14" ht="14.25" customHeight="1" x14ac:dyDescent="0.2">
      <c r="B92" s="45" t="str">
        <f>IF(COUNTIF(J84:J93,"Cement Supplement Delivery to Silo")&gt;0,"EP-3 Cement Supplement Silo Stack:","")</f>
        <v/>
      </c>
      <c r="C92" s="221"/>
      <c r="D92" s="221"/>
      <c r="E92" s="221"/>
      <c r="F92" s="221"/>
      <c r="G92" s="45"/>
      <c r="H92" s="127" t="str">
        <f t="shared" si="27"/>
        <v/>
      </c>
      <c r="I92" s="127" t="str">
        <f t="shared" si="28"/>
        <v/>
      </c>
      <c r="J92" s="82"/>
      <c r="K92" s="61"/>
      <c r="L92" s="156"/>
      <c r="M92" s="219" t="str">
        <f t="shared" si="29"/>
        <v/>
      </c>
      <c r="N92" s="219" t="str">
        <f t="shared" si="30"/>
        <v/>
      </c>
    </row>
    <row r="93" spans="2:14" ht="14.25" customHeight="1" x14ac:dyDescent="0.2">
      <c r="B93" s="45" t="str">
        <f>IF(COUNTIF(J84:J93,"Weigh Hopper Loading")&gt;0,"EP-4 Weigh Hopper Loading Stack:","")</f>
        <v/>
      </c>
      <c r="C93" s="221"/>
      <c r="D93" s="221"/>
      <c r="E93" s="221"/>
      <c r="F93" s="221"/>
      <c r="G93" s="45"/>
      <c r="H93" s="127" t="str">
        <f t="shared" si="27"/>
        <v/>
      </c>
      <c r="I93" s="127" t="str">
        <f t="shared" si="28"/>
        <v/>
      </c>
      <c r="J93" s="82"/>
      <c r="K93" s="61"/>
      <c r="L93" s="156"/>
      <c r="M93" s="219" t="str">
        <f t="shared" si="29"/>
        <v/>
      </c>
      <c r="N93" s="219" t="str">
        <f t="shared" si="30"/>
        <v/>
      </c>
    </row>
    <row r="94" spans="2:14" ht="14.25" customHeight="1" x14ac:dyDescent="0.2">
      <c r="B94" s="45" t="str">
        <f>IF(COUNTIF(J84:J93,"Truck Mix Loading")&gt;0,"EP-5 Truck Mix Loading Stack:","")</f>
        <v/>
      </c>
      <c r="C94" s="221"/>
      <c r="D94" s="221"/>
      <c r="E94" s="221"/>
      <c r="F94" s="221"/>
      <c r="G94" s="45"/>
      <c r="H94" s="45"/>
      <c r="I94" s="45"/>
    </row>
    <row r="95" spans="2:14" ht="14.25" customHeight="1" x14ac:dyDescent="0.2">
      <c r="B95" s="45" t="str">
        <f>IF(COUNTIF(J84:J93,"Central Mix Loading")&gt;0,"EP-6 Central Mix Loading Stack:","")</f>
        <v/>
      </c>
      <c r="C95" s="221"/>
      <c r="D95" s="221"/>
      <c r="E95" s="221"/>
      <c r="F95" s="221"/>
      <c r="G95" s="45"/>
      <c r="H95" s="74" t="str">
        <f>IF('Concrete Plant (CP-1)'!$D$4&gt;4,"Stock Pile Area","")</f>
        <v/>
      </c>
      <c r="I95" s="74"/>
      <c r="J95" s="75"/>
    </row>
    <row r="96" spans="2:14" ht="14.25" customHeight="1" x14ac:dyDescent="0.2">
      <c r="B96" s="73"/>
      <c r="C96" s="163"/>
      <c r="D96" s="163"/>
      <c r="E96" s="163"/>
      <c r="F96" s="163"/>
      <c r="G96" s="45"/>
      <c r="I96" s="51" t="str">
        <f>IF('Concrete Plant (CP-1)'!$D$4&gt;4,"Emission Unit #","")</f>
        <v/>
      </c>
      <c r="J96" s="80" t="str">
        <f>IF('Concrete Plant (CP-1)'!$D$4&gt;4,"Maximum Storage Area (acres)","")</f>
        <v/>
      </c>
      <c r="K96" s="81" t="str">
        <f>IF('Concrete Plant (CP-1)'!$D$4&gt;4,"Actual Storage Area (acres)","")</f>
        <v/>
      </c>
      <c r="L96" s="80" t="str">
        <f>IF('Concrete Plant (CP-1)'!$D$4&gt;4,"Actual Days in Existence (days)","")</f>
        <v/>
      </c>
      <c r="M96" s="146"/>
      <c r="N96" s="146"/>
    </row>
    <row r="97" spans="2:14" ht="14.25" customHeight="1" x14ac:dyDescent="0.2">
      <c r="B97" s="73"/>
      <c r="C97" s="163"/>
      <c r="D97" s="163"/>
      <c r="E97" s="163"/>
      <c r="F97" s="163"/>
      <c r="G97" s="45"/>
      <c r="I97" s="62"/>
      <c r="J97" s="102"/>
      <c r="K97" s="66"/>
      <c r="L97" s="102"/>
      <c r="M97" s="146"/>
      <c r="N97" s="146"/>
    </row>
    <row r="98" spans="2:14" ht="27.75" customHeight="1" x14ac:dyDescent="0.2">
      <c r="B98" s="73"/>
      <c r="C98" s="163"/>
      <c r="D98" s="355"/>
      <c r="E98" s="163"/>
      <c r="F98" s="163"/>
      <c r="G98" s="45"/>
      <c r="H98" s="45"/>
    </row>
    <row r="99" spans="2:14" ht="29.25" customHeight="1" x14ac:dyDescent="0.25">
      <c r="B99" s="78" t="str">
        <f>IF('Concrete Plant (CP-1)'!$D$4&gt;5,"Batch Plant","")</f>
        <v/>
      </c>
      <c r="C99" s="71" t="str">
        <f>IF('Concrete Plant (CP-1)'!$D$4&gt;5,"Site 6","")</f>
        <v/>
      </c>
      <c r="D99" s="71"/>
      <c r="E99" s="71"/>
      <c r="F99" s="71"/>
      <c r="G99" s="45"/>
      <c r="H99" s="310" t="str">
        <f>IF('Concrete Plant (CP-1)'!$D$4&gt;5,"Emission Point #","")</f>
        <v/>
      </c>
      <c r="I99" s="310" t="str">
        <f>IF('Concrete Plant (CP-1)'!$D$4&gt;5,"Emission     Unit #","")</f>
        <v/>
      </c>
      <c r="J99" s="310" t="str">
        <f>IF('Concrete Plant (CP-1)'!$D$4&gt;5,"Processes","")</f>
        <v/>
      </c>
      <c r="K99" s="311" t="str">
        <f>IF('Concrete Plant (CP-1)'!$D$4&gt;5,"Combined Maximum Hourly Design Rate for all Like Processes (cubic yard/hr)","")</f>
        <v/>
      </c>
      <c r="L99" s="310" t="str">
        <f>IF('Concrete Plant (CP-1)'!$D$4&gt;5,('Facility Information'!G5&amp;" Annual Throughput (cubic yards)"),"")</f>
        <v/>
      </c>
      <c r="M99" s="217"/>
      <c r="N99" s="217"/>
    </row>
    <row r="100" spans="2:14" ht="14.25" customHeight="1" x14ac:dyDescent="0.2">
      <c r="B100" s="79" t="str">
        <f>IF('Concrete Plant (CP-1)'!$D$4&gt;5,"Site Name:","")</f>
        <v/>
      </c>
      <c r="C100" s="349"/>
      <c r="D100" s="350"/>
      <c r="E100" s="351"/>
      <c r="F100" s="175"/>
      <c r="G100" s="76"/>
      <c r="H100" s="127" t="str">
        <f>IF(J100="cement delivery to silo","CP-1 EP-2",IF(J100="cement supplement delivery to silo","CP-1 EP-3",IF(J100="weigh hopper loading","CP-1 EP-4",IF(J100="truck mix loading","CP-1 EP-5",IF(J100="central mix loading","CP-1 EP-6",IF(J100="","","CP-1 EP-1"))))))</f>
        <v/>
      </c>
      <c r="I100" s="127" t="str">
        <f>IF(J100="","",IF(J100="aggregate delivery to ground storage","CP-1 EU-1",IF(J100="sand delivery to ground storage","CP-1 EU-2",IF(J100="aggregate transfer to conveyor","CP-1 EU-3",IF(J100="sand transfer to conveyor","CP-1 EU-4",IF(J100="aggregate transfer to elevated storage","CP-1 EU-5",IF(J100="sand transfer to elevated storage","CP-1 EU-6",IF(J100="weigh hopper loading","CP-1 EU-7",IF(J100="central mix loading","CP-1 EU-8",IF(J100="truck mix loading","CP-1 EU-9",IF(J100="cement delivery to silo","CP-1 EU-10",IF(J100="cement supplement delivery to silo","CP-1 EU-11"))))))))))))</f>
        <v/>
      </c>
      <c r="J100" s="82"/>
      <c r="K100" s="61"/>
      <c r="L100" s="156"/>
      <c r="M100" s="219" t="str">
        <f>IF(J100="truck mix loading",IF($F$103="yes",L100*0.05/2000,L100/2000),"")</f>
        <v/>
      </c>
      <c r="N100" s="219" t="str">
        <f>IF(J100="central mix loading",IF($F$103="yes",L100*0.05/2000,L100/2000),"")</f>
        <v/>
      </c>
    </row>
    <row r="101" spans="2:14" ht="14.25" customHeight="1" x14ac:dyDescent="0.2">
      <c r="B101" s="79" t="str">
        <f>IF('Concrete Plant (CP-1)'!$D$4&gt;5,"County:","")</f>
        <v/>
      </c>
      <c r="C101" s="339"/>
      <c r="D101" s="340"/>
      <c r="E101" s="341"/>
      <c r="F101" s="175"/>
      <c r="H101" s="127" t="str">
        <f t="shared" ref="H101:H109" si="31">IF(J101="cement delivery to silo","CP-1 EP-2",IF(J101="cement supplement delivery to silo","CP-1 EP-3",IF(J101="weigh hopper loading","CP-1 EP-4",IF(J101="truck mix loading","CP-1 EP-5",IF(J101="central mix loading","CP-1 EP-6",IF(J101="","","CP-1 EP-1"))))))</f>
        <v/>
      </c>
      <c r="I101" s="127" t="str">
        <f t="shared" ref="I101:I109" si="32">IF(J101="","",IF(J101="aggregate delivery to ground storage","CP-1 EU-1",IF(J101="sand delivery to ground storage","CP-1 EU-2",IF(J101="aggregate transfer to conveyor","CP-1 EU-3",IF(J101="sand transfer to conveyor","CP-1 EU-4",IF(J101="aggregate transfer to elevated storage","CP-1 EU-5",IF(J101="sand transfer to elevated storage","CP-1 EU-6",IF(J101="weigh hopper loading","CP-1 EU-7",IF(J101="central mix loading","CP-1 EU-8",IF(J101="truck mix loading","CP-1 EU-9",IF(J101="cement delivery to silo","CP-1 EU-10",IF(J101="cement supplement delivery to silo","CP-1 EU-11"))))))))))))</f>
        <v/>
      </c>
      <c r="J101" s="82"/>
      <c r="K101" s="61"/>
      <c r="L101" s="156"/>
      <c r="M101" s="219" t="str">
        <f t="shared" ref="M101:M109" si="33">IF(J101="truck mix loading",IF($F$103="yes",L101*0.05/2000,L101/2000),"")</f>
        <v/>
      </c>
      <c r="N101" s="219" t="str">
        <f t="shared" ref="N101:N109" si="34">IF(J101="central mix loading",IF($F$103="yes",L101*0.05/2000,L101/2000),"")</f>
        <v/>
      </c>
    </row>
    <row r="102" spans="2:14" ht="14.25" customHeight="1" x14ac:dyDescent="0.2">
      <c r="B102" s="79" t="str">
        <f>IF('Concrete Plant (CP-1)'!$D$4&gt;5,"Batching Period (Dates):","")</f>
        <v/>
      </c>
      <c r="C102" s="352"/>
      <c r="D102" s="353"/>
      <c r="E102" s="354"/>
      <c r="F102" s="175"/>
      <c r="H102" s="127" t="str">
        <f t="shared" si="31"/>
        <v/>
      </c>
      <c r="I102" s="127" t="str">
        <f t="shared" si="32"/>
        <v/>
      </c>
      <c r="J102" s="82"/>
      <c r="K102" s="61"/>
      <c r="L102" s="156"/>
      <c r="M102" s="219" t="str">
        <f t="shared" si="33"/>
        <v/>
      </c>
      <c r="N102" s="219" t="str">
        <f t="shared" si="34"/>
        <v/>
      </c>
    </row>
    <row r="103" spans="2:14" ht="14.25" customHeight="1" x14ac:dyDescent="0.2">
      <c r="B103" s="51" t="str">
        <f>IF(OR(COUNTIF(J100:J109,"Truck Mix Loading")&gt;0,(COUNTIF(J100:J109,"Central Mix Loading")&gt;0)),"Is the Central/Truck Mix Loading process controlled by a baghouse?","")</f>
        <v/>
      </c>
      <c r="C103" s="51"/>
      <c r="D103" s="51"/>
      <c r="E103" s="51"/>
      <c r="F103" s="221"/>
      <c r="H103" s="127" t="str">
        <f t="shared" si="31"/>
        <v/>
      </c>
      <c r="I103" s="127" t="str">
        <f t="shared" si="32"/>
        <v/>
      </c>
      <c r="J103" s="82"/>
      <c r="K103" s="61"/>
      <c r="L103" s="156"/>
      <c r="M103" s="219" t="str">
        <f t="shared" si="33"/>
        <v/>
      </c>
      <c r="N103" s="219" t="str">
        <f t="shared" si="34"/>
        <v/>
      </c>
    </row>
    <row r="104" spans="2:14" ht="14.25" customHeight="1" x14ac:dyDescent="0.2">
      <c r="C104" s="163"/>
      <c r="D104" s="163"/>
      <c r="E104" s="163"/>
      <c r="F104" s="163"/>
      <c r="H104" s="127" t="str">
        <f t="shared" si="31"/>
        <v/>
      </c>
      <c r="I104" s="127" t="str">
        <f t="shared" si="32"/>
        <v/>
      </c>
      <c r="J104" s="82"/>
      <c r="K104" s="61"/>
      <c r="L104" s="156"/>
      <c r="M104" s="219" t="str">
        <f t="shared" si="33"/>
        <v/>
      </c>
      <c r="N104" s="219" t="str">
        <f t="shared" si="34"/>
        <v/>
      </c>
    </row>
    <row r="105" spans="2:14" ht="29.25" customHeight="1" x14ac:dyDescent="0.2">
      <c r="B105" s="312" t="str">
        <f>IF(AND(B107="",B108="",B109="",B110="",B111=""),"","Process (complete stack information if applicable):")</f>
        <v/>
      </c>
      <c r="C105" s="312" t="str">
        <f>IF(AND(B107="",B108="",B109="",B110="",B111=""),"","Stack Height (ft):")</f>
        <v/>
      </c>
      <c r="D105" s="312" t="str">
        <f>IF(AND(B107="",B108="",B109="",B110="",B111=""),"","Stack Diameter (inches):")</f>
        <v/>
      </c>
      <c r="E105" s="312" t="str">
        <f>IF(AND(B107="",B108="",B109="",B110="",B111=""),"","Flow Rate (acfm):")</f>
        <v/>
      </c>
      <c r="F105" s="312" t="str">
        <f>IF(AND(B107="",B108="",B109="",B110="",B111=""),"","Temp (Deg F):")</f>
        <v/>
      </c>
      <c r="G105" s="45"/>
      <c r="H105" s="127" t="str">
        <f t="shared" si="31"/>
        <v/>
      </c>
      <c r="I105" s="127" t="str">
        <f t="shared" si="32"/>
        <v/>
      </c>
      <c r="J105" s="82"/>
      <c r="K105" s="61"/>
      <c r="L105" s="156"/>
      <c r="M105" s="219" t="str">
        <f t="shared" si="33"/>
        <v/>
      </c>
      <c r="N105" s="219" t="str">
        <f t="shared" si="34"/>
        <v/>
      </c>
    </row>
    <row r="106" spans="2:14" ht="14.25" customHeight="1" x14ac:dyDescent="0.2">
      <c r="B106" s="312"/>
      <c r="C106" s="312"/>
      <c r="D106" s="312"/>
      <c r="E106" s="312"/>
      <c r="F106" s="312"/>
      <c r="G106" s="45"/>
      <c r="H106" s="127" t="str">
        <f t="shared" si="31"/>
        <v/>
      </c>
      <c r="I106" s="127" t="str">
        <f t="shared" si="32"/>
        <v/>
      </c>
      <c r="J106" s="82"/>
      <c r="K106" s="61"/>
      <c r="L106" s="156"/>
      <c r="M106" s="219" t="str">
        <f t="shared" si="33"/>
        <v/>
      </c>
      <c r="N106" s="219" t="str">
        <f t="shared" si="34"/>
        <v/>
      </c>
    </row>
    <row r="107" spans="2:14" ht="14.25" customHeight="1" x14ac:dyDescent="0.2">
      <c r="B107" s="45" t="str">
        <f>IF(COUNTIF(J100:J109,"Cement Delivery to Silo")&gt;0,"EP-2 Cement Silo Stack:","")</f>
        <v/>
      </c>
      <c r="C107" s="221"/>
      <c r="D107" s="221"/>
      <c r="E107" s="221"/>
      <c r="F107" s="221"/>
      <c r="G107" s="45"/>
      <c r="H107" s="127" t="str">
        <f t="shared" si="31"/>
        <v/>
      </c>
      <c r="I107" s="127" t="str">
        <f t="shared" si="32"/>
        <v/>
      </c>
      <c r="J107" s="82"/>
      <c r="K107" s="61"/>
      <c r="L107" s="156"/>
      <c r="M107" s="219" t="str">
        <f t="shared" si="33"/>
        <v/>
      </c>
      <c r="N107" s="219" t="str">
        <f t="shared" si="34"/>
        <v/>
      </c>
    </row>
    <row r="108" spans="2:14" ht="14.25" customHeight="1" x14ac:dyDescent="0.2">
      <c r="B108" s="45" t="str">
        <f>IF(COUNTIF(J100:J109,"Cement Supplement Delivery to Silo")&gt;0,"EP-3 Cement Supplement Silo Stack:","")</f>
        <v/>
      </c>
      <c r="C108" s="221"/>
      <c r="D108" s="221"/>
      <c r="E108" s="221"/>
      <c r="F108" s="221"/>
      <c r="G108" s="45"/>
      <c r="H108" s="127" t="str">
        <f t="shared" si="31"/>
        <v/>
      </c>
      <c r="I108" s="127" t="str">
        <f t="shared" si="32"/>
        <v/>
      </c>
      <c r="J108" s="82"/>
      <c r="K108" s="61"/>
      <c r="L108" s="156"/>
      <c r="M108" s="219" t="str">
        <f t="shared" si="33"/>
        <v/>
      </c>
      <c r="N108" s="219" t="str">
        <f t="shared" si="34"/>
        <v/>
      </c>
    </row>
    <row r="109" spans="2:14" ht="14.25" customHeight="1" x14ac:dyDescent="0.2">
      <c r="B109" s="45" t="str">
        <f>IF(COUNTIF(J100:J109,"Weigh Hopper Loading")&gt;0,"EP-4 Weigh Hopper Loading Stack:","")</f>
        <v/>
      </c>
      <c r="C109" s="221"/>
      <c r="D109" s="221"/>
      <c r="E109" s="221"/>
      <c r="F109" s="221"/>
      <c r="G109" s="45"/>
      <c r="H109" s="127" t="str">
        <f t="shared" si="31"/>
        <v/>
      </c>
      <c r="I109" s="127" t="str">
        <f t="shared" si="32"/>
        <v/>
      </c>
      <c r="J109" s="82"/>
      <c r="K109" s="61"/>
      <c r="L109" s="156"/>
      <c r="M109" s="219" t="str">
        <f t="shared" si="33"/>
        <v/>
      </c>
      <c r="N109" s="219" t="str">
        <f t="shared" si="34"/>
        <v/>
      </c>
    </row>
    <row r="110" spans="2:14" ht="14.25" customHeight="1" x14ac:dyDescent="0.2">
      <c r="B110" s="45" t="str">
        <f>IF(COUNTIF(J100:J109,"Truck Mix Loading")&gt;0,"EP-5 Truck Mix Loading Stack:","")</f>
        <v/>
      </c>
      <c r="C110" s="221"/>
      <c r="D110" s="221"/>
      <c r="E110" s="221"/>
      <c r="F110" s="221"/>
      <c r="G110" s="45"/>
      <c r="H110" s="45"/>
      <c r="I110" s="45"/>
    </row>
    <row r="111" spans="2:14" ht="14.25" customHeight="1" x14ac:dyDescent="0.2">
      <c r="B111" s="45" t="str">
        <f>IF(COUNTIF(J100:J109,"Central Mix Loading")&gt;0,"EP-6 Central Mix Loading Stack:","")</f>
        <v/>
      </c>
      <c r="C111" s="221"/>
      <c r="D111" s="221"/>
      <c r="E111" s="221"/>
      <c r="F111" s="221"/>
      <c r="G111" s="45"/>
      <c r="H111" s="74" t="str">
        <f>IF('Concrete Plant (CP-1)'!$D$4&gt;5,"Stock Pile Area","")</f>
        <v/>
      </c>
      <c r="I111" s="74"/>
      <c r="J111" s="75"/>
    </row>
    <row r="112" spans="2:14" ht="14.25" customHeight="1" x14ac:dyDescent="0.2">
      <c r="B112" s="73"/>
      <c r="C112" s="163"/>
      <c r="D112" s="163"/>
      <c r="E112" s="163"/>
      <c r="F112" s="163"/>
      <c r="G112" s="45"/>
      <c r="I112" s="51" t="str">
        <f>IF('Concrete Plant (CP-1)'!$D$4&gt;5,"Emission Unit #","")</f>
        <v/>
      </c>
      <c r="J112" s="80" t="str">
        <f>IF('Concrete Plant (CP-1)'!$D$4&gt;5,"Maximum Storage Area (acres)","")</f>
        <v/>
      </c>
      <c r="K112" s="81" t="str">
        <f>IF('Concrete Plant (CP-1)'!$D$4&gt;5,"Actual Storage Area (acres)","")</f>
        <v/>
      </c>
      <c r="L112" s="80" t="str">
        <f>IF('Concrete Plant (CP-1)'!$D$4&gt;5,"Actual Days in Existence (days)","")</f>
        <v/>
      </c>
      <c r="M112" s="146"/>
      <c r="N112" s="146"/>
    </row>
    <row r="113" spans="2:14" ht="14.25" customHeight="1" x14ac:dyDescent="0.2">
      <c r="B113" s="73"/>
      <c r="C113" s="163"/>
      <c r="D113" s="163"/>
      <c r="E113" s="163"/>
      <c r="F113" s="163"/>
      <c r="G113" s="45"/>
      <c r="I113" s="65"/>
      <c r="J113" s="102"/>
      <c r="K113" s="66"/>
      <c r="L113" s="102"/>
      <c r="M113" s="146"/>
      <c r="N113" s="146"/>
    </row>
    <row r="114" spans="2:14" ht="14.25" customHeight="1" x14ac:dyDescent="0.2">
      <c r="B114" s="73"/>
      <c r="C114" s="163"/>
      <c r="D114" s="163"/>
      <c r="E114" s="163"/>
      <c r="F114" s="163"/>
      <c r="G114" s="45"/>
      <c r="I114" s="139"/>
      <c r="J114" s="125"/>
      <c r="K114" s="125"/>
      <c r="L114" s="125"/>
      <c r="M114" s="146"/>
      <c r="N114" s="146"/>
    </row>
    <row r="115" spans="2:14" ht="27.75" customHeight="1" x14ac:dyDescent="0.25">
      <c r="B115" s="78" t="str">
        <f>IF('Concrete Plant (CP-1)'!$D$4&gt;6,"Batch Plant","")</f>
        <v/>
      </c>
      <c r="C115" s="71" t="str">
        <f>IF('Concrete Plant (CP-1)'!$D$4&gt;6,"Site 7","")</f>
        <v/>
      </c>
      <c r="D115" s="71"/>
      <c r="E115" s="71"/>
      <c r="F115" s="71"/>
      <c r="G115" s="76"/>
      <c r="H115" s="310" t="str">
        <f>IF('Concrete Plant (CP-1)'!$D$4&gt;6,"Emission Point #","")</f>
        <v/>
      </c>
      <c r="I115" s="310" t="str">
        <f>IF('Concrete Plant (CP-1)'!$D$4&gt;6,"Emission     Unit #","")</f>
        <v/>
      </c>
      <c r="J115" s="310" t="str">
        <f>IF('Concrete Plant (CP-1)'!$D$4&gt;6,"Processes","")</f>
        <v/>
      </c>
      <c r="K115" s="311" t="str">
        <f>IF('Concrete Plant (CP-1)'!$D$4&gt;6,"Combined Maximum Hourly Design Rate for all Like Processes (cubic yard/hr)","")</f>
        <v/>
      </c>
      <c r="L115" s="310" t="str">
        <f>IF('Concrete Plant (CP-1)'!$D$4&gt;6,('Facility Information'!G5&amp;" Annual Throughput (cubic yards)"),"")</f>
        <v/>
      </c>
      <c r="M115" s="217"/>
      <c r="N115" s="217"/>
    </row>
    <row r="116" spans="2:14" ht="14.25" customHeight="1" x14ac:dyDescent="0.2">
      <c r="B116" s="79" t="str">
        <f>IF('Concrete Plant (CP-1)'!$D$4&gt;6,"Site Name:","")</f>
        <v/>
      </c>
      <c r="C116" s="349"/>
      <c r="D116" s="350"/>
      <c r="E116" s="351"/>
      <c r="F116" s="175"/>
      <c r="H116" s="127" t="str">
        <f>IF(J116="cement delivery to silo","CP-1 EP-2",IF(J116="cement supplement delivery to silo","CP-1 EP-3",IF(J116="weigh hopper loading","CP-1 EP-4",IF(J116="truck mix loading","CP-1 EP-5",IF(J116="central mix loading","CP-1 EP-6",IF(J116="","","CP-1 EP-1"))))))</f>
        <v/>
      </c>
      <c r="I116" s="127" t="str">
        <f>IF(J116="","",IF(J116="aggregate delivery to ground storage","CP-1 EU-1",IF(J116="sand delivery to ground storage","CP-1 EU-2",IF(J116="aggregate transfer to conveyor","CP-1 EU-3",IF(J116="sand transfer to conveyor","CP-1 EU-4",IF(J116="aggregate transfer to elevated storage","CP-1 EU-5",IF(J116="sand transfer to elevated storage","CP-1 EU-6",IF(J116="weigh hopper loading","CP-1 EU-7",IF(J116="central mix loading","CP-1 EU-8",IF(J116="truck mix loading","CP-1 EU-9",IF(J116="cement delivery to silo","CP-1 EU-10",IF(J116="cement supplement delivery to silo","CP-1 EU-11"))))))))))))</f>
        <v/>
      </c>
      <c r="J116" s="82"/>
      <c r="K116" s="61"/>
      <c r="L116" s="156"/>
      <c r="M116" s="219" t="str">
        <f>IF(J116="truck mix loading",IF($F$119="yes",L116*0.05/2000,L116/2000),"")</f>
        <v/>
      </c>
      <c r="N116" s="219" t="str">
        <f>IF(J116="central mix loading",IF($F$119="yes",L116*0.05/2000,L116/2000),"")</f>
        <v/>
      </c>
    </row>
    <row r="117" spans="2:14" ht="14.25" customHeight="1" x14ac:dyDescent="0.2">
      <c r="B117" s="79" t="str">
        <f>IF('Concrete Plant (CP-1)'!$D$4&gt;6,"County:","")</f>
        <v/>
      </c>
      <c r="C117" s="339"/>
      <c r="D117" s="340"/>
      <c r="E117" s="341"/>
      <c r="F117" s="175"/>
      <c r="H117" s="127" t="str">
        <f t="shared" ref="H117:H125" si="35">IF(J117="cement delivery to silo","CP-1 EP-2",IF(J117="cement supplement delivery to silo","CP-1 EP-3",IF(J117="weigh hopper loading","CP-1 EP-4",IF(J117="truck mix loading","CP-1 EP-5",IF(J117="central mix loading","CP-1 EP-6",IF(J117="","","CP-1 EP-1"))))))</f>
        <v/>
      </c>
      <c r="I117" s="127" t="str">
        <f t="shared" ref="I117:I125" si="36">IF(J117="","",IF(J117="aggregate delivery to ground storage","CP-1 EU-1",IF(J117="sand delivery to ground storage","CP-1 EU-2",IF(J117="aggregate transfer to conveyor","CP-1 EU-3",IF(J117="sand transfer to conveyor","CP-1 EU-4",IF(J117="aggregate transfer to elevated storage","CP-1 EU-5",IF(J117="sand transfer to elevated storage","CP-1 EU-6",IF(J117="weigh hopper loading","CP-1 EU-7",IF(J117="central mix loading","CP-1 EU-8",IF(J117="truck mix loading","CP-1 EU-9",IF(J117="cement delivery to silo","CP-1 EU-10",IF(J117="cement supplement delivery to silo","CP-1 EU-11"))))))))))))</f>
        <v/>
      </c>
      <c r="J117" s="82"/>
      <c r="K117" s="61"/>
      <c r="L117" s="156"/>
      <c r="M117" s="219" t="str">
        <f t="shared" ref="M117:M125" si="37">IF(J117="truck mix loading",IF($F$119="yes",L117*0.05/2000,L117/2000),"")</f>
        <v/>
      </c>
      <c r="N117" s="219" t="str">
        <f t="shared" ref="N117:N125" si="38">IF(J117="central mix loading",IF($F$119="yes",L117*0.05/2000,L117/2000),"")</f>
        <v/>
      </c>
    </row>
    <row r="118" spans="2:14" ht="14.25" customHeight="1" x14ac:dyDescent="0.2">
      <c r="B118" s="79" t="str">
        <f>IF('Concrete Plant (CP-1)'!$D$4&gt;6,"Batching Period (Dates):","")</f>
        <v/>
      </c>
      <c r="C118" s="352"/>
      <c r="D118" s="353"/>
      <c r="E118" s="354"/>
      <c r="F118" s="175"/>
      <c r="H118" s="127" t="str">
        <f t="shared" si="35"/>
        <v/>
      </c>
      <c r="I118" s="127" t="str">
        <f t="shared" si="36"/>
        <v/>
      </c>
      <c r="J118" s="82"/>
      <c r="K118" s="61"/>
      <c r="L118" s="156"/>
      <c r="M118" s="219" t="str">
        <f t="shared" si="37"/>
        <v/>
      </c>
      <c r="N118" s="219" t="str">
        <f t="shared" si="38"/>
        <v/>
      </c>
    </row>
    <row r="119" spans="2:14" ht="14.25" customHeight="1" x14ac:dyDescent="0.2">
      <c r="B119" s="51" t="str">
        <f>IF(OR(COUNTIF(J116:J125,"Truck Mix Loading")&gt;0,(COUNTIF(J116:J125,"Central Mix Loading")&gt;0)),"Is the Central/Truck Mix Loading process controlled by a baghouse?","")</f>
        <v/>
      </c>
      <c r="C119" s="51"/>
      <c r="D119" s="51"/>
      <c r="E119" s="51"/>
      <c r="F119" s="221"/>
      <c r="G119" s="45"/>
      <c r="H119" s="127" t="str">
        <f t="shared" si="35"/>
        <v/>
      </c>
      <c r="I119" s="127" t="str">
        <f t="shared" si="36"/>
        <v/>
      </c>
      <c r="J119" s="82"/>
      <c r="K119" s="61"/>
      <c r="L119" s="156"/>
      <c r="M119" s="219" t="str">
        <f t="shared" si="37"/>
        <v/>
      </c>
      <c r="N119" s="219" t="str">
        <f t="shared" si="38"/>
        <v/>
      </c>
    </row>
    <row r="120" spans="2:14" ht="14.25" customHeight="1" x14ac:dyDescent="0.2">
      <c r="C120" s="163"/>
      <c r="D120" s="163"/>
      <c r="E120" s="163"/>
      <c r="F120" s="163"/>
      <c r="G120" s="45"/>
      <c r="H120" s="127" t="str">
        <f t="shared" si="35"/>
        <v/>
      </c>
      <c r="I120" s="127" t="str">
        <f t="shared" si="36"/>
        <v/>
      </c>
      <c r="J120" s="82"/>
      <c r="K120" s="61"/>
      <c r="L120" s="156"/>
      <c r="M120" s="219" t="str">
        <f t="shared" si="37"/>
        <v/>
      </c>
      <c r="N120" s="219" t="str">
        <f t="shared" si="38"/>
        <v/>
      </c>
    </row>
    <row r="121" spans="2:14" ht="27" customHeight="1" x14ac:dyDescent="0.2">
      <c r="B121" s="312" t="str">
        <f>IF(AND(B123="",B124="",B125="",B126="",B127=""),"","Process (complete stack information if applicable):")</f>
        <v/>
      </c>
      <c r="C121" s="312" t="str">
        <f>IF(AND(B123="",B124="",B125="",B126="",B127=""),"","Stack Height (ft):")</f>
        <v/>
      </c>
      <c r="D121" s="312" t="str">
        <f>IF(AND(B123="",B124="",B125="",B126="",B127=""),"","Stack Diameter (inches):")</f>
        <v/>
      </c>
      <c r="E121" s="312" t="str">
        <f>IF(AND(B123="",B124="",B125="",B126="",B127=""),"","Flow Rate (acfm):")</f>
        <v/>
      </c>
      <c r="F121" s="312" t="str">
        <f>IF(AND(B123="",B124="",B125="",B126="",B127=""),"","Temp (Deg F):")</f>
        <v/>
      </c>
      <c r="G121" s="45"/>
      <c r="H121" s="127" t="str">
        <f t="shared" si="35"/>
        <v/>
      </c>
      <c r="I121" s="127" t="str">
        <f t="shared" si="36"/>
        <v/>
      </c>
      <c r="J121" s="82"/>
      <c r="K121" s="61"/>
      <c r="L121" s="156"/>
      <c r="M121" s="219" t="str">
        <f t="shared" si="37"/>
        <v/>
      </c>
      <c r="N121" s="219" t="str">
        <f t="shared" si="38"/>
        <v/>
      </c>
    </row>
    <row r="122" spans="2:14" ht="14.25" customHeight="1" x14ac:dyDescent="0.2">
      <c r="B122" s="312"/>
      <c r="C122" s="312"/>
      <c r="D122" s="312"/>
      <c r="E122" s="312"/>
      <c r="F122" s="312"/>
      <c r="G122" s="45"/>
      <c r="H122" s="127" t="str">
        <f t="shared" si="35"/>
        <v/>
      </c>
      <c r="I122" s="127" t="str">
        <f t="shared" si="36"/>
        <v/>
      </c>
      <c r="J122" s="82"/>
      <c r="K122" s="61"/>
      <c r="L122" s="156"/>
      <c r="M122" s="219" t="str">
        <f t="shared" si="37"/>
        <v/>
      </c>
      <c r="N122" s="219" t="str">
        <f t="shared" si="38"/>
        <v/>
      </c>
    </row>
    <row r="123" spans="2:14" ht="14.25" customHeight="1" x14ac:dyDescent="0.2">
      <c r="B123" s="45" t="str">
        <f>IF(COUNTIF(J116:J125,"Cement Delivery to Silo")&gt;0,"EP-2 Cement Silo Stack:","")</f>
        <v/>
      </c>
      <c r="C123" s="221"/>
      <c r="D123" s="221"/>
      <c r="E123" s="221"/>
      <c r="F123" s="221"/>
      <c r="G123" s="45"/>
      <c r="H123" s="127" t="str">
        <f t="shared" si="35"/>
        <v/>
      </c>
      <c r="I123" s="127" t="str">
        <f t="shared" si="36"/>
        <v/>
      </c>
      <c r="J123" s="82"/>
      <c r="K123" s="61"/>
      <c r="L123" s="156"/>
      <c r="M123" s="219" t="str">
        <f t="shared" si="37"/>
        <v/>
      </c>
      <c r="N123" s="219" t="str">
        <f t="shared" si="38"/>
        <v/>
      </c>
    </row>
    <row r="124" spans="2:14" ht="14.25" customHeight="1" x14ac:dyDescent="0.2">
      <c r="B124" s="45" t="str">
        <f>IF(COUNTIF(J116:J125,"Cement Supplement Delivery to Silo")&gt;0,"EP-3 Cement Supplement Silo Stack:","")</f>
        <v/>
      </c>
      <c r="C124" s="221"/>
      <c r="D124" s="221"/>
      <c r="E124" s="221"/>
      <c r="F124" s="221"/>
      <c r="G124" s="45"/>
      <c r="H124" s="127" t="str">
        <f t="shared" si="35"/>
        <v/>
      </c>
      <c r="I124" s="127" t="str">
        <f t="shared" si="36"/>
        <v/>
      </c>
      <c r="J124" s="82"/>
      <c r="K124" s="61"/>
      <c r="L124" s="156"/>
      <c r="M124" s="219" t="str">
        <f t="shared" si="37"/>
        <v/>
      </c>
      <c r="N124" s="219" t="str">
        <f t="shared" si="38"/>
        <v/>
      </c>
    </row>
    <row r="125" spans="2:14" ht="14.25" customHeight="1" x14ac:dyDescent="0.2">
      <c r="B125" s="45" t="str">
        <f>IF(COUNTIF(J116:J125,"Weigh Hopper Loading")&gt;0,"EP-4 Weigh Hopper Loading Stack:","")</f>
        <v/>
      </c>
      <c r="C125" s="221"/>
      <c r="D125" s="221"/>
      <c r="E125" s="221"/>
      <c r="F125" s="221"/>
      <c r="G125" s="45"/>
      <c r="H125" s="127" t="str">
        <f t="shared" si="35"/>
        <v/>
      </c>
      <c r="I125" s="127" t="str">
        <f t="shared" si="36"/>
        <v/>
      </c>
      <c r="J125" s="82"/>
      <c r="K125" s="61"/>
      <c r="L125" s="156"/>
      <c r="M125" s="219" t="str">
        <f t="shared" si="37"/>
        <v/>
      </c>
      <c r="N125" s="219" t="str">
        <f t="shared" si="38"/>
        <v/>
      </c>
    </row>
    <row r="126" spans="2:14" ht="14.25" customHeight="1" x14ac:dyDescent="0.2">
      <c r="B126" s="45" t="str">
        <f>IF(COUNTIF(J116:J125,"Truck Mix Loading")&gt;0,"EP-5 Truck Mix Loading Stack:","")</f>
        <v/>
      </c>
      <c r="C126" s="221"/>
      <c r="D126" s="221"/>
      <c r="E126" s="221"/>
      <c r="F126" s="221"/>
      <c r="G126" s="45"/>
      <c r="H126" s="45"/>
      <c r="I126" s="45"/>
    </row>
    <row r="127" spans="2:14" ht="14.25" customHeight="1" x14ac:dyDescent="0.2">
      <c r="B127" s="45" t="str">
        <f>IF(COUNTIF(J116:J125,"Central Mix Loading")&gt;0,"EP-6 Central Mix Loading Stack:","")</f>
        <v/>
      </c>
      <c r="C127" s="221"/>
      <c r="D127" s="221"/>
      <c r="E127" s="221"/>
      <c r="F127" s="221"/>
      <c r="G127" s="45"/>
      <c r="H127" s="74" t="str">
        <f>IF('Concrete Plant (CP-1)'!$D$4&gt;6,"Stock Pile Area","")</f>
        <v/>
      </c>
      <c r="I127" s="74"/>
      <c r="J127" s="75"/>
    </row>
    <row r="128" spans="2:14" ht="14.25" customHeight="1" x14ac:dyDescent="0.2">
      <c r="B128" s="73"/>
      <c r="C128" s="163"/>
      <c r="D128" s="163"/>
      <c r="E128" s="163"/>
      <c r="F128" s="163"/>
      <c r="G128" s="45"/>
      <c r="I128" s="51" t="str">
        <f>IF('Concrete Plant (CP-1)'!$D$4&gt;6,"Emission Unit #","")</f>
        <v/>
      </c>
      <c r="J128" s="80" t="str">
        <f>IF('Concrete Plant (CP-1)'!$D$4&gt;6,"Maximum Storage Area (acres)","")</f>
        <v/>
      </c>
      <c r="K128" s="81" t="str">
        <f>IF('Concrete Plant (CP-1)'!$D$4&gt;6,"Actual Storage Area (acres)","")</f>
        <v/>
      </c>
      <c r="L128" s="80" t="str">
        <f>IF('Concrete Plant (CP-1)'!$D$4&gt;6,"Actual Days in Existence (days)","")</f>
        <v/>
      </c>
      <c r="M128" s="146"/>
      <c r="N128" s="146"/>
    </row>
    <row r="129" spans="2:14" ht="14.25" customHeight="1" x14ac:dyDescent="0.2">
      <c r="B129" s="73"/>
      <c r="C129" s="163"/>
      <c r="D129" s="163"/>
      <c r="E129" s="163"/>
      <c r="F129" s="163"/>
      <c r="I129" s="65"/>
      <c r="J129" s="102"/>
      <c r="K129" s="66"/>
      <c r="L129" s="102"/>
      <c r="M129" s="146"/>
      <c r="N129" s="146"/>
    </row>
    <row r="130" spans="2:14" ht="14.25" customHeight="1" x14ac:dyDescent="0.2">
      <c r="B130" s="73"/>
      <c r="C130" s="163"/>
      <c r="D130" s="163"/>
      <c r="E130" s="163"/>
      <c r="F130" s="163"/>
      <c r="G130" s="76"/>
    </row>
    <row r="131" spans="2:14" ht="28.5" customHeight="1" x14ac:dyDescent="0.25">
      <c r="B131" s="78" t="str">
        <f>IF('Concrete Plant (CP-1)'!$D$4&gt;7,"Batch Plant","")</f>
        <v/>
      </c>
      <c r="C131" s="71" t="str">
        <f>IF('Concrete Plant (CP-1)'!$D$4&gt;7,"Site 8","")</f>
        <v/>
      </c>
      <c r="D131" s="71"/>
      <c r="E131" s="71"/>
      <c r="F131" s="71"/>
      <c r="H131" s="310" t="str">
        <f>IF('Concrete Plant (CP-1)'!$D$4&gt;7,"Emission Point #","")</f>
        <v/>
      </c>
      <c r="I131" s="310" t="str">
        <f>IF('Concrete Plant (CP-1)'!$D$4&gt;7,"Emission     Unit #","")</f>
        <v/>
      </c>
      <c r="J131" s="310" t="str">
        <f>IF('Concrete Plant (CP-1)'!$D$4&gt;7,"Processes","")</f>
        <v/>
      </c>
      <c r="K131" s="311" t="str">
        <f>IF('Concrete Plant (CP-1)'!$D$4&gt;7,"Combined Maximum Hourly Design Rate for all Like Processes (cubic yard/hr)","")</f>
        <v/>
      </c>
      <c r="L131" s="310" t="str">
        <f>IF('Concrete Plant (CP-1)'!$D$4&gt;7,('Facility Information'!G5&amp;" Annual Throughput (cubic yards)"),"")</f>
        <v/>
      </c>
      <c r="M131" s="217"/>
      <c r="N131" s="217"/>
    </row>
    <row r="132" spans="2:14" ht="14.25" customHeight="1" x14ac:dyDescent="0.2">
      <c r="B132" s="79" t="str">
        <f>IF('Concrete Plant (CP-1)'!$D$4&gt;7,"Site Name:","")</f>
        <v/>
      </c>
      <c r="C132" s="349"/>
      <c r="D132" s="350"/>
      <c r="E132" s="351"/>
      <c r="F132" s="175"/>
      <c r="H132" s="127" t="str">
        <f>IF(J132="cement delivery to silo","CP-1 EP-2",IF(J132="cement supplement delivery to silo","CP-1 EP-3",IF(J132="weigh hopper loading","CP-1 EP-4",IF(J132="truck mix loading","CP-1 EP-5",IF(J132="central mix loading","CP-1 EP-6",IF(J132="","","CP-1 EP-1"))))))</f>
        <v/>
      </c>
      <c r="I132" s="127" t="str">
        <f>IF(J132="","",IF(J132="aggregate delivery to ground storage","CP-1 EU-1",IF(J132="sand delivery to ground storage","CP-1 EU-2",IF(J132="aggregate transfer to conveyor","CP-1 EU-3",IF(J132="sand transfer to conveyor","CP-1 EU-4",IF(J132="aggregate transfer to elevated storage","CP-1 EU-5",IF(J132="sand transfer to elevated storage","CP-1 EU-6",IF(J132="weigh hopper loading","CP-1 EU-7",IF(J132="central mix loading","CP-1 EU-8",IF(J132="truck mix loading","CP-1 EU-9",IF(J132="cement delivery to silo","CP-1 EU-10",IF(J132="cement supplement delivery to silo","CP-1 EU-11"))))))))))))</f>
        <v/>
      </c>
      <c r="J132" s="82"/>
      <c r="K132" s="61"/>
      <c r="L132" s="156"/>
      <c r="M132" s="219" t="str">
        <f>IF(J132="truck mix loading",IF($F$135="yes",L132*0.05/2000,L132/2000),"")</f>
        <v/>
      </c>
      <c r="N132" s="219" t="str">
        <f>IF(J132="central mix loading",IF($F$135="yes",L132*0.05/2000,L132/2000),"")</f>
        <v/>
      </c>
    </row>
    <row r="133" spans="2:14" ht="14.25" customHeight="1" x14ac:dyDescent="0.2">
      <c r="B133" s="79" t="str">
        <f>IF('Concrete Plant (CP-1)'!$D$4&gt;7,"County:","")</f>
        <v/>
      </c>
      <c r="C133" s="339"/>
      <c r="D133" s="340"/>
      <c r="E133" s="341"/>
      <c r="F133" s="175"/>
      <c r="G133" s="45"/>
      <c r="H133" s="127" t="str">
        <f t="shared" ref="H133:H141" si="39">IF(J133="cement delivery to silo","CP-1 EP-2",IF(J133="cement supplement delivery to silo","CP-1 EP-3",IF(J133="weigh hopper loading","CP-1 EP-4",IF(J133="truck mix loading","CP-1 EP-5",IF(J133="central mix loading","CP-1 EP-6",IF(J133="","","CP-1 EP-1"))))))</f>
        <v/>
      </c>
      <c r="I133" s="127" t="str">
        <f t="shared" ref="I133:I141" si="40">IF(J133="","",IF(J133="aggregate delivery to ground storage","CP-1 EU-1",IF(J133="sand delivery to ground storage","CP-1 EU-2",IF(J133="aggregate transfer to conveyor","CP-1 EU-3",IF(J133="sand transfer to conveyor","CP-1 EU-4",IF(J133="aggregate transfer to elevated storage","CP-1 EU-5",IF(J133="sand transfer to elevated storage","CP-1 EU-6",IF(J133="weigh hopper loading","CP-1 EU-7",IF(J133="central mix loading","CP-1 EU-8",IF(J133="truck mix loading","CP-1 EU-9",IF(J133="cement delivery to silo","CP-1 EU-10",IF(J133="cement supplement delivery to silo","CP-1 EU-11"))))))))))))</f>
        <v/>
      </c>
      <c r="J133" s="82"/>
      <c r="K133" s="61"/>
      <c r="L133" s="156"/>
      <c r="M133" s="219" t="str">
        <f t="shared" ref="M133:M141" si="41">IF(J133="truck mix loading",IF($F$135="yes",L133*0.05/2000,L133/2000),"")</f>
        <v/>
      </c>
      <c r="N133" s="219" t="str">
        <f t="shared" ref="N133:N141" si="42">IF(J133="central mix loading",IF($F$135="yes",L133*0.05/2000,L133/2000),"")</f>
        <v/>
      </c>
    </row>
    <row r="134" spans="2:14" ht="14.25" customHeight="1" x14ac:dyDescent="0.2">
      <c r="B134" s="79" t="str">
        <f>IF('Concrete Plant (CP-1)'!$D$4&gt;7,"Batching Period (Dates):","")</f>
        <v/>
      </c>
      <c r="C134" s="352"/>
      <c r="D134" s="353"/>
      <c r="E134" s="354"/>
      <c r="F134" s="175"/>
      <c r="G134" s="45"/>
      <c r="H134" s="127" t="str">
        <f t="shared" si="39"/>
        <v/>
      </c>
      <c r="I134" s="127" t="str">
        <f t="shared" si="40"/>
        <v/>
      </c>
      <c r="J134" s="82"/>
      <c r="K134" s="61"/>
      <c r="L134" s="156"/>
      <c r="M134" s="219" t="str">
        <f t="shared" si="41"/>
        <v/>
      </c>
      <c r="N134" s="219" t="str">
        <f t="shared" si="42"/>
        <v/>
      </c>
    </row>
    <row r="135" spans="2:14" ht="14.25" customHeight="1" x14ac:dyDescent="0.2">
      <c r="B135" s="51" t="str">
        <f>IF(OR(COUNTIF(J132:J141,"Truck Mix Loading")&gt;0,(COUNTIF(J132:J141,"Central Mix Loading")&gt;0)),"Is the Central/Truck Mix Loading process controlled by a baghouse?","")</f>
        <v/>
      </c>
      <c r="C135" s="51"/>
      <c r="D135" s="51"/>
      <c r="E135" s="51"/>
      <c r="F135" s="221"/>
      <c r="G135" s="45"/>
      <c r="H135" s="127" t="str">
        <f t="shared" si="39"/>
        <v/>
      </c>
      <c r="I135" s="127" t="str">
        <f t="shared" si="40"/>
        <v/>
      </c>
      <c r="J135" s="82"/>
      <c r="K135" s="61"/>
      <c r="L135" s="156"/>
      <c r="M135" s="219" t="str">
        <f t="shared" si="41"/>
        <v/>
      </c>
      <c r="N135" s="219" t="str">
        <f t="shared" si="42"/>
        <v/>
      </c>
    </row>
    <row r="136" spans="2:14" ht="14.25" customHeight="1" x14ac:dyDescent="0.2">
      <c r="C136" s="163"/>
      <c r="D136" s="163"/>
      <c r="E136" s="163"/>
      <c r="F136" s="163"/>
      <c r="G136" s="45"/>
      <c r="H136" s="127" t="str">
        <f t="shared" si="39"/>
        <v/>
      </c>
      <c r="I136" s="127" t="str">
        <f t="shared" si="40"/>
        <v/>
      </c>
      <c r="J136" s="82"/>
      <c r="K136" s="61"/>
      <c r="L136" s="156"/>
      <c r="M136" s="219" t="str">
        <f t="shared" si="41"/>
        <v/>
      </c>
      <c r="N136" s="219" t="str">
        <f t="shared" si="42"/>
        <v/>
      </c>
    </row>
    <row r="137" spans="2:14" ht="27.75" customHeight="1" x14ac:dyDescent="0.2">
      <c r="B137" s="312" t="str">
        <f>IF(AND(B139="",B140="",B141="",B142="",B143=""),"","Process (complete stack information if applicable):")</f>
        <v/>
      </c>
      <c r="C137" s="312" t="str">
        <f>IF(AND(B139="",B140="",B141="",B142="",B143=""),"","Stack Height (ft):")</f>
        <v/>
      </c>
      <c r="D137" s="312" t="str">
        <f>IF(AND(B139="",B140="",B141="",B142="",B143=""),"","Stack Diameter (inches):")</f>
        <v/>
      </c>
      <c r="E137" s="312" t="str">
        <f>IF(AND(B139="",B140="",B141="",B142="",B143=""),"","Flow Rate (acfm):")</f>
        <v/>
      </c>
      <c r="F137" s="312" t="str">
        <f>IF(AND(B139="",B140="",B141="",B142="",B143=""),"","Temp (Deg F):")</f>
        <v/>
      </c>
      <c r="G137" s="45"/>
      <c r="H137" s="127" t="str">
        <f t="shared" si="39"/>
        <v/>
      </c>
      <c r="I137" s="127" t="str">
        <f t="shared" si="40"/>
        <v/>
      </c>
      <c r="J137" s="82"/>
      <c r="K137" s="61"/>
      <c r="L137" s="156"/>
      <c r="M137" s="219" t="str">
        <f t="shared" si="41"/>
        <v/>
      </c>
      <c r="N137" s="219" t="str">
        <f t="shared" si="42"/>
        <v/>
      </c>
    </row>
    <row r="138" spans="2:14" ht="14.25" customHeight="1" x14ac:dyDescent="0.2">
      <c r="B138" s="312"/>
      <c r="C138" s="312"/>
      <c r="D138" s="312"/>
      <c r="E138" s="312"/>
      <c r="F138" s="312"/>
      <c r="G138" s="45"/>
      <c r="H138" s="127" t="str">
        <f t="shared" si="39"/>
        <v/>
      </c>
      <c r="I138" s="127" t="str">
        <f t="shared" si="40"/>
        <v/>
      </c>
      <c r="J138" s="82"/>
      <c r="K138" s="61"/>
      <c r="L138" s="156"/>
      <c r="M138" s="219" t="str">
        <f t="shared" si="41"/>
        <v/>
      </c>
      <c r="N138" s="219" t="str">
        <f t="shared" si="42"/>
        <v/>
      </c>
    </row>
    <row r="139" spans="2:14" ht="14.25" customHeight="1" x14ac:dyDescent="0.2">
      <c r="B139" s="45" t="str">
        <f>IF(COUNTIF(J132:J141,"Cement Delivery to Silo")&gt;0,"EP-2 Cement Silo Stack:","")</f>
        <v/>
      </c>
      <c r="C139" s="221"/>
      <c r="D139" s="221"/>
      <c r="E139" s="221"/>
      <c r="F139" s="221"/>
      <c r="G139" s="45"/>
      <c r="H139" s="127" t="str">
        <f t="shared" si="39"/>
        <v/>
      </c>
      <c r="I139" s="127" t="str">
        <f t="shared" si="40"/>
        <v/>
      </c>
      <c r="J139" s="82"/>
      <c r="K139" s="61"/>
      <c r="L139" s="156"/>
      <c r="M139" s="219" t="str">
        <f t="shared" si="41"/>
        <v/>
      </c>
      <c r="N139" s="219" t="str">
        <f t="shared" si="42"/>
        <v/>
      </c>
    </row>
    <row r="140" spans="2:14" ht="14.25" customHeight="1" x14ac:dyDescent="0.2">
      <c r="B140" s="45" t="str">
        <f>IF(COUNTIF(J132:J141,"Cement Supplement Delivery to Silo")&gt;0,"EP-3 Cement Supplement Silo Stack:","")</f>
        <v/>
      </c>
      <c r="C140" s="221"/>
      <c r="D140" s="221"/>
      <c r="E140" s="221"/>
      <c r="F140" s="221"/>
      <c r="G140" s="45"/>
      <c r="H140" s="127" t="str">
        <f t="shared" si="39"/>
        <v/>
      </c>
      <c r="I140" s="127" t="str">
        <f t="shared" si="40"/>
        <v/>
      </c>
      <c r="J140" s="82"/>
      <c r="K140" s="61"/>
      <c r="L140" s="156"/>
      <c r="M140" s="219" t="str">
        <f t="shared" si="41"/>
        <v/>
      </c>
      <c r="N140" s="219" t="str">
        <f t="shared" si="42"/>
        <v/>
      </c>
    </row>
    <row r="141" spans="2:14" ht="14.25" customHeight="1" x14ac:dyDescent="0.2">
      <c r="B141" s="45" t="str">
        <f>IF(COUNTIF(J132:J141,"Weigh Hopper Loading")&gt;0,"EP-4 Weigh Hopper Loading Stack:","")</f>
        <v/>
      </c>
      <c r="C141" s="221"/>
      <c r="D141" s="221"/>
      <c r="E141" s="221"/>
      <c r="F141" s="221"/>
      <c r="G141" s="45"/>
      <c r="H141" s="127" t="str">
        <f t="shared" si="39"/>
        <v/>
      </c>
      <c r="I141" s="127" t="str">
        <f t="shared" si="40"/>
        <v/>
      </c>
      <c r="J141" s="82"/>
      <c r="K141" s="61"/>
      <c r="L141" s="156"/>
      <c r="M141" s="219" t="str">
        <f t="shared" si="41"/>
        <v/>
      </c>
      <c r="N141" s="219" t="str">
        <f t="shared" si="42"/>
        <v/>
      </c>
    </row>
    <row r="142" spans="2:14" ht="14.25" customHeight="1" x14ac:dyDescent="0.2">
      <c r="B142" s="45" t="str">
        <f>IF(COUNTIF(J132:J141,"Truck Mix Loading")&gt;0,"EP-5 Truck Mix Loading Stack:","")</f>
        <v/>
      </c>
      <c r="C142" s="221"/>
      <c r="D142" s="221"/>
      <c r="E142" s="221"/>
      <c r="F142" s="221"/>
      <c r="G142" s="45"/>
      <c r="H142" s="45"/>
      <c r="I142" s="45"/>
    </row>
    <row r="143" spans="2:14" ht="14.25" customHeight="1" x14ac:dyDescent="0.2">
      <c r="B143" s="45" t="str">
        <f>IF(COUNTIF(J132:J141,"Central Mix Loading")&gt;0,"EP-6 Central Mix Loading Stack:","")</f>
        <v/>
      </c>
      <c r="C143" s="221"/>
      <c r="D143" s="221"/>
      <c r="E143" s="221"/>
      <c r="F143" s="221"/>
      <c r="H143" s="74" t="str">
        <f>IF('Concrete Plant (CP-1)'!$D$4&gt;7,"Stock Pile Area","")</f>
        <v/>
      </c>
      <c r="I143" s="74"/>
      <c r="J143" s="75"/>
    </row>
    <row r="144" spans="2:14" ht="14.25" customHeight="1" x14ac:dyDescent="0.2">
      <c r="B144" s="73"/>
      <c r="C144" s="163"/>
      <c r="D144" s="163"/>
      <c r="E144" s="163"/>
      <c r="F144" s="163"/>
      <c r="G144" s="76"/>
      <c r="I144" s="51" t="str">
        <f>IF('Concrete Plant (CP-1)'!$D$4&gt;7,"Emission Unit #","")</f>
        <v/>
      </c>
      <c r="J144" s="80" t="str">
        <f>IF('Concrete Plant (CP-1)'!$D$4&gt;7,"Maximum Storage Area (acres)","")</f>
        <v/>
      </c>
      <c r="K144" s="81" t="str">
        <f>IF('Concrete Plant (CP-1)'!$D$4&gt;7,"Actual Storage Area (acres)","")</f>
        <v/>
      </c>
      <c r="L144" s="80" t="str">
        <f>IF('Concrete Plant (CP-1)'!$D$4&gt;7,"Actual Days in Existence (days)","")</f>
        <v/>
      </c>
      <c r="M144" s="146"/>
      <c r="N144" s="146"/>
    </row>
    <row r="145" spans="2:14" ht="14.25" customHeight="1" x14ac:dyDescent="0.2">
      <c r="B145" s="73"/>
      <c r="C145" s="163"/>
      <c r="D145" s="163"/>
      <c r="E145" s="163"/>
      <c r="F145" s="163"/>
      <c r="I145" s="65"/>
      <c r="J145" s="102"/>
      <c r="K145" s="66"/>
      <c r="L145" s="102"/>
      <c r="M145" s="146"/>
      <c r="N145" s="146"/>
    </row>
    <row r="146" spans="2:14" ht="30" customHeight="1" x14ac:dyDescent="0.2">
      <c r="B146" s="73"/>
      <c r="C146" s="163"/>
      <c r="D146" s="163"/>
      <c r="E146" s="163"/>
      <c r="F146" s="163"/>
    </row>
    <row r="147" spans="2:14" ht="28.5" customHeight="1" x14ac:dyDescent="0.25">
      <c r="B147" s="78" t="str">
        <f>IF('Concrete Plant (CP-1)'!$D$4&gt;8,"Batch Plant","")</f>
        <v/>
      </c>
      <c r="C147" s="71" t="str">
        <f>IF('Concrete Plant (CP-1)'!$D$4&gt;8,"Site 9","")</f>
        <v/>
      </c>
      <c r="D147" s="71"/>
      <c r="E147" s="71"/>
      <c r="F147" s="71"/>
      <c r="H147" s="310" t="str">
        <f>IF('Concrete Plant (CP-1)'!$D$4&gt;8,"Emission Point #","")</f>
        <v/>
      </c>
      <c r="I147" s="310" t="str">
        <f>IF('Concrete Plant (CP-1)'!$D$4&gt;8,"Emission     Unit #","")</f>
        <v/>
      </c>
      <c r="J147" s="310" t="str">
        <f>IF('Concrete Plant (CP-1)'!$D$4&gt;8,"Processes","")</f>
        <v/>
      </c>
      <c r="K147" s="311" t="str">
        <f>IF('Concrete Plant (CP-1)'!$D$4&gt;8,"Combined Maximum Hourly Design Rate for all Like Processes (cubic yard/hr)","")</f>
        <v/>
      </c>
      <c r="L147" s="310" t="str">
        <f>IF('Concrete Plant (CP-1)'!$D$4&gt;8,('Facility Information'!G5&amp;" Annual Throughput (cubic yards)"),"")</f>
        <v/>
      </c>
      <c r="M147" s="217"/>
      <c r="N147" s="217"/>
    </row>
    <row r="148" spans="2:14" ht="14.25" customHeight="1" x14ac:dyDescent="0.2">
      <c r="B148" s="79" t="str">
        <f>IF('Concrete Plant (CP-1)'!$D$4&gt;8,"Site Name:","")</f>
        <v/>
      </c>
      <c r="C148" s="349"/>
      <c r="D148" s="350"/>
      <c r="E148" s="351"/>
      <c r="F148" s="175"/>
      <c r="G148" s="45"/>
      <c r="H148" s="127" t="str">
        <f>IF(J148="cement delivery to silo","CP-1 EP-2",IF(J148="cement supplement delivery to silo","CP-1 EP-3",IF(J148="weigh hopper loading","CP-1 EP-4",IF(J148="truck mix loading","CP-1 EP-5",IF(J148="central mix loading","CP-1 EP-6",IF(J148="","","CP-1 EP-1"))))))</f>
        <v/>
      </c>
      <c r="I148" s="127" t="str">
        <f>IF(J148="","",IF(J148="aggregate delivery to ground storage","CP-1 EU-1",IF(J148="sand delivery to ground storage","CP-1 EU-2",IF(J148="aggregate transfer to conveyor","CP-1 EU-3",IF(J148="sand transfer to conveyor","CP-1 EU-4",IF(J148="aggregate transfer to elevated storage","CP-1 EU-5",IF(J148="sand transfer to elevated storage","CP-1 EU-6",IF(J148="weigh hopper loading","CP-1 EU-7",IF(J148="central mix loading","CP-1 EU-8",IF(J148="truck mix loading","CP-1 EU-9",IF(J148="cement delivery to silo","CP-1 EU-10",IF(J148="cement supplement delivery to silo","CP-1 EU-11"))))))))))))</f>
        <v/>
      </c>
      <c r="J148" s="82"/>
      <c r="K148" s="61"/>
      <c r="L148" s="156"/>
      <c r="M148" s="219" t="str">
        <f>IF(J148="truck mix loading",IF($F$151="yes",L148*0.05/2000,L148/2000),"")</f>
        <v/>
      </c>
      <c r="N148" s="219" t="str">
        <f>IF(J148="central mix loading",IF($F$151="yes",L148*0.05/2000,L148/2000),"")</f>
        <v/>
      </c>
    </row>
    <row r="149" spans="2:14" ht="14.25" customHeight="1" x14ac:dyDescent="0.2">
      <c r="B149" s="79" t="str">
        <f>IF('Concrete Plant (CP-1)'!$D$4&gt;8,"County:","")</f>
        <v/>
      </c>
      <c r="C149" s="339"/>
      <c r="D149" s="340"/>
      <c r="E149" s="341"/>
      <c r="F149" s="175"/>
      <c r="G149" s="45"/>
      <c r="H149" s="127" t="str">
        <f t="shared" ref="H149:H157" si="43">IF(J149="cement delivery to silo","CP-1 EP-2",IF(J149="cement supplement delivery to silo","CP-1 EP-3",IF(J149="weigh hopper loading","CP-1 EP-4",IF(J149="truck mix loading","CP-1 EP-5",IF(J149="central mix loading","CP-1 EP-6",IF(J149="","","CP-1 EP-1"))))))</f>
        <v/>
      </c>
      <c r="I149" s="127" t="str">
        <f t="shared" ref="I149:I157" si="44">IF(J149="","",IF(J149="aggregate delivery to ground storage","CP-1 EU-1",IF(J149="sand delivery to ground storage","CP-1 EU-2",IF(J149="aggregate transfer to conveyor","CP-1 EU-3",IF(J149="sand transfer to conveyor","CP-1 EU-4",IF(J149="aggregate transfer to elevated storage","CP-1 EU-5",IF(J149="sand transfer to elevated storage","CP-1 EU-6",IF(J149="weigh hopper loading","CP-1 EU-7",IF(J149="central mix loading","CP-1 EU-8",IF(J149="truck mix loading","CP-1 EU-9",IF(J149="cement delivery to silo","CP-1 EU-10",IF(J149="cement supplement delivery to silo","CP-1 EU-11"))))))))))))</f>
        <v/>
      </c>
      <c r="J149" s="82"/>
      <c r="K149" s="61"/>
      <c r="L149" s="156"/>
      <c r="M149" s="219" t="str">
        <f t="shared" ref="M149:M157" si="45">IF(J149="truck mix loading",IF($F$151="yes",L149*0.05/2000,L149/2000),"")</f>
        <v/>
      </c>
      <c r="N149" s="219" t="str">
        <f t="shared" ref="N149:N157" si="46">IF(J149="central mix loading",IF($F$151="yes",L149*0.05/2000,L149/2000),"")</f>
        <v/>
      </c>
    </row>
    <row r="150" spans="2:14" ht="14.25" customHeight="1" x14ac:dyDescent="0.2">
      <c r="B150" s="79" t="str">
        <f>IF('Concrete Plant (CP-1)'!$D$4&gt;8,"Batching Period (Dates):","")</f>
        <v/>
      </c>
      <c r="C150" s="352"/>
      <c r="D150" s="353"/>
      <c r="E150" s="354"/>
      <c r="F150" s="175"/>
      <c r="G150" s="45"/>
      <c r="H150" s="127" t="str">
        <f t="shared" si="43"/>
        <v/>
      </c>
      <c r="I150" s="127" t="str">
        <f t="shared" si="44"/>
        <v/>
      </c>
      <c r="J150" s="82"/>
      <c r="K150" s="61"/>
      <c r="L150" s="156"/>
      <c r="M150" s="219" t="str">
        <f t="shared" si="45"/>
        <v/>
      </c>
      <c r="N150" s="219" t="str">
        <f t="shared" si="46"/>
        <v/>
      </c>
    </row>
    <row r="151" spans="2:14" ht="14.25" customHeight="1" x14ac:dyDescent="0.2">
      <c r="B151" s="51" t="str">
        <f>IF(OR(COUNTIF(J148:J157,"Truck Mix Loading")&gt;0,(COUNTIF(J148:J157,"Central Mix Loading")&gt;0)),"Is the Central/Truck Mix Loading process controlled by a baghouse?","")</f>
        <v/>
      </c>
      <c r="C151" s="51"/>
      <c r="D151" s="51"/>
      <c r="E151" s="51"/>
      <c r="F151" s="221"/>
      <c r="G151" s="45"/>
      <c r="H151" s="127" t="str">
        <f t="shared" si="43"/>
        <v/>
      </c>
      <c r="I151" s="127" t="str">
        <f t="shared" si="44"/>
        <v/>
      </c>
      <c r="J151" s="82"/>
      <c r="K151" s="61"/>
      <c r="L151" s="156"/>
      <c r="M151" s="219" t="str">
        <f t="shared" si="45"/>
        <v/>
      </c>
      <c r="N151" s="219" t="str">
        <f t="shared" si="46"/>
        <v/>
      </c>
    </row>
    <row r="152" spans="2:14" ht="14.25" customHeight="1" x14ac:dyDescent="0.2">
      <c r="C152" s="163"/>
      <c r="D152" s="163"/>
      <c r="E152" s="163"/>
      <c r="F152" s="176"/>
      <c r="G152" s="45"/>
      <c r="H152" s="127" t="str">
        <f t="shared" si="43"/>
        <v/>
      </c>
      <c r="I152" s="127" t="str">
        <f t="shared" si="44"/>
        <v/>
      </c>
      <c r="J152" s="82"/>
      <c r="K152" s="61"/>
      <c r="L152" s="156"/>
      <c r="M152" s="219" t="str">
        <f t="shared" si="45"/>
        <v/>
      </c>
      <c r="N152" s="219" t="str">
        <f t="shared" si="46"/>
        <v/>
      </c>
    </row>
    <row r="153" spans="2:14" ht="27" customHeight="1" x14ac:dyDescent="0.2">
      <c r="B153" s="312" t="str">
        <f>IF(AND(B155="",B156="",B157="",B158="",B159=""),"","Process (complete stack information if applicable):")</f>
        <v/>
      </c>
      <c r="C153" s="312" t="str">
        <f>IF(AND(B155="",B156="",B157="",B158="",B159=""),"","Stack Height (ft):")</f>
        <v/>
      </c>
      <c r="D153" s="312" t="str">
        <f>IF(AND(B155="",B156="",B157="",B158="",B159=""),"","Stack Diameter (inches):")</f>
        <v/>
      </c>
      <c r="E153" s="312" t="str">
        <f>IF(AND(B155="",B156="",B157="",B158="",B159=""),"","Flow Rate (acfm):")</f>
        <v/>
      </c>
      <c r="F153" s="312" t="str">
        <f>IF(AND(B155="",B156="",B157="",B158="",B159=""),"","Temp (Deg F):")</f>
        <v/>
      </c>
      <c r="G153" s="45"/>
      <c r="H153" s="127" t="str">
        <f t="shared" si="43"/>
        <v/>
      </c>
      <c r="I153" s="127" t="str">
        <f t="shared" si="44"/>
        <v/>
      </c>
      <c r="J153" s="82"/>
      <c r="K153" s="61"/>
      <c r="L153" s="156"/>
      <c r="M153" s="219" t="str">
        <f t="shared" si="45"/>
        <v/>
      </c>
      <c r="N153" s="219" t="str">
        <f t="shared" si="46"/>
        <v/>
      </c>
    </row>
    <row r="154" spans="2:14" ht="14.25" customHeight="1" x14ac:dyDescent="0.2">
      <c r="B154" s="312"/>
      <c r="C154" s="312"/>
      <c r="D154" s="312"/>
      <c r="E154" s="312"/>
      <c r="F154" s="312"/>
      <c r="G154" s="45"/>
      <c r="H154" s="127" t="str">
        <f t="shared" si="43"/>
        <v/>
      </c>
      <c r="I154" s="127" t="str">
        <f t="shared" si="44"/>
        <v/>
      </c>
      <c r="J154" s="82"/>
      <c r="K154" s="61"/>
      <c r="L154" s="156"/>
      <c r="M154" s="219" t="str">
        <f t="shared" si="45"/>
        <v/>
      </c>
      <c r="N154" s="219" t="str">
        <f t="shared" si="46"/>
        <v/>
      </c>
    </row>
    <row r="155" spans="2:14" ht="14.25" customHeight="1" x14ac:dyDescent="0.2">
      <c r="B155" s="45" t="str">
        <f>IF(COUNTIF(J148:J157,"Cement Delivery to Silo")&gt;0,"EP-2 Cement Silo Stack:","")</f>
        <v/>
      </c>
      <c r="C155" s="221"/>
      <c r="D155" s="221"/>
      <c r="E155" s="221"/>
      <c r="F155" s="221"/>
      <c r="G155" s="45"/>
      <c r="H155" s="127" t="str">
        <f t="shared" si="43"/>
        <v/>
      </c>
      <c r="I155" s="127" t="str">
        <f t="shared" si="44"/>
        <v/>
      </c>
      <c r="J155" s="82"/>
      <c r="K155" s="61"/>
      <c r="L155" s="156"/>
      <c r="M155" s="219" t="str">
        <f t="shared" si="45"/>
        <v/>
      </c>
      <c r="N155" s="219" t="str">
        <f t="shared" si="46"/>
        <v/>
      </c>
    </row>
    <row r="156" spans="2:14" ht="14.25" customHeight="1" x14ac:dyDescent="0.2">
      <c r="B156" s="45" t="str">
        <f>IF(COUNTIF(J148:J157,"Cement Supplement Delivery to Silo")&gt;0,"EP-3 Cement Supplement Silo Stack:","")</f>
        <v/>
      </c>
      <c r="C156" s="221"/>
      <c r="D156" s="221"/>
      <c r="E156" s="221"/>
      <c r="F156" s="221"/>
      <c r="G156" s="45"/>
      <c r="H156" s="127" t="str">
        <f t="shared" si="43"/>
        <v/>
      </c>
      <c r="I156" s="127" t="str">
        <f t="shared" si="44"/>
        <v/>
      </c>
      <c r="J156" s="82"/>
      <c r="K156" s="61"/>
      <c r="L156" s="156"/>
      <c r="M156" s="219" t="str">
        <f t="shared" si="45"/>
        <v/>
      </c>
      <c r="N156" s="219" t="str">
        <f t="shared" si="46"/>
        <v/>
      </c>
    </row>
    <row r="157" spans="2:14" ht="14.25" customHeight="1" x14ac:dyDescent="0.2">
      <c r="B157" s="45" t="str">
        <f>IF(COUNTIF(J148:J157,"Weigh Hopper Loading")&gt;0,"EP-4 Weigh Hopper Loading Stack:","")</f>
        <v/>
      </c>
      <c r="C157" s="221"/>
      <c r="D157" s="221"/>
      <c r="E157" s="221"/>
      <c r="F157" s="221"/>
      <c r="H157" s="127" t="str">
        <f t="shared" si="43"/>
        <v/>
      </c>
      <c r="I157" s="127" t="str">
        <f t="shared" si="44"/>
        <v/>
      </c>
      <c r="J157" s="82"/>
      <c r="K157" s="61"/>
      <c r="L157" s="156"/>
      <c r="M157" s="219" t="str">
        <f t="shared" si="45"/>
        <v/>
      </c>
      <c r="N157" s="219" t="str">
        <f t="shared" si="46"/>
        <v/>
      </c>
    </row>
    <row r="158" spans="2:14" ht="14.25" customHeight="1" x14ac:dyDescent="0.2">
      <c r="B158" s="45" t="str">
        <f>IF(COUNTIF(J148:J157,"Truck Mix Loading")&gt;0,"EP-5 Truck Mix Loading Stack:","")</f>
        <v/>
      </c>
      <c r="C158" s="221"/>
      <c r="D158" s="221"/>
      <c r="E158" s="221"/>
      <c r="F158" s="221"/>
      <c r="G158" s="76"/>
      <c r="H158" s="45"/>
      <c r="I158" s="45"/>
    </row>
    <row r="159" spans="2:14" ht="14.25" customHeight="1" x14ac:dyDescent="0.2">
      <c r="B159" s="45" t="str">
        <f>IF(COUNTIF(J148:J157,"Central Mix Loading")&gt;0,"EP-6 Central Mix Loading Stack:","")</f>
        <v/>
      </c>
      <c r="C159" s="221"/>
      <c r="D159" s="221"/>
      <c r="E159" s="221"/>
      <c r="F159" s="221"/>
      <c r="H159" s="74" t="str">
        <f>IF('Concrete Plant (CP-1)'!$D$4&gt;8,"Stock Pile Area","")</f>
        <v/>
      </c>
      <c r="I159" s="74"/>
      <c r="J159" s="75"/>
    </row>
    <row r="160" spans="2:14" ht="14.25" customHeight="1" x14ac:dyDescent="0.2">
      <c r="B160" s="73"/>
      <c r="C160" s="163"/>
      <c r="D160" s="163"/>
      <c r="E160" s="163"/>
      <c r="F160" s="163"/>
      <c r="I160" s="51" t="str">
        <f>IF('Concrete Plant (CP-1)'!$D$4&gt;8,"Emission Unit #","")</f>
        <v/>
      </c>
      <c r="J160" s="80" t="str">
        <f>IF('Concrete Plant (CP-1)'!$D$4&gt;8,"Maximum Storage Area (acres)","")</f>
        <v/>
      </c>
      <c r="K160" s="81" t="str">
        <f>IF('Concrete Plant (CP-1)'!$D$4&gt;8,"Actual Storage Area (acres)","")</f>
        <v/>
      </c>
      <c r="L160" s="80" t="str">
        <f>IF('Concrete Plant (CP-1)'!$D$4&gt;8,"Actual Days in Existence (days)","")</f>
        <v/>
      </c>
      <c r="M160" s="146"/>
      <c r="N160" s="146"/>
    </row>
    <row r="161" spans="2:14" ht="14.25" customHeight="1" x14ac:dyDescent="0.2">
      <c r="B161" s="73"/>
      <c r="C161" s="163"/>
      <c r="D161" s="163"/>
      <c r="E161" s="163"/>
      <c r="F161" s="163"/>
      <c r="I161" s="65"/>
      <c r="J161" s="102"/>
      <c r="K161" s="66"/>
      <c r="L161" s="102"/>
      <c r="M161" s="146"/>
      <c r="N161" s="146"/>
    </row>
    <row r="162" spans="2:14" ht="14.25" customHeight="1" x14ac:dyDescent="0.2">
      <c r="B162" s="73"/>
      <c r="C162" s="163"/>
      <c r="D162" s="163"/>
      <c r="E162" s="163"/>
      <c r="F162" s="163"/>
    </row>
    <row r="164" spans="2:14" ht="28.5" customHeight="1" x14ac:dyDescent="0.25">
      <c r="B164" s="78" t="str">
        <f>IF('Concrete Plant (CP-1)'!$D$4&gt;9,"Batch Plant","")</f>
        <v/>
      </c>
      <c r="C164" s="71" t="str">
        <f>IF('Concrete Plant (CP-1)'!$D$4&gt;9,"Site 10","")</f>
        <v/>
      </c>
      <c r="D164" s="71"/>
      <c r="E164" s="71"/>
      <c r="F164" s="71"/>
      <c r="H164" s="310" t="str">
        <f>IF('Concrete Plant (CP-1)'!$D$4&gt;9,"Emission Point #","")</f>
        <v/>
      </c>
      <c r="I164" s="310" t="str">
        <f>IF('Concrete Plant (CP-1)'!$D$4&gt;9,"Emission     Unit #","")</f>
        <v/>
      </c>
      <c r="J164" s="310" t="str">
        <f>IF('Concrete Plant (CP-1)'!$D$4&gt;9,"Processes","")</f>
        <v/>
      </c>
      <c r="K164" s="311" t="str">
        <f>IF('Concrete Plant (CP-1)'!$D$4&gt;9,"Combined Maximum Hourly Design Rate for all Like Processes (cubic yard/hr)","")</f>
        <v/>
      </c>
      <c r="L164" s="310" t="str">
        <f>IF('Concrete Plant (CP-1)'!$D$4&gt;9,('Facility Information'!G5&amp;" Annual Throughput (cubic yards)"),"")</f>
        <v/>
      </c>
      <c r="M164" s="217"/>
      <c r="N164" s="217"/>
    </row>
    <row r="165" spans="2:14" ht="14.25" customHeight="1" x14ac:dyDescent="0.2">
      <c r="B165" s="79" t="str">
        <f>IF('Concrete Plant (CP-1)'!$D$4&gt;9,"Site Name:","")</f>
        <v/>
      </c>
      <c r="C165" s="349"/>
      <c r="D165" s="350"/>
      <c r="E165" s="351"/>
      <c r="F165" s="175"/>
      <c r="H165" s="127" t="str">
        <f>IF(J165="cement delivery to silo","CP-1 EP-2",IF(J165="cement supplement delivery to silo","CP-1 EP-3",IF(J165="weigh hopper loading","CP-1 EP-4",IF(J165="truck mix loading","CP-1 EP-5",IF(J165="central mix loading","CP-1 EP-6",IF(J165="","","CP-1 EP-1"))))))</f>
        <v/>
      </c>
      <c r="I165" s="127" t="str">
        <f>IF(J165="","",IF(J165="aggregate delivery to ground storage","CP-1 EU-1",IF(J165="sand delivery to ground storage","CP-1 EU-2",IF(J165="aggregate transfer to conveyor","CP-1 EU-3",IF(J165="sand transfer to conveyor","CP-1 EU-4",IF(J165="aggregate transfer to elevated storage","CP-1 EU-5",IF(J165="sand transfer to elevated storage","CP-1 EU-6",IF(J165="weigh hopper loading","CP-1 EU-7",IF(J165="central mix loading","CP-1 EU-8",IF(J165="truck mix loading","CP-1 EU-9",IF(J165="cement delivery to silo","CP-1 EU-10",IF(J165="cement supplement delivery to silo","CP-1 EU-11"))))))))))))</f>
        <v/>
      </c>
      <c r="J165" s="82"/>
      <c r="K165" s="61"/>
      <c r="L165" s="156"/>
      <c r="M165" s="219" t="str">
        <f>IF(J165="truck mix loading",IF($F$168="yes",L165*0.05/2000,L165/2000),"")</f>
        <v/>
      </c>
      <c r="N165" s="219" t="str">
        <f>IF(J165="central mix loading",IF($F$168="yes",L165*0.05/2000,L165/2000),"")</f>
        <v/>
      </c>
    </row>
    <row r="166" spans="2:14" ht="14.25" customHeight="1" x14ac:dyDescent="0.2">
      <c r="B166" s="79" t="str">
        <f>IF('Concrete Plant (CP-1)'!$D$4&gt;9,"County:","")</f>
        <v/>
      </c>
      <c r="C166" s="339"/>
      <c r="D166" s="340"/>
      <c r="E166" s="341"/>
      <c r="F166" s="175"/>
      <c r="H166" s="127" t="str">
        <f t="shared" ref="H166:H174" si="47">IF(J166="cement delivery to silo","CP-1 EP-2",IF(J166="cement supplement delivery to silo","CP-1 EP-3",IF(J166="weigh hopper loading","CP-1 EP-4",IF(J166="truck mix loading","CP-1 EP-5",IF(J166="central mix loading","CP-1 EP-6",IF(J166="","","CP-1 EP-1"))))))</f>
        <v/>
      </c>
      <c r="I166" s="127" t="str">
        <f t="shared" ref="I166:I174" si="48">IF(J166="","",IF(J166="aggregate delivery to ground storage","CP-1 EU-1",IF(J166="sand delivery to ground storage","CP-1 EU-2",IF(J166="aggregate transfer to conveyor","CP-1 EU-3",IF(J166="sand transfer to conveyor","CP-1 EU-4",IF(J166="aggregate transfer to elevated storage","CP-1 EU-5",IF(J166="sand transfer to elevated storage","CP-1 EU-6",IF(J166="weigh hopper loading","CP-1 EU-7",IF(J166="central mix loading","CP-1 EU-8",IF(J166="truck mix loading","CP-1 EU-9",IF(J166="cement delivery to silo","CP-1 EU-10",IF(J166="cement supplement delivery to silo","CP-1 EU-11"))))))))))))</f>
        <v/>
      </c>
      <c r="J166" s="82"/>
      <c r="K166" s="61"/>
      <c r="L166" s="156"/>
      <c r="M166" s="219" t="str">
        <f t="shared" ref="M166:M174" si="49">IF(J166="truck mix loading",IF($F$168="yes",L166*0.05/2000,L166/2000),"")</f>
        <v/>
      </c>
      <c r="N166" s="219" t="str">
        <f t="shared" ref="N166:N174" si="50">IF(J166="central mix loading",IF($F$168="yes",L166*0.05/2000,L166/2000),"")</f>
        <v/>
      </c>
    </row>
    <row r="167" spans="2:14" ht="14.25" customHeight="1" x14ac:dyDescent="0.2">
      <c r="B167" s="79" t="str">
        <f>IF('Concrete Plant (CP-1)'!$D$4&gt;9,"Batching Period (Dates):","")</f>
        <v/>
      </c>
      <c r="C167" s="352"/>
      <c r="D167" s="353"/>
      <c r="E167" s="354"/>
      <c r="F167" s="175"/>
      <c r="H167" s="127" t="str">
        <f t="shared" si="47"/>
        <v/>
      </c>
      <c r="I167" s="127" t="str">
        <f t="shared" si="48"/>
        <v/>
      </c>
      <c r="J167" s="82"/>
      <c r="K167" s="61"/>
      <c r="L167" s="156"/>
      <c r="M167" s="219" t="str">
        <f t="shared" si="49"/>
        <v/>
      </c>
      <c r="N167" s="219" t="str">
        <f t="shared" si="50"/>
        <v/>
      </c>
    </row>
    <row r="168" spans="2:14" ht="14.25" customHeight="1" x14ac:dyDescent="0.2">
      <c r="B168" s="51" t="str">
        <f>IF(OR(COUNTIF(J165:J174,"Truck Mix Loading")&gt;0,(COUNTIF(J165:J174,"Central Mix Loading")&gt;0)),"Is the Central/Truck Mix Loading process controlled by a baghouse?","")</f>
        <v/>
      </c>
      <c r="C168" s="51"/>
      <c r="D168" s="51"/>
      <c r="E168" s="51"/>
      <c r="F168" s="221"/>
      <c r="H168" s="127" t="str">
        <f t="shared" si="47"/>
        <v/>
      </c>
      <c r="I168" s="127" t="str">
        <f t="shared" si="48"/>
        <v/>
      </c>
      <c r="J168" s="82"/>
      <c r="K168" s="61"/>
      <c r="L168" s="156"/>
      <c r="M168" s="219" t="str">
        <f t="shared" si="49"/>
        <v/>
      </c>
      <c r="N168" s="219" t="str">
        <f t="shared" si="50"/>
        <v/>
      </c>
    </row>
    <row r="169" spans="2:14" ht="14.25" customHeight="1" x14ac:dyDescent="0.2">
      <c r="C169" s="163"/>
      <c r="D169" s="163"/>
      <c r="E169" s="163"/>
      <c r="F169" s="163"/>
      <c r="H169" s="127" t="str">
        <f t="shared" si="47"/>
        <v/>
      </c>
      <c r="I169" s="127" t="str">
        <f t="shared" si="48"/>
        <v/>
      </c>
      <c r="J169" s="82"/>
      <c r="K169" s="61"/>
      <c r="L169" s="156"/>
      <c r="M169" s="219" t="str">
        <f t="shared" si="49"/>
        <v/>
      </c>
      <c r="N169" s="219" t="str">
        <f t="shared" si="50"/>
        <v/>
      </c>
    </row>
    <row r="170" spans="2:14" ht="28.5" customHeight="1" x14ac:dyDescent="0.2">
      <c r="B170" s="312" t="str">
        <f>IF(AND(B172="",B173="",B174="",B175="",B176=""),"","Process (complete stack information if applicable):")</f>
        <v/>
      </c>
      <c r="C170" s="312" t="str">
        <f>IF(AND(B172="",B173="",B174="",B175="",B176=""),"","Stack Height (ft):")</f>
        <v/>
      </c>
      <c r="D170" s="312" t="str">
        <f>IF(AND(B172="",B173="",B174="",B175="",B176=""),"","Stack Diameter (inches):")</f>
        <v/>
      </c>
      <c r="E170" s="312" t="str">
        <f>IF(AND(B172="",B173="",B174="",B175="",B176=""),"","Flow Rate (acfm):")</f>
        <v/>
      </c>
      <c r="F170" s="312" t="str">
        <f>IF(AND(B172="",B173="",B174="",B175="",B176=""),"","Temp (Deg F):")</f>
        <v/>
      </c>
      <c r="H170" s="127" t="str">
        <f t="shared" si="47"/>
        <v/>
      </c>
      <c r="I170" s="127" t="str">
        <f t="shared" si="48"/>
        <v/>
      </c>
      <c r="J170" s="82"/>
      <c r="K170" s="61"/>
      <c r="L170" s="156"/>
      <c r="M170" s="219" t="str">
        <f t="shared" si="49"/>
        <v/>
      </c>
      <c r="N170" s="219" t="str">
        <f t="shared" si="50"/>
        <v/>
      </c>
    </row>
    <row r="171" spans="2:14" ht="14.25" customHeight="1" x14ac:dyDescent="0.2">
      <c r="B171" s="312"/>
      <c r="C171" s="312"/>
      <c r="D171" s="312"/>
      <c r="E171" s="312"/>
      <c r="F171" s="312"/>
      <c r="H171" s="127" t="str">
        <f t="shared" si="47"/>
        <v/>
      </c>
      <c r="I171" s="127" t="str">
        <f t="shared" si="48"/>
        <v/>
      </c>
      <c r="J171" s="82"/>
      <c r="K171" s="61"/>
      <c r="L171" s="156"/>
      <c r="M171" s="219" t="str">
        <f t="shared" si="49"/>
        <v/>
      </c>
      <c r="N171" s="219" t="str">
        <f t="shared" si="50"/>
        <v/>
      </c>
    </row>
    <row r="172" spans="2:14" ht="14.25" customHeight="1" x14ac:dyDescent="0.2">
      <c r="B172" s="45" t="str">
        <f>IF(COUNTIF(J165:J174,"Cement Delivery to Silo")&gt;0,"EP-2 Cement Silo Stack:","")</f>
        <v/>
      </c>
      <c r="C172" s="221"/>
      <c r="D172" s="221"/>
      <c r="E172" s="221"/>
      <c r="F172" s="221"/>
      <c r="H172" s="127" t="str">
        <f t="shared" si="47"/>
        <v/>
      </c>
      <c r="I172" s="127" t="str">
        <f t="shared" si="48"/>
        <v/>
      </c>
      <c r="J172" s="82"/>
      <c r="K172" s="61"/>
      <c r="L172" s="156"/>
      <c r="M172" s="219" t="str">
        <f t="shared" si="49"/>
        <v/>
      </c>
      <c r="N172" s="219" t="str">
        <f t="shared" si="50"/>
        <v/>
      </c>
    </row>
    <row r="173" spans="2:14" ht="14.25" customHeight="1" x14ac:dyDescent="0.2">
      <c r="B173" s="45" t="str">
        <f>IF(COUNTIF(J165:J174,"Cement Supplement Delivery to Silo")&gt;0,"EP-3 Cement Supplement Silo Stack:","")</f>
        <v/>
      </c>
      <c r="C173" s="221"/>
      <c r="D173" s="221"/>
      <c r="E173" s="221"/>
      <c r="F173" s="221"/>
      <c r="H173" s="127" t="str">
        <f t="shared" si="47"/>
        <v/>
      </c>
      <c r="I173" s="127" t="str">
        <f t="shared" si="48"/>
        <v/>
      </c>
      <c r="J173" s="82"/>
      <c r="K173" s="61"/>
      <c r="L173" s="156"/>
      <c r="M173" s="219" t="str">
        <f t="shared" si="49"/>
        <v/>
      </c>
      <c r="N173" s="219" t="str">
        <f t="shared" si="50"/>
        <v/>
      </c>
    </row>
    <row r="174" spans="2:14" ht="14.25" customHeight="1" x14ac:dyDescent="0.2">
      <c r="B174" s="45" t="str">
        <f>IF(COUNTIF(J165:J174,"Weigh Hopper Loading")&gt;0,"EP-4 Weigh Hopper Loading Stack:","")</f>
        <v/>
      </c>
      <c r="C174" s="221"/>
      <c r="D174" s="221"/>
      <c r="E174" s="221"/>
      <c r="F174" s="221"/>
      <c r="H174" s="127" t="str">
        <f t="shared" si="47"/>
        <v/>
      </c>
      <c r="I174" s="127" t="str">
        <f t="shared" si="48"/>
        <v/>
      </c>
      <c r="J174" s="82"/>
      <c r="K174" s="61"/>
      <c r="L174" s="156"/>
      <c r="M174" s="219" t="str">
        <f t="shared" si="49"/>
        <v/>
      </c>
      <c r="N174" s="219" t="str">
        <f t="shared" si="50"/>
        <v/>
      </c>
    </row>
    <row r="175" spans="2:14" ht="14.25" customHeight="1" x14ac:dyDescent="0.2">
      <c r="B175" s="45" t="str">
        <f>IF(COUNTIF(J165:J174,"Truck Mix Loading")&gt;0,"EP-5 Truck Mix Loading Stack:","")</f>
        <v/>
      </c>
      <c r="C175" s="221"/>
      <c r="D175" s="221"/>
      <c r="E175" s="221"/>
      <c r="F175" s="221"/>
      <c r="H175" s="45"/>
      <c r="I175" s="45"/>
    </row>
    <row r="176" spans="2:14" ht="14.25" customHeight="1" x14ac:dyDescent="0.2">
      <c r="B176" s="45" t="str">
        <f>IF(COUNTIF(J165:J174,"Central Mix Loading")&gt;0,"EP-6 Central Mix Loading Stack:","")</f>
        <v/>
      </c>
      <c r="C176" s="221"/>
      <c r="D176" s="221"/>
      <c r="E176" s="221"/>
      <c r="F176" s="221"/>
      <c r="H176" s="74" t="str">
        <f>IF('Concrete Plant (CP-1)'!$D$4&gt;9,"Stock Pile Area","")</f>
        <v/>
      </c>
      <c r="I176" s="74"/>
      <c r="J176" s="74"/>
      <c r="K176" s="76"/>
      <c r="L176" s="76"/>
      <c r="M176" s="71"/>
      <c r="N176" s="71"/>
    </row>
    <row r="177" spans="2:14" ht="14.25" customHeight="1" x14ac:dyDescent="0.2">
      <c r="B177" s="73"/>
      <c r="C177" s="163"/>
      <c r="D177" s="163"/>
      <c r="E177" s="163"/>
      <c r="F177" s="163"/>
      <c r="I177" s="51" t="str">
        <f>IF('Concrete Plant (CP-1)'!$D$4&gt;9,"Emission Unit #","")</f>
        <v/>
      </c>
      <c r="J177" s="140" t="str">
        <f>IF('Concrete Plant (CP-1)'!$D$4&gt;9,"Maximum Storage Area (acres)","")</f>
        <v/>
      </c>
      <c r="K177" s="81" t="str">
        <f>IF('Concrete Plant (CP-1)'!$D$4&gt;9,"Actual Storage Area (acres)","")</f>
        <v/>
      </c>
      <c r="L177" s="140" t="str">
        <f>IF('Concrete Plant (CP-1)'!$D$4&gt;9,"Actual Days in Existence (days)","")</f>
        <v/>
      </c>
      <c r="M177" s="146"/>
      <c r="N177" s="146"/>
    </row>
    <row r="178" spans="2:14" ht="14.25" customHeight="1" x14ac:dyDescent="0.2">
      <c r="B178" s="73"/>
      <c r="C178" s="163"/>
      <c r="D178" s="163"/>
      <c r="E178" s="163"/>
      <c r="F178" s="163"/>
      <c r="I178" s="65"/>
      <c r="J178" s="136"/>
      <c r="K178" s="66"/>
      <c r="L178" s="136"/>
      <c r="M178" s="146"/>
      <c r="N178" s="146"/>
    </row>
    <row r="179" spans="2:14" ht="14.25" customHeight="1" x14ac:dyDescent="0.2">
      <c r="B179" s="73"/>
      <c r="C179" s="163"/>
      <c r="D179" s="163"/>
      <c r="E179" s="163"/>
      <c r="F179" s="163"/>
    </row>
    <row r="180" spans="2:14" ht="14.25" customHeight="1" x14ac:dyDescent="0.2">
      <c r="M180" s="220">
        <f>SUM(M165:M174,M148:M157,M132:M141,M116:M125,M100:M109,M84:M93,M68:M77,M52:M61,M37:M46,M21:M30)</f>
        <v>0</v>
      </c>
      <c r="N180" s="220">
        <f>SUM(N165:N174,N148:N157,N132:N141,N116:N125,N100:N109,N84:N93,N68:N77,N52:N61,N37:N46,N21:N30)</f>
        <v>0</v>
      </c>
    </row>
  </sheetData>
  <sheetProtection algorithmName="SHA-512" hashValue="urhKQ8hEF/m+6uXVa6dhYuf1HDKHONOzfdmkdmGJ35VrV9n1jGR+I2XXAEvmuUqQYKUMDl7TERYHqD6VoqdsyQ==" saltValue="YE3m04LqFf8Cqjq+tUldSw==" spinCount="100000" sheet="1" objects="1" scenarios="1"/>
  <conditionalFormatting sqref="B37:B39 B51:F51 B67:F67 B83:F83 B99:F99 B115:F115 B131:F131 B147:F147 B164:F164 B52:B54 B68:B70 B84:B86 B100:B102 B116:B118 B132:B134 B148:B150 B165:B167 I48:L48">
    <cfRule type="notContainsBlanks" dxfId="2036" priority="737" stopIfTrue="1">
      <formula>LEN(TRIM(B37))&gt;0</formula>
    </cfRule>
  </conditionalFormatting>
  <conditionalFormatting sqref="B36:F36">
    <cfRule type="notContainsBlanks" dxfId="2035" priority="754" stopIfTrue="1">
      <formula>LEN(TRIM(B36))&gt;0</formula>
    </cfRule>
  </conditionalFormatting>
  <conditionalFormatting sqref="I64:N64">
    <cfRule type="notContainsBlanks" dxfId="2034" priority="394" stopIfTrue="1">
      <formula>LEN(TRIM(I64))&gt;0</formula>
    </cfRule>
  </conditionalFormatting>
  <conditionalFormatting sqref="I80:N80">
    <cfRule type="notContainsBlanks" dxfId="2033" priority="389" stopIfTrue="1">
      <formula>LEN(TRIM(I80))&gt;0</formula>
    </cfRule>
  </conditionalFormatting>
  <conditionalFormatting sqref="I96:N96">
    <cfRule type="notContainsBlanks" dxfId="2032" priority="384" stopIfTrue="1">
      <formula>LEN(TRIM(I96))&gt;0</formula>
    </cfRule>
  </conditionalFormatting>
  <conditionalFormatting sqref="I112:N112">
    <cfRule type="notContainsBlanks" dxfId="2031" priority="379" stopIfTrue="1">
      <formula>LEN(TRIM(I112))&gt;0</formula>
    </cfRule>
  </conditionalFormatting>
  <conditionalFormatting sqref="I128:N128">
    <cfRule type="notContainsBlanks" dxfId="2030" priority="374" stopIfTrue="1">
      <formula>LEN(TRIM(I128))&gt;0</formula>
    </cfRule>
  </conditionalFormatting>
  <conditionalFormatting sqref="I144:N144">
    <cfRule type="notContainsBlanks" dxfId="2029" priority="369" stopIfTrue="1">
      <formula>LEN(TRIM(I144))&gt;0</formula>
    </cfRule>
  </conditionalFormatting>
  <conditionalFormatting sqref="I160:N160">
    <cfRule type="notContainsBlanks" dxfId="2028" priority="364" stopIfTrue="1">
      <formula>LEN(TRIM(I160))&gt;0</formula>
    </cfRule>
  </conditionalFormatting>
  <conditionalFormatting sqref="I177:N177">
    <cfRule type="notContainsBlanks" dxfId="2027" priority="359" stopIfTrue="1">
      <formula>LEN(TRIM(I177))&gt;0</formula>
    </cfRule>
  </conditionalFormatting>
  <conditionalFormatting sqref="I64:N65 H51 H62:N63 J51:N51 K53:L59 J53:J61 B56:F56 G49:G59 B51:F54 J52:L52">
    <cfRule type="cellIs" dxfId="2026" priority="392" stopIfTrue="1" operator="equal">
      <formula>$B$51="batch plant"</formula>
    </cfRule>
  </conditionalFormatting>
  <conditionalFormatting sqref="I80:N81 H67 H78:N79 J67:N67 K69:L75 J69:J77 G62:G73 B67:F70 J68:L68">
    <cfRule type="cellIs" dxfId="2025" priority="796" stopIfTrue="1" operator="equal">
      <formula>$B$67="batch plant"</formula>
    </cfRule>
  </conditionalFormatting>
  <conditionalFormatting sqref="I96:N97 H83 H94:N95 J83:N83 K85:L91 J85:J93 G76:G87 B83:F86 J84:L84">
    <cfRule type="cellIs" dxfId="2024" priority="812" stopIfTrue="1" operator="equal">
      <formula>$B$83="batch plant"</formula>
    </cfRule>
  </conditionalFormatting>
  <conditionalFormatting sqref="I112:N113 H110:N111 H98:H99 J99:N99 K101:L107 J101:J109 B104:F104 G90:G101 B99:F102 J100:L100">
    <cfRule type="cellIs" dxfId="2023" priority="826" stopIfTrue="1" operator="equal">
      <formula>$B$99="batch plant"</formula>
    </cfRule>
  </conditionalFormatting>
  <conditionalFormatting sqref="I128:N129 H115 G104:G115 H126:N127 J115:N115 K117:L123 J117:J125 B115:F118 J116:L116">
    <cfRule type="cellIs" dxfId="2022" priority="838" stopIfTrue="1" operator="equal">
      <formula>$B$115="batch plant"</formula>
    </cfRule>
  </conditionalFormatting>
  <conditionalFormatting sqref="I144:N145 H131 G118:G130 H142:N143 J131:N131 K133:L139 J133:J141 B131:F134 J132:L132">
    <cfRule type="cellIs" dxfId="2021" priority="848" stopIfTrue="1" operator="equal">
      <formula>$B$131="batch plant"</formula>
    </cfRule>
  </conditionalFormatting>
  <conditionalFormatting sqref="I160:N161 H147 G132:G145 H158:N159 J147:N147 K149:L155 J149:J157 B164:F164 B147:F150 J148:L148">
    <cfRule type="cellIs" dxfId="2020" priority="856" stopIfTrue="1" operator="equal">
      <formula>$B$147="batch plant"</formula>
    </cfRule>
  </conditionalFormatting>
  <conditionalFormatting sqref="I36">
    <cfRule type="cellIs" dxfId="2019" priority="350" stopIfTrue="1" operator="equal">
      <formula>$B$36="crusher plant"</formula>
    </cfRule>
  </conditionalFormatting>
  <conditionalFormatting sqref="I51">
    <cfRule type="cellIs" dxfId="2018" priority="349" stopIfTrue="1" operator="equal">
      <formula>$B$36="crusher plant"</formula>
    </cfRule>
  </conditionalFormatting>
  <conditionalFormatting sqref="I67">
    <cfRule type="cellIs" dxfId="2017" priority="348" stopIfTrue="1" operator="equal">
      <formula>$B$36="crusher plant"</formula>
    </cfRule>
  </conditionalFormatting>
  <conditionalFormatting sqref="I83">
    <cfRule type="cellIs" dxfId="2016" priority="347" stopIfTrue="1" operator="equal">
      <formula>$B$36="crusher plant"</formula>
    </cfRule>
  </conditionalFormatting>
  <conditionalFormatting sqref="I99">
    <cfRule type="cellIs" dxfId="2015" priority="346" stopIfTrue="1" operator="equal">
      <formula>$B$36="crusher plant"</formula>
    </cfRule>
  </conditionalFormatting>
  <conditionalFormatting sqref="I115">
    <cfRule type="cellIs" dxfId="2014" priority="345" stopIfTrue="1" operator="equal">
      <formula>$B$36="crusher plant"</formula>
    </cfRule>
  </conditionalFormatting>
  <conditionalFormatting sqref="I131">
    <cfRule type="cellIs" dxfId="2013" priority="344" stopIfTrue="1" operator="equal">
      <formula>$B$36="crusher plant"</formula>
    </cfRule>
  </conditionalFormatting>
  <conditionalFormatting sqref="I147">
    <cfRule type="cellIs" dxfId="2012" priority="343" stopIfTrue="1" operator="equal">
      <formula>$B$36="crusher plant"</formula>
    </cfRule>
  </conditionalFormatting>
  <conditionalFormatting sqref="I164">
    <cfRule type="cellIs" dxfId="2011" priority="342" stopIfTrue="1" operator="equal">
      <formula>$B$36="crusher plant"</formula>
    </cfRule>
  </conditionalFormatting>
  <conditionalFormatting sqref="H21:I30">
    <cfRule type="notContainsBlanks" dxfId="2010" priority="331">
      <formula>LEN(TRIM(H21))&gt;0</formula>
    </cfRule>
  </conditionalFormatting>
  <conditionalFormatting sqref="H37:I46">
    <cfRule type="expression" dxfId="2009" priority="323">
      <formula>$B$36="batch plant"</formula>
    </cfRule>
  </conditionalFormatting>
  <conditionalFormatting sqref="H52:I61">
    <cfRule type="expression" dxfId="2008" priority="322">
      <formula>$B$51="batch plant"</formula>
    </cfRule>
  </conditionalFormatting>
  <conditionalFormatting sqref="H68:I77">
    <cfRule type="expression" dxfId="2007" priority="321">
      <formula>$B$67="batch plant"</formula>
    </cfRule>
  </conditionalFormatting>
  <conditionalFormatting sqref="H84:I93">
    <cfRule type="expression" dxfId="2006" priority="320">
      <formula>$B$83="batch plant"</formula>
    </cfRule>
  </conditionalFormatting>
  <conditionalFormatting sqref="H100:I109">
    <cfRule type="expression" dxfId="2005" priority="318">
      <formula>$B$99="batch plant"</formula>
    </cfRule>
  </conditionalFormatting>
  <conditionalFormatting sqref="H116:I125">
    <cfRule type="expression" dxfId="2004" priority="317">
      <formula>$B$115="batch plant"</formula>
    </cfRule>
  </conditionalFormatting>
  <conditionalFormatting sqref="H132:I141">
    <cfRule type="expression" dxfId="2003" priority="316">
      <formula>$B$131="batch plant"</formula>
    </cfRule>
  </conditionalFormatting>
  <conditionalFormatting sqref="H148:I157">
    <cfRule type="expression" dxfId="2002" priority="315">
      <formula>$B$147="batch plant"</formula>
    </cfRule>
  </conditionalFormatting>
  <conditionalFormatting sqref="H165:I174">
    <cfRule type="expression" dxfId="2001" priority="314">
      <formula>$B$164="batch plant"</formula>
    </cfRule>
  </conditionalFormatting>
  <conditionalFormatting sqref="C37:F39 J37:L46 I49:N49">
    <cfRule type="cellIs" dxfId="2000" priority="297" operator="equal">
      <formula>$B$36="batch plant"</formula>
    </cfRule>
  </conditionalFormatting>
  <conditionalFormatting sqref="K60:L61">
    <cfRule type="cellIs" dxfId="1999" priority="296" stopIfTrue="1" operator="equal">
      <formula>$B$51="batch plant"</formula>
    </cfRule>
  </conditionalFormatting>
  <conditionalFormatting sqref="K76:L77">
    <cfRule type="cellIs" dxfId="1998" priority="288" stopIfTrue="1" operator="equal">
      <formula>$B$67="batch plant"</formula>
    </cfRule>
  </conditionalFormatting>
  <conditionalFormatting sqref="K92:L93">
    <cfRule type="cellIs" dxfId="1997" priority="281" stopIfTrue="1" operator="equal">
      <formula>$B$83="batch plant"</formula>
    </cfRule>
  </conditionalFormatting>
  <conditionalFormatting sqref="K108:L109">
    <cfRule type="cellIs" dxfId="1996" priority="274" stopIfTrue="1" operator="equal">
      <formula>$B$99="batch plant"</formula>
    </cfRule>
  </conditionalFormatting>
  <conditionalFormatting sqref="K124:L125">
    <cfRule type="cellIs" dxfId="1995" priority="267" stopIfTrue="1" operator="equal">
      <formula>$B$115="batch plant"</formula>
    </cfRule>
  </conditionalFormatting>
  <conditionalFormatting sqref="B29:B32 B42:F43 C57:F58 C73:F74 C89:F90 C105:F106 C121:F122 C137:F138 C153:F154 C170:F171">
    <cfRule type="notContainsBlanks" dxfId="1994" priority="264">
      <formula>LEN(TRIM(B29))&gt;0</formula>
    </cfRule>
  </conditionalFormatting>
  <conditionalFormatting sqref="K140:L141">
    <cfRule type="cellIs" dxfId="1993" priority="257" stopIfTrue="1" operator="equal">
      <formula>$B$131="batch plant"</formula>
    </cfRule>
  </conditionalFormatting>
  <conditionalFormatting sqref="K156:L157">
    <cfRule type="cellIs" dxfId="1992" priority="249" stopIfTrue="1" operator="equal">
      <formula>$B$147="batch plant"</formula>
    </cfRule>
  </conditionalFormatting>
  <conditionalFormatting sqref="J165:L165 J174:L174 K166:L172 J166:J173 F165:F167">
    <cfRule type="cellIs" dxfId="1991" priority="230" stopIfTrue="1" operator="equal">
      <formula>$B$164="batch plant"</formula>
    </cfRule>
  </conditionalFormatting>
  <conditionalFormatting sqref="K173:L173">
    <cfRule type="cellIs" dxfId="1990" priority="229" stopIfTrue="1" operator="equal">
      <formula>$B$164="batch plant"</formula>
    </cfRule>
  </conditionalFormatting>
  <conditionalFormatting sqref="I178:N178">
    <cfRule type="cellIs" dxfId="1989" priority="228" stopIfTrue="1" operator="equal">
      <formula>$B$164="batch plant"</formula>
    </cfRule>
  </conditionalFormatting>
  <conditionalFormatting sqref="C165:E167">
    <cfRule type="cellIs" dxfId="1988" priority="227" stopIfTrue="1" operator="equal">
      <formula>$B$164="batch plant"</formula>
    </cfRule>
  </conditionalFormatting>
  <conditionalFormatting sqref="B28">
    <cfRule type="notContainsBlanks" dxfId="1987" priority="224">
      <formula>LEN(TRIM(B28))&gt;0</formula>
    </cfRule>
  </conditionalFormatting>
  <conditionalFormatting sqref="C28:F28">
    <cfRule type="cellIs" dxfId="1986" priority="222" operator="equal">
      <formula>$B$28=""</formula>
    </cfRule>
  </conditionalFormatting>
  <conditionalFormatting sqref="C29:F29">
    <cfRule type="cellIs" dxfId="1985" priority="221" operator="equal">
      <formula>$B$29=""</formula>
    </cfRule>
  </conditionalFormatting>
  <conditionalFormatting sqref="C31:F31">
    <cfRule type="cellIs" dxfId="1984" priority="219" operator="equal">
      <formula>$B$31=""</formula>
    </cfRule>
  </conditionalFormatting>
  <conditionalFormatting sqref="C26:F27">
    <cfRule type="notContainsBlanks" dxfId="1983" priority="865">
      <formula>LEN(TRIM(C26))&gt;0</formula>
    </cfRule>
  </conditionalFormatting>
  <conditionalFormatting sqref="B26:B27">
    <cfRule type="notContainsBlanks" dxfId="1982" priority="1099">
      <formula>LEN(TRIM(B26))&gt;0</formula>
    </cfRule>
  </conditionalFormatting>
  <conditionalFormatting sqref="C28:F32 C172:F176 C155:F159 C139:F143 C123:F127 C107:F111 C44:F48 C59:F63 C75:F79 C91:F95">
    <cfRule type="notContainsBlanks" dxfId="1981" priority="214">
      <formula>LEN(TRIM(C28))&gt;0</formula>
    </cfRule>
  </conditionalFormatting>
  <conditionalFormatting sqref="B57:B58">
    <cfRule type="notContainsBlanks" dxfId="1980" priority="210">
      <formula>LEN(TRIM(B57))&gt;0</formula>
    </cfRule>
  </conditionalFormatting>
  <conditionalFormatting sqref="B73:B74">
    <cfRule type="notContainsBlanks" dxfId="1979" priority="208">
      <formula>LEN(TRIM(B73))&gt;0</formula>
    </cfRule>
  </conditionalFormatting>
  <conditionalFormatting sqref="B89:B90">
    <cfRule type="notContainsBlanks" dxfId="1978" priority="206">
      <formula>LEN(TRIM(B89))&gt;0</formula>
    </cfRule>
  </conditionalFormatting>
  <conditionalFormatting sqref="B105:B106">
    <cfRule type="notContainsBlanks" dxfId="1977" priority="204">
      <formula>LEN(TRIM(B105))&gt;0</formula>
    </cfRule>
  </conditionalFormatting>
  <conditionalFormatting sqref="B121:B122">
    <cfRule type="notContainsBlanks" dxfId="1976" priority="202">
      <formula>LEN(TRIM(B121))&gt;0</formula>
    </cfRule>
  </conditionalFormatting>
  <conditionalFormatting sqref="B137:B138">
    <cfRule type="notContainsBlanks" dxfId="1975" priority="200">
      <formula>LEN(TRIM(B137))&gt;0</formula>
    </cfRule>
  </conditionalFormatting>
  <conditionalFormatting sqref="B153:B154">
    <cfRule type="notContainsBlanks" dxfId="1974" priority="198">
      <formula>LEN(TRIM(B153))&gt;0</formula>
    </cfRule>
  </conditionalFormatting>
  <conditionalFormatting sqref="B170:B171">
    <cfRule type="notContainsBlanks" dxfId="1973" priority="196">
      <formula>LEN(TRIM(B170))&gt;0</formula>
    </cfRule>
  </conditionalFormatting>
  <conditionalFormatting sqref="C172:F172">
    <cfRule type="cellIs" dxfId="1972" priority="128" operator="equal">
      <formula>$B$172=""</formula>
    </cfRule>
  </conditionalFormatting>
  <conditionalFormatting sqref="C173:F173">
    <cfRule type="cellIs" dxfId="1971" priority="127" operator="equal">
      <formula>$B$173=""</formula>
    </cfRule>
  </conditionalFormatting>
  <conditionalFormatting sqref="C174:F174">
    <cfRule type="cellIs" dxfId="1970" priority="126" operator="equal">
      <formula>$B$174=""</formula>
    </cfRule>
  </conditionalFormatting>
  <conditionalFormatting sqref="C175:F175">
    <cfRule type="cellIs" dxfId="1969" priority="125" operator="equal">
      <formula>$B$175=""</formula>
    </cfRule>
  </conditionalFormatting>
  <conditionalFormatting sqref="C155:F155">
    <cfRule type="cellIs" dxfId="1968" priority="122" operator="equal">
      <formula>$B$155=""</formula>
    </cfRule>
  </conditionalFormatting>
  <conditionalFormatting sqref="C156:F156">
    <cfRule type="cellIs" dxfId="1967" priority="121" operator="equal">
      <formula>$B$156=""</formula>
    </cfRule>
  </conditionalFormatting>
  <conditionalFormatting sqref="C157:F157">
    <cfRule type="cellIs" dxfId="1966" priority="120" operator="equal">
      <formula>$B$157=""</formula>
    </cfRule>
  </conditionalFormatting>
  <conditionalFormatting sqref="C158:F158">
    <cfRule type="cellIs" dxfId="1965" priority="119" operator="equal">
      <formula>$B$158=""</formula>
    </cfRule>
  </conditionalFormatting>
  <conditionalFormatting sqref="C139:F139">
    <cfRule type="cellIs" dxfId="1964" priority="116" operator="equal">
      <formula>$B$139=""</formula>
    </cfRule>
  </conditionalFormatting>
  <conditionalFormatting sqref="C140:F140">
    <cfRule type="cellIs" dxfId="1963" priority="115" operator="equal">
      <formula>$B$140=""</formula>
    </cfRule>
  </conditionalFormatting>
  <conditionalFormatting sqref="C141:F141">
    <cfRule type="cellIs" dxfId="1962" priority="114" operator="equal">
      <formula>$B$141=""</formula>
    </cfRule>
  </conditionalFormatting>
  <conditionalFormatting sqref="C142:F142">
    <cfRule type="cellIs" dxfId="1961" priority="113" operator="equal">
      <formula>$B$142=""</formula>
    </cfRule>
  </conditionalFormatting>
  <conditionalFormatting sqref="C123:F123">
    <cfRule type="cellIs" dxfId="1960" priority="110" operator="equal">
      <formula>$B$123=""</formula>
    </cfRule>
  </conditionalFormatting>
  <conditionalFormatting sqref="C124:F124">
    <cfRule type="cellIs" dxfId="1959" priority="109" operator="equal">
      <formula>$B$124=""</formula>
    </cfRule>
  </conditionalFormatting>
  <conditionalFormatting sqref="C125:F125">
    <cfRule type="cellIs" dxfId="1958" priority="108" operator="equal">
      <formula>$B$125=""</formula>
    </cfRule>
  </conditionalFormatting>
  <conditionalFormatting sqref="C126:F126">
    <cfRule type="cellIs" dxfId="1957" priority="107" operator="equal">
      <formula>$B$126=""</formula>
    </cfRule>
  </conditionalFormatting>
  <conditionalFormatting sqref="C107:F107">
    <cfRule type="cellIs" dxfId="1956" priority="104" operator="equal">
      <formula>$B$107=""</formula>
    </cfRule>
  </conditionalFormatting>
  <conditionalFormatting sqref="C108:F108">
    <cfRule type="cellIs" dxfId="1955" priority="103" operator="equal">
      <formula>$B$108=""</formula>
    </cfRule>
  </conditionalFormatting>
  <conditionalFormatting sqref="C109:F109">
    <cfRule type="cellIs" dxfId="1954" priority="102" operator="equal">
      <formula>$B$109=""</formula>
    </cfRule>
  </conditionalFormatting>
  <conditionalFormatting sqref="C110:F110">
    <cfRule type="cellIs" dxfId="1953" priority="101" operator="equal">
      <formula>$B$110=""</formula>
    </cfRule>
  </conditionalFormatting>
  <conditionalFormatting sqref="C44:F44">
    <cfRule type="cellIs" dxfId="1952" priority="74" operator="equal">
      <formula>$B$44=""</formula>
    </cfRule>
  </conditionalFormatting>
  <conditionalFormatting sqref="C45:F45">
    <cfRule type="cellIs" dxfId="1951" priority="73" operator="equal">
      <formula>$B$45=""</formula>
    </cfRule>
  </conditionalFormatting>
  <conditionalFormatting sqref="C46:F46">
    <cfRule type="cellIs" dxfId="1950" priority="72" operator="equal">
      <formula>$B$46=""</formula>
    </cfRule>
  </conditionalFormatting>
  <conditionalFormatting sqref="C47:F47">
    <cfRule type="cellIs" dxfId="1949" priority="71" operator="equal">
      <formula>$B$47=""</formula>
    </cfRule>
  </conditionalFormatting>
  <conditionalFormatting sqref="C59:F59">
    <cfRule type="cellIs" dxfId="1948" priority="68" operator="equal">
      <formula>$B$59=""</formula>
    </cfRule>
  </conditionalFormatting>
  <conditionalFormatting sqref="C60:F60">
    <cfRule type="cellIs" dxfId="1947" priority="67" operator="equal">
      <formula>$B$60=""</formula>
    </cfRule>
  </conditionalFormatting>
  <conditionalFormatting sqref="C61:F61">
    <cfRule type="cellIs" dxfId="1946" priority="66" operator="equal">
      <formula>$B$61=""</formula>
    </cfRule>
  </conditionalFormatting>
  <conditionalFormatting sqref="C62:F62">
    <cfRule type="cellIs" dxfId="1945" priority="65" operator="equal">
      <formula>$B$62=""</formula>
    </cfRule>
  </conditionalFormatting>
  <conditionalFormatting sqref="C75:F75">
    <cfRule type="cellIs" dxfId="1944" priority="62" operator="equal">
      <formula>$B$75=""</formula>
    </cfRule>
  </conditionalFormatting>
  <conditionalFormatting sqref="C76:F76">
    <cfRule type="cellIs" dxfId="1943" priority="61" operator="equal">
      <formula>$B$76=""</formula>
    </cfRule>
  </conditionalFormatting>
  <conditionalFormatting sqref="C77:F77">
    <cfRule type="cellIs" dxfId="1942" priority="60" operator="equal">
      <formula>$B$77=""</formula>
    </cfRule>
  </conditionalFormatting>
  <conditionalFormatting sqref="C78:F78">
    <cfRule type="cellIs" dxfId="1941" priority="59" operator="equal">
      <formula>$B$78=""</formula>
    </cfRule>
  </conditionalFormatting>
  <conditionalFormatting sqref="C91:F91">
    <cfRule type="cellIs" dxfId="1940" priority="56" operator="equal">
      <formula>$B$91=""</formula>
    </cfRule>
  </conditionalFormatting>
  <conditionalFormatting sqref="C92:F92">
    <cfRule type="cellIs" dxfId="1939" priority="55" operator="equal">
      <formula>$B$92=""</formula>
    </cfRule>
  </conditionalFormatting>
  <conditionalFormatting sqref="C93:F93">
    <cfRule type="cellIs" dxfId="1938" priority="54" operator="equal">
      <formula>$B$93=""</formula>
    </cfRule>
  </conditionalFormatting>
  <conditionalFormatting sqref="C94:F94">
    <cfRule type="cellIs" dxfId="1937" priority="53" operator="equal">
      <formula>$B$94=""</formula>
    </cfRule>
  </conditionalFormatting>
  <conditionalFormatting sqref="C32:F32">
    <cfRule type="cellIs" dxfId="1936" priority="873" operator="equal">
      <formula>$B$32=""</formula>
    </cfRule>
  </conditionalFormatting>
  <conditionalFormatting sqref="C30:F30">
    <cfRule type="cellIs" dxfId="1935" priority="874" operator="equal">
      <formula>$B$30=""</formula>
    </cfRule>
  </conditionalFormatting>
  <conditionalFormatting sqref="B45:B48">
    <cfRule type="notContainsBlanks" dxfId="1934" priority="51">
      <formula>LEN(TRIM(B45))&gt;0</formula>
    </cfRule>
  </conditionalFormatting>
  <conditionalFormatting sqref="B44">
    <cfRule type="notContainsBlanks" dxfId="1933" priority="50">
      <formula>LEN(TRIM(B44))&gt;0</formula>
    </cfRule>
  </conditionalFormatting>
  <conditionalFormatting sqref="B60:B63">
    <cfRule type="notContainsBlanks" dxfId="1932" priority="49">
      <formula>LEN(TRIM(B60))&gt;0</formula>
    </cfRule>
  </conditionalFormatting>
  <conditionalFormatting sqref="B59">
    <cfRule type="notContainsBlanks" dxfId="1931" priority="48">
      <formula>LEN(TRIM(B59))&gt;0</formula>
    </cfRule>
  </conditionalFormatting>
  <conditionalFormatting sqref="B76:B79">
    <cfRule type="notContainsBlanks" dxfId="1930" priority="47">
      <formula>LEN(TRIM(B76))&gt;0</formula>
    </cfRule>
  </conditionalFormatting>
  <conditionalFormatting sqref="B75">
    <cfRule type="notContainsBlanks" dxfId="1929" priority="46">
      <formula>LEN(TRIM(B75))&gt;0</formula>
    </cfRule>
  </conditionalFormatting>
  <conditionalFormatting sqref="B92:B95">
    <cfRule type="notContainsBlanks" dxfId="1928" priority="45">
      <formula>LEN(TRIM(B92))&gt;0</formula>
    </cfRule>
  </conditionalFormatting>
  <conditionalFormatting sqref="B91">
    <cfRule type="notContainsBlanks" dxfId="1927" priority="44">
      <formula>LEN(TRIM(B91))&gt;0</formula>
    </cfRule>
  </conditionalFormatting>
  <conditionalFormatting sqref="B108:B111">
    <cfRule type="notContainsBlanks" dxfId="1926" priority="43">
      <formula>LEN(TRIM(B108))&gt;0</formula>
    </cfRule>
  </conditionalFormatting>
  <conditionalFormatting sqref="B107">
    <cfRule type="notContainsBlanks" dxfId="1925" priority="42">
      <formula>LEN(TRIM(B107))&gt;0</formula>
    </cfRule>
  </conditionalFormatting>
  <conditionalFormatting sqref="B124:B127">
    <cfRule type="notContainsBlanks" dxfId="1924" priority="41">
      <formula>LEN(TRIM(B124))&gt;0</formula>
    </cfRule>
  </conditionalFormatting>
  <conditionalFormatting sqref="B123">
    <cfRule type="notContainsBlanks" dxfId="1923" priority="40">
      <formula>LEN(TRIM(B123))&gt;0</formula>
    </cfRule>
  </conditionalFormatting>
  <conditionalFormatting sqref="B140:B143">
    <cfRule type="notContainsBlanks" dxfId="1922" priority="39">
      <formula>LEN(TRIM(B140))&gt;0</formula>
    </cfRule>
  </conditionalFormatting>
  <conditionalFormatting sqref="B139">
    <cfRule type="notContainsBlanks" dxfId="1921" priority="38">
      <formula>LEN(TRIM(B139))&gt;0</formula>
    </cfRule>
  </conditionalFormatting>
  <conditionalFormatting sqref="B156:B159">
    <cfRule type="notContainsBlanks" dxfId="1920" priority="37">
      <formula>LEN(TRIM(B156))&gt;0</formula>
    </cfRule>
  </conditionalFormatting>
  <conditionalFormatting sqref="B155">
    <cfRule type="notContainsBlanks" dxfId="1919" priority="36">
      <formula>LEN(TRIM(B155))&gt;0</formula>
    </cfRule>
  </conditionalFormatting>
  <conditionalFormatting sqref="B173:B176">
    <cfRule type="notContainsBlanks" dxfId="1918" priority="35">
      <formula>LEN(TRIM(B173))&gt;0</formula>
    </cfRule>
  </conditionalFormatting>
  <conditionalFormatting sqref="B172">
    <cfRule type="notContainsBlanks" dxfId="1917" priority="34">
      <formula>LEN(TRIM(B172))&gt;0</formula>
    </cfRule>
  </conditionalFormatting>
  <conditionalFormatting sqref="F24">
    <cfRule type="notContainsBlanks" dxfId="1916" priority="31">
      <formula>LEN(TRIM(F24))&gt;0</formula>
    </cfRule>
    <cfRule type="cellIs" dxfId="1915" priority="33" operator="equal">
      <formula>$B$24=""</formula>
    </cfRule>
  </conditionalFormatting>
  <conditionalFormatting sqref="B24:E24">
    <cfRule type="notContainsBlanks" dxfId="1914" priority="875">
      <formula>LEN(TRIM(B24))&gt;0</formula>
    </cfRule>
  </conditionalFormatting>
  <conditionalFormatting sqref="C176:F176">
    <cfRule type="cellIs" dxfId="1913" priority="1002" operator="equal">
      <formula>$B$176=""</formula>
    </cfRule>
  </conditionalFormatting>
  <conditionalFormatting sqref="C159:F159">
    <cfRule type="cellIs" dxfId="1912" priority="1014" operator="equal">
      <formula>$B$159=""</formula>
    </cfRule>
  </conditionalFormatting>
  <conditionalFormatting sqref="C143:F143">
    <cfRule type="cellIs" dxfId="1911" priority="1026" operator="equal">
      <formula>$B$143=""</formula>
    </cfRule>
  </conditionalFormatting>
  <conditionalFormatting sqref="C127:F127">
    <cfRule type="cellIs" dxfId="1910" priority="1038" operator="equal">
      <formula>$B$127=""</formula>
    </cfRule>
  </conditionalFormatting>
  <conditionalFormatting sqref="C111:F111">
    <cfRule type="cellIs" dxfId="1909" priority="1050" operator="equal">
      <formula>$B$111=""</formula>
    </cfRule>
  </conditionalFormatting>
  <conditionalFormatting sqref="C48:F48">
    <cfRule type="cellIs" dxfId="1908" priority="1062" operator="equal">
      <formula>$B$48=""</formula>
    </cfRule>
  </conditionalFormatting>
  <conditionalFormatting sqref="C63:F63">
    <cfRule type="cellIs" dxfId="1907" priority="1074" operator="equal">
      <formula>$B$63=""</formula>
    </cfRule>
  </conditionalFormatting>
  <conditionalFormatting sqref="C79:F79">
    <cfRule type="cellIs" dxfId="1906" priority="1086" operator="equal">
      <formula>$B$79=""</formula>
    </cfRule>
  </conditionalFormatting>
  <conditionalFormatting sqref="C95:F95">
    <cfRule type="cellIs" dxfId="1905" priority="1098" operator="equal">
      <formula>$B$95=""</formula>
    </cfRule>
  </conditionalFormatting>
  <conditionalFormatting sqref="F40">
    <cfRule type="notContainsBlanks" dxfId="1904" priority="28">
      <formula>LEN(TRIM(F40))&gt;0</formula>
    </cfRule>
    <cfRule type="cellIs" dxfId="1903" priority="29" operator="equal">
      <formula>$B$40=""</formula>
    </cfRule>
  </conditionalFormatting>
  <conditionalFormatting sqref="B40:E40">
    <cfRule type="notContainsBlanks" dxfId="1902" priority="30">
      <formula>LEN(TRIM(B40))&gt;0</formula>
    </cfRule>
  </conditionalFormatting>
  <conditionalFormatting sqref="F55">
    <cfRule type="notContainsBlanks" dxfId="1901" priority="25">
      <formula>LEN(TRIM(F55))&gt;0</formula>
    </cfRule>
    <cfRule type="cellIs" dxfId="1900" priority="26" operator="equal">
      <formula>$B$55=""</formula>
    </cfRule>
  </conditionalFormatting>
  <conditionalFormatting sqref="B55:E55">
    <cfRule type="notContainsBlanks" dxfId="1899" priority="27">
      <formula>LEN(TRIM(B55))&gt;0</formula>
    </cfRule>
  </conditionalFormatting>
  <conditionalFormatting sqref="F71">
    <cfRule type="notContainsBlanks" dxfId="1898" priority="22">
      <formula>LEN(TRIM(F71))&gt;0</formula>
    </cfRule>
    <cfRule type="cellIs" dxfId="1897" priority="23" operator="equal">
      <formula>$B$71=""</formula>
    </cfRule>
  </conditionalFormatting>
  <conditionalFormatting sqref="B71:E71">
    <cfRule type="notContainsBlanks" dxfId="1896" priority="24">
      <formula>LEN(TRIM(B71))&gt;0</formula>
    </cfRule>
  </conditionalFormatting>
  <conditionalFormatting sqref="F87">
    <cfRule type="notContainsBlanks" dxfId="1895" priority="19">
      <formula>LEN(TRIM(F87))&gt;0</formula>
    </cfRule>
    <cfRule type="cellIs" dxfId="1894" priority="20" operator="equal">
      <formula>$B$87=""</formula>
    </cfRule>
  </conditionalFormatting>
  <conditionalFormatting sqref="B87:E87">
    <cfRule type="notContainsBlanks" dxfId="1893" priority="21">
      <formula>LEN(TRIM(B87))&gt;0</formula>
    </cfRule>
  </conditionalFormatting>
  <conditionalFormatting sqref="F103">
    <cfRule type="notContainsBlanks" dxfId="1892" priority="16">
      <formula>LEN(TRIM(F103))&gt;0</formula>
    </cfRule>
    <cfRule type="cellIs" dxfId="1891" priority="17" operator="equal">
      <formula>$B$103=""</formula>
    </cfRule>
  </conditionalFormatting>
  <conditionalFormatting sqref="B103:E103">
    <cfRule type="notContainsBlanks" dxfId="1890" priority="18">
      <formula>LEN(TRIM(B103))&gt;0</formula>
    </cfRule>
  </conditionalFormatting>
  <conditionalFormatting sqref="F119">
    <cfRule type="notContainsBlanks" dxfId="1889" priority="13">
      <formula>LEN(TRIM(F119))&gt;0</formula>
    </cfRule>
    <cfRule type="cellIs" dxfId="1888" priority="14" operator="equal">
      <formula>$B$119=""</formula>
    </cfRule>
  </conditionalFormatting>
  <conditionalFormatting sqref="B119:E119">
    <cfRule type="notContainsBlanks" dxfId="1887" priority="15">
      <formula>LEN(TRIM(B119))&gt;0</formula>
    </cfRule>
  </conditionalFormatting>
  <conditionalFormatting sqref="F135">
    <cfRule type="notContainsBlanks" dxfId="1886" priority="10">
      <formula>LEN(TRIM(F135))&gt;0</formula>
    </cfRule>
    <cfRule type="cellIs" dxfId="1885" priority="11" operator="equal">
      <formula>$B$135=""</formula>
    </cfRule>
  </conditionalFormatting>
  <conditionalFormatting sqref="B135:E135">
    <cfRule type="notContainsBlanks" dxfId="1884" priority="12">
      <formula>LEN(TRIM(B135))&gt;0</formula>
    </cfRule>
  </conditionalFormatting>
  <conditionalFormatting sqref="F151">
    <cfRule type="notContainsBlanks" dxfId="1883" priority="4">
      <formula>LEN(TRIM(F151))&gt;0</formula>
    </cfRule>
    <cfRule type="cellIs" dxfId="1882" priority="5" operator="equal">
      <formula>$B$151=""</formula>
    </cfRule>
  </conditionalFormatting>
  <conditionalFormatting sqref="B151:E151">
    <cfRule type="notContainsBlanks" dxfId="1881" priority="6">
      <formula>LEN(TRIM(B151))&gt;0</formula>
    </cfRule>
  </conditionalFormatting>
  <conditionalFormatting sqref="F168">
    <cfRule type="notContainsBlanks" dxfId="1880" priority="1">
      <formula>LEN(TRIM(F168))&gt;0</formula>
    </cfRule>
    <cfRule type="cellIs" dxfId="1879" priority="2" operator="equal">
      <formula>$B$168=""</formula>
    </cfRule>
  </conditionalFormatting>
  <conditionalFormatting sqref="B168:E168">
    <cfRule type="notContainsBlanks" dxfId="1878" priority="3">
      <formula>LEN(TRIM(B168))&gt;0</formula>
    </cfRule>
  </conditionalFormatting>
  <dataValidations count="3">
    <dataValidation type="whole" allowBlank="1" showInputMessage="1" showErrorMessage="1" sqref="D4 G5" xr:uid="{00000000-0002-0000-0100-000000000000}">
      <formula1>0</formula1>
      <formula2>100</formula2>
    </dataValidation>
    <dataValidation type="list" allowBlank="1" showInputMessage="1" showErrorMessage="1" sqref="J21:J30 J37:J46 J52:J61 J68:J77 J84:J93 J100:J109 J116:J125 J132:J141 J148:J157 J165:J174" xr:uid="{00000000-0002-0000-0100-000001000000}">
      <formula1>ConcreteProcesses</formula1>
    </dataValidation>
    <dataValidation type="list" allowBlank="1" showInputMessage="1" showErrorMessage="1" sqref="F24 F40 F55 F71 F87 F103 F119 F135 F151 F168" xr:uid="{00000000-0002-0000-0100-000002000000}">
      <formula1>CHECK</formula1>
    </dataValidation>
  </dataValidations>
  <pageMargins left="0.25" right="0.25" top="0.5" bottom="0.5" header="0.3" footer="0.3"/>
  <pageSetup scale="69" fitToHeight="0" orientation="landscape"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180"/>
  <sheetViews>
    <sheetView topLeftCell="B1" zoomScale="96" zoomScaleNormal="96" workbookViewId="0">
      <selection activeCell="B1" sqref="B1"/>
    </sheetView>
  </sheetViews>
  <sheetFormatPr defaultColWidth="8.85546875" defaultRowHeight="14.25" customHeight="1" x14ac:dyDescent="0.2"/>
  <cols>
    <col min="1" max="1" width="15.42578125" style="67" hidden="1" customWidth="1"/>
    <col min="2" max="2" width="31.85546875" style="67" customWidth="1"/>
    <col min="3" max="3" width="9.42578125" style="67" customWidth="1"/>
    <col min="4" max="4" width="11.5703125" style="67" customWidth="1"/>
    <col min="5" max="5" width="9.42578125" style="67" customWidth="1"/>
    <col min="6" max="6" width="11.140625" style="67" customWidth="1"/>
    <col min="7" max="7" width="2.85546875" style="67" customWidth="1"/>
    <col min="8" max="8" width="13.85546875" style="67" customWidth="1"/>
    <col min="9" max="9" width="14.42578125" style="67" customWidth="1"/>
    <col min="10" max="10" width="31.42578125" style="67" customWidth="1"/>
    <col min="11" max="11" width="39.42578125" style="67" customWidth="1"/>
    <col min="12" max="12" width="28.5703125" style="67" customWidth="1"/>
    <col min="13" max="13" width="6.28515625" style="177" hidden="1" customWidth="1"/>
    <col min="14" max="14" width="7.42578125" style="177" hidden="1" customWidth="1"/>
    <col min="15" max="15" width="7" style="67" customWidth="1"/>
    <col min="16" max="16" width="31.28515625" style="67" customWidth="1"/>
    <col min="17" max="17" width="18.140625" style="67" customWidth="1"/>
    <col min="18" max="18" width="17.28515625" style="67" customWidth="1"/>
    <col min="19" max="19" width="18.140625" style="67" hidden="1" customWidth="1"/>
    <col min="20" max="20" width="16.42578125" style="67" hidden="1" customWidth="1"/>
    <col min="21" max="21" width="16.28515625" style="67" hidden="1" customWidth="1"/>
    <col min="22" max="22" width="16.28515625" style="67" customWidth="1"/>
    <col min="23" max="23" width="0" style="67" hidden="1" customWidth="1"/>
    <col min="24" max="16384" width="8.85546875" style="67"/>
  </cols>
  <sheetData>
    <row r="1" spans="2:21" ht="14.25" customHeight="1" x14ac:dyDescent="0.2">
      <c r="B1" s="322" t="s">
        <v>223</v>
      </c>
      <c r="C1" s="322"/>
      <c r="D1" s="313"/>
      <c r="E1" s="313"/>
      <c r="F1" s="167"/>
    </row>
    <row r="2" spans="2:21" ht="14.25" customHeight="1" x14ac:dyDescent="0.25">
      <c r="B2" s="325" t="s">
        <v>37</v>
      </c>
      <c r="C2" s="326"/>
      <c r="D2" s="326"/>
      <c r="E2" s="326"/>
      <c r="F2" s="178"/>
      <c r="J2" s="31"/>
      <c r="L2" s="323" t="s">
        <v>144</v>
      </c>
      <c r="M2" s="216"/>
      <c r="N2" s="216"/>
      <c r="P2" s="68" t="s">
        <v>255</v>
      </c>
      <c r="Q2" s="68"/>
      <c r="R2" s="68"/>
      <c r="S2" s="68"/>
    </row>
    <row r="3" spans="2:21" ht="29.25" customHeight="1" x14ac:dyDescent="0.2">
      <c r="P3" s="314" t="s">
        <v>0</v>
      </c>
      <c r="Q3" s="309" t="s">
        <v>242</v>
      </c>
      <c r="R3" s="309" t="s">
        <v>243</v>
      </c>
    </row>
    <row r="4" spans="2:21" ht="14.25" customHeight="1" x14ac:dyDescent="0.2">
      <c r="B4" s="180" t="str">
        <f>"Number of Sites this Plant operated at in "&amp;'Facility Information'!G5&amp;":"</f>
        <v>Number of Sites this Plant operated at in :</v>
      </c>
      <c r="C4" s="181"/>
      <c r="D4" s="316"/>
      <c r="E4" s="173"/>
      <c r="F4" s="179"/>
      <c r="I4" s="146"/>
      <c r="P4" s="90" t="s">
        <v>191</v>
      </c>
      <c r="Q4" s="110">
        <f ca="1">MAX((IFERROR(OFFSET($J$20,MATCH("Aggregate Delivery to Ground Storage",$J$21:$J$30,0),1),0)),((IFERROR((OFFSET($J$37,MATCH("Aggregate Delivery to Ground Storage",$J$38:$J$47,0),1)),0))),((IFERROR((OFFSET($J$52,MATCH("Aggregate Delivery to Ground Storage",$J$53:$J$62,0),1)),0))),((IFERROR((OFFSET($J$68,MATCH("Aggregate Delivery to Ground Storage",$J$69:$J$78,0),1)),0))),((IFERROR((OFFSET($J$84,MATCH("Aggregate Delivery to Ground Storage",$J$85:$J$94,0),1)),0))),((IFERROR((OFFSET($J$100,MATCH("Aggregate Delivery to Ground Storage",$J$101:$J$110,0),1)),0))),((IFERROR((OFFSET($J$116,MATCH("Aggregate Delivery to Ground Storage",$J$117:$J$126,0),1)),0))),((IFERROR((OFFSET($J$132,MATCH("Aggregate Delivery to Ground Storage",$J$133:$J$142,0),1)),0))),((IFERROR((OFFSET($J$148,MATCH("Aggregate Delivery to Ground Storage",$J$149:$J$158,0),1)),0))),((IFERROR((OFFSET($J$164,MATCH("Aggregate Delivery to Ground Storage",$J$165:$J$174,0),1)),0))),)</f>
        <v>0</v>
      </c>
      <c r="R4" s="110">
        <f ca="1">SUM((IFERROR(OFFSET($J$20,MATCH("Aggregate Delivery to Ground Storage",$J$21:$J$30,0),2),0)),((IFERROR((OFFSET($J$37,MATCH("Aggregate Delivery to Ground Storage",$J$38:$J$47,0),2)),0))),((IFERROR((OFFSET($J$52,MATCH("Aggregate Delivery to Ground Storage",$J$53:$J$62,0),2)),0))),((IFERROR((OFFSET($J$68,MATCH("Aggregate Delivery to Ground Storage",$J$69:$J$78,0),2)),0))),((IFERROR((OFFSET($J$84,MATCH("Aggregate Delivery to Ground Storage",$J$85:$J$94,0),2)),0))),((IFERROR((OFFSET($J$100,MATCH("Aggregate Delivery to Ground Storage",$J$101:$J$110,0),2)),0))),((IFERROR((OFFSET($J$116,MATCH("Aggregate Delivery to Ground Storage",$J$117:$J$126,0),2)),0))),((IFERROR((OFFSET($J$132,MATCH("Aggregate Delivery to Ground Storage",$J$133:$J$142,0),2)),0))),((IFERROR((OFFSET($J$148,MATCH("Aggregate Delivery to Ground Storage",$J$149:$J$158,0),2)),0))),((IFERROR((OFFSET($J$164,MATCH("Aggregate Delivery to Ground Storage",$J$165:$J$174,0),2)),0))),)</f>
        <v>0</v>
      </c>
      <c r="S4" s="386" t="s">
        <v>252</v>
      </c>
      <c r="T4" s="386"/>
      <c r="U4" s="386"/>
    </row>
    <row r="5" spans="2:21" ht="14.25" customHeight="1" x14ac:dyDescent="0.2">
      <c r="B5" s="83"/>
      <c r="C5" s="83"/>
      <c r="D5" s="83"/>
      <c r="E5" s="83"/>
      <c r="F5" s="83"/>
      <c r="G5" s="146"/>
      <c r="H5" s="146"/>
      <c r="I5" s="146"/>
      <c r="P5" s="90" t="s">
        <v>192</v>
      </c>
      <c r="Q5" s="110">
        <f ca="1">MAX((IFERROR(OFFSET($J$20,MATCH("Sand Delivery to Ground Storage",$J$21:$J$30,0),1),0)),((IFERROR((OFFSET($J$37,MATCH("Sand Delivery to Ground Storage",$J$38:$J$47,0),1)),0))),((IFERROR((OFFSET($J$52,MATCH("Sand Delivery to Ground Storage",$J$53:$J$62,0),1)),0))),((IFERROR((OFFSET($J$68,MATCH("Sand Delivery to Ground Storage",$J$69:$J$78,0),1)),0))),((IFERROR((OFFSET($J$84,MATCH("Sand Delivery to Ground Storage",$J$85:$J$94,0),1)),0))),((IFERROR((OFFSET($J$100,MATCH("Sand Delivery to Ground Storage",$J$101:$J$110,0),1)),0))),((IFERROR((OFFSET($J$116,MATCH("Sand Delivery to Ground Storage",$J$117:$J$126,0),1)),0))),((IFERROR((OFFSET($J$132,MATCH("Sand Delivery to Ground Storage",$J$133:$J$142,0),1)),0))),((IFERROR((OFFSET($J$148,MATCH("Sand Delivery to Ground Storage",$J$149:$J$158,0),1)),0))),((IFERROR((OFFSET($J$164,MATCH("Sand Delivery to Ground Storage",$J$165:$J$174,0),1)),0))),)</f>
        <v>0</v>
      </c>
      <c r="R5" s="110">
        <f ca="1">SUM((IFERROR(OFFSET($J$20,MATCH("Sand Delivery to Ground Storage",$J$21:$J$30,0),2),0)),((IFERROR((OFFSET($J$37,MATCH("Sand Delivery to Ground Storage",$J$38:$J$47,0),2)),0))),((IFERROR((OFFSET($J$52,MATCH("Sand Delivery to Ground Storage",$J$53:$J$62,0),2)),0))),((IFERROR((OFFSET($J$68,MATCH("Sand Delivery to Ground Storage",$J$69:$J$78,0),2)),0))),((IFERROR((OFFSET($J$84,MATCH("Sand Delivery to Ground Storage",$J$85:$J$94,0),2)),0))),((IFERROR((OFFSET($J$100,MATCH("Sand Delivery to Ground Storage",$J$101:$J$110,0),2)),0))),((IFERROR((OFFSET($J$116,MATCH("Sand Delivery to Ground Storage",$J$117:$J$126,0),2)),0))),((IFERROR((OFFSET($J$132,MATCH("Sand Delivery to Ground Storage",$J$133:$J$142,0),2)),0))),((IFERROR((OFFSET($J$148,MATCH("Sand Delivery to Ground Storage",$J$149:$J$158,0),2)),0))),((IFERROR((OFFSET($J$164,MATCH("Sand Delivery to Ground Storage",$J$165:$J$174,0),2)),0))),)</f>
        <v>0</v>
      </c>
      <c r="S5" s="386"/>
      <c r="T5" s="386"/>
      <c r="U5" s="386"/>
    </row>
    <row r="6" spans="2:21" ht="14.25" customHeight="1" x14ac:dyDescent="0.2">
      <c r="B6" s="327" t="s">
        <v>156</v>
      </c>
      <c r="C6" s="328"/>
      <c r="D6" s="338"/>
      <c r="E6" s="125"/>
      <c r="F6" s="125"/>
      <c r="G6" s="45"/>
      <c r="H6" s="45"/>
      <c r="I6" s="45"/>
      <c r="J6" s="45"/>
      <c r="K6" s="45"/>
      <c r="L6" s="45"/>
      <c r="M6" s="182"/>
      <c r="N6" s="182"/>
      <c r="P6" s="90" t="s">
        <v>193</v>
      </c>
      <c r="Q6" s="110">
        <f ca="1">MAX((IFERROR(OFFSET($J$20,MATCH("Aggregate Transfer to Conveyor",$J$21:$J$30,0),1),0)),((IFERROR((OFFSET($J$37,MATCH("Aggregate Transfer to Conveyor",$J$38:$J$47,0),1)),0))),((IFERROR((OFFSET($J$52,MATCH("Aggregate Transfer to Conveyor",$J$53:$J$62,0),1)),0))),((IFERROR((OFFSET($J$68,MATCH("Aggregate Transfer to Conveyor",$J$69:$J$78,0),1)),0))),((IFERROR((OFFSET($J$84,MATCH("Aggregate Transfer to Conveyor",$J$85:$J$94,0),1)),0))),((IFERROR((OFFSET($J$100,MATCH("Aggregate Transfer to Conveyor",$J$101:$J$110,0),1)),0))),((IFERROR((OFFSET($J$116,MATCH("Aggregate Transfer to Conveyor",$J$117:$J$126,0),1)),0))),((IFERROR((OFFSET($J$132,MATCH("Aggregate Transfer to Conveyor",$J$133:$J$142,0),1)),0))),((IFERROR((OFFSET($J$148,MATCH("Aggregate Transfer to Conveyor",$J$149:$J$158,0),1)),0))),((IFERROR((OFFSET($J$164,MATCH("Aggregate Transfer to Conveyor",$J$165:$J$174,0),1)),0))),)</f>
        <v>0</v>
      </c>
      <c r="R6" s="110">
        <f ca="1">SUM((IFERROR(OFFSET($J$20,MATCH("Aggregate Transfer to Conveyor",$J$21:$J$30,0),2),0)),((IFERROR((OFFSET($J$37,MATCH("Aggregate Transfer to Conveyor",$J$38:$J$47,0),2)),0))),((IFERROR((OFFSET($J$52,MATCH("Aggregate Transfer to Conveyor",$J$53:$J$62,0),2)),0))),((IFERROR((OFFSET($J$68,MATCH("Aggregate Transfer to Conveyor",$J$69:$J$78,0),2)),0))),((IFERROR((OFFSET($J$84,MATCH("Aggregate Transfer to Conveyor",$J$85:$J$94,0),2)),0))),((IFERROR((OFFSET($J$100,MATCH("Aggregate Transfer to Conveyor",$J$101:$J$110,0),2)),0))),((IFERROR((OFFSET($J$116,MATCH("Aggregate Transfer to Conveyor",$J$117:$J$126,0),2)),0))),((IFERROR((OFFSET($J$132,MATCH("Aggregate Transfer to Conveyor",$J$133:$J$142,0),2)),0))),((IFERROR((OFFSET($J$148,MATCH("Aggregate Transfer to Conveyor",$J$149:$J$158,0),2)),0))),((IFERROR((OFFSET($J$164,MATCH("Aggregate Transfer to Conveyor",$J$165:$J$174,0),2)),0))),)</f>
        <v>0</v>
      </c>
    </row>
    <row r="7" spans="2:21" ht="14.25" customHeight="1" x14ac:dyDescent="0.2">
      <c r="B7" s="52"/>
      <c r="C7" s="50"/>
      <c r="D7" s="50"/>
      <c r="E7" s="50"/>
      <c r="F7" s="50"/>
      <c r="G7" s="45"/>
      <c r="H7" s="45"/>
      <c r="I7" s="45"/>
      <c r="J7" s="45"/>
      <c r="K7" s="45"/>
      <c r="L7" s="45"/>
      <c r="M7" s="182"/>
      <c r="N7" s="182"/>
      <c r="P7" s="90" t="s">
        <v>194</v>
      </c>
      <c r="Q7" s="110">
        <f ca="1">MAX((IFERROR(OFFSET($J$20,MATCH("Sand Transfer to Conveyor",$J$21:$J$30,0),1),0)),((IFERROR((OFFSET($J$37,MATCH("Sand Transfer to Conveyor",$J$38:$J$47,0),1)),0))),((IFERROR((OFFSET($J$52,MATCH("Sand Transfer to Conveyor",$J$53:$J$62,0),1)),0))),((IFERROR((OFFSET($J$68,MATCH("Sand Transfer to Conveyor",$J$69:$J$78,0),1)),0))),((IFERROR((OFFSET($J$84,MATCH("Sand Transfer to Conveyor",$J$85:$J$94,0),1)),0))),((IFERROR((OFFSET($J$100,MATCH("Sand Transfer to Conveyor",$J$101:$J$110,0),1)),0))),((IFERROR((OFFSET($J$116,MATCH("Sand Transfer to Conveyor",$J$117:$J$126,0),1)),0))),((IFERROR((OFFSET($J$132,MATCH("Sand Transfer to Conveyor",$J$133:$J$142,0),1)),0))),((IFERROR((OFFSET($J$148,MATCH("Sand Transfer to Conveyor",$J$149:$J$158,0),1)),0))),((IFERROR((OFFSET($J$164,MATCH("Sand Transfer to Conveyor",$J$165:$J$174,0),1)),0))),)</f>
        <v>0</v>
      </c>
      <c r="R7" s="110">
        <f ca="1">SUM((IFERROR(OFFSET($J$20,MATCH("Sand Transfer to Conveyor",$J$21:$J$30,0),2),0)),((IFERROR((OFFSET($J$37,MATCH("Sand Transfer to Conveyor",$J$38:$J$47,0),2)),0))),((IFERROR((OFFSET($J$52,MATCH("Sand Transfer to Conveyor",$J$53:$J$62,0),2)),0))),((IFERROR((OFFSET($J$68,MATCH("Sand Transfer to Conveyor",$J$69:$J$78,0),2)),0))),((IFERROR((OFFSET($J$84,MATCH("Sand Transfer to Conveyor",$J$85:$J$94,0),2)),0))),((IFERROR((OFFSET($J$100,MATCH("Sand Transfer to Conveyor",$J$101:$J$110,0),2)),0))),((IFERROR((OFFSET($J$116,MATCH("Sand Transfer to Conveyor",$J$117:$J$126,0),2)),0))),((IFERROR((OFFSET($J$132,MATCH("Sand Transfer to Conveyor",$J$133:$J$142,0),2)),0))),((IFERROR((OFFSET($J$148,MATCH("Sand Transfer to Conveyor",$J$149:$J$158,0),2)),0))),((IFERROR((OFFSET($J$164,MATCH("Sand Transfer to Conveyor",$J$165:$J$174,0),2)),0))),)</f>
        <v>0</v>
      </c>
    </row>
    <row r="8" spans="2:21" ht="14.25" customHeight="1" x14ac:dyDescent="0.2">
      <c r="B8" s="52" t="s">
        <v>149</v>
      </c>
      <c r="C8" s="45"/>
      <c r="D8" s="45"/>
      <c r="E8" s="45"/>
      <c r="F8" s="45"/>
      <c r="G8" s="50"/>
      <c r="H8" s="56" t="s">
        <v>150</v>
      </c>
      <c r="I8" s="56"/>
      <c r="J8" s="50"/>
      <c r="K8" s="50"/>
      <c r="P8" s="90" t="s">
        <v>195</v>
      </c>
      <c r="Q8" s="110">
        <f ca="1">MAX((IFERROR(OFFSET($J$20,MATCH("Aggregate Transfer to Elevated Storage",$J$21:$J$30,0),1),0)),((IFERROR((OFFSET($J$37,MATCH("Aggregate Transfer to Elevated Storage",$J$38:$J$47,0),1)),0))),((IFERROR((OFFSET($J$52,MATCH("Aggregate Transfer to Elevated Storage",$J$53:$J$62,0),1)),0))),((IFERROR((OFFSET($J$68,MATCH("Aggregate Transfer to Elevated Storage",$J$69:$J$78,0),1)),0))),((IFERROR((OFFSET($J$84,MATCH("Aggregate Transfer to Elevated Storage",$J$85:$J$94,0),1)),0))),((IFERROR((OFFSET($J$100,MATCH("Aggregate Transfer to Elevated Storage",$J$101:$J$110,0),1)),0))),((IFERROR((OFFSET($J$116,MATCH("Aggregate Transfer to Elevated Storage",$J$117:$J$126,0),1)),0))),((IFERROR((OFFSET($J$132,MATCH("Aggregate Transfer to Elevated Storage",$J$133:$J$142,0),1)),0))),((IFERROR((OFFSET($J$148,MATCH("Aggregate Transfer to Elevated Storage",$J$149:$J$158,0),1)),0))),((IFERROR((OFFSET($J$164,MATCH("Aggregate Transfer to Elevated Storage",$J$165:$J$174,0),1)),0))),)</f>
        <v>0</v>
      </c>
      <c r="R8" s="110">
        <f ca="1">SUM((IFERROR(OFFSET($J$20,MATCH("Aggregate Transfer to Elevated Storage",$J$21:$J$30,0),2),0)),((IFERROR((OFFSET($J$37,MATCH("Aggregate Transfer to Elevated Storage",$J$38:$J$47,0),2)),0))),((IFERROR((OFFSET($J$52,MATCH("Aggregate Transfer to Elevated Storage",$J$53:$J$62,0),2)),0))),((IFERROR((OFFSET($J$68,MATCH("Aggregate Transfer to Elevated Storage",$J$69:$J$78,0),2)),0))),((IFERROR((OFFSET($J$84,MATCH("Aggregate Transfer to Elevated Storage",$J$85:$J$94,0),2)),0))),((IFERROR((OFFSET($J$100,MATCH("Aggregate Transfer to Elevated Storage",$J$101:$J$110,0),2)),0))),((IFERROR((OFFSET($J$116,MATCH("Aggregate Transfer to Elevated Storage",$J$117:$J$126,0),2)),0))),((IFERROR((OFFSET($J$132,MATCH("Aggregate Transfer to Elevated Storage",$J$133:$J$142,0),2)),0))),((IFERROR((OFFSET($J$148,MATCH("Aggregate Transfer to Elevated Storage",$J$149:$J$158,0),2)),0))),((IFERROR((OFFSET($J$164,MATCH("Aggregate Transfer to Elevated Storage",$J$165:$J$174,0),2)),0))),)</f>
        <v>0</v>
      </c>
    </row>
    <row r="9" spans="2:21" ht="14.25" customHeight="1" x14ac:dyDescent="0.2">
      <c r="B9" s="332" t="s">
        <v>204</v>
      </c>
      <c r="C9" s="334"/>
      <c r="D9" s="399"/>
      <c r="E9" s="337"/>
      <c r="F9" s="174"/>
      <c r="H9" s="57" t="s">
        <v>141</v>
      </c>
      <c r="I9" s="60" t="s">
        <v>139</v>
      </c>
      <c r="J9" s="60" t="s">
        <v>140</v>
      </c>
      <c r="P9" s="90" t="s">
        <v>196</v>
      </c>
      <c r="Q9" s="110">
        <f ca="1">MAX((IFERROR(OFFSET($J$20,MATCH("Sand Transfer to Elevated Storage",$J$21:$J$30,0),1),0)),((IFERROR((OFFSET($J$37,MATCH("Sand Transfer to Elevated Storage",$J$38:$J$47,0),1)),0))),((IFERROR((OFFSET($J$52,MATCH("Sand Transfer to Elevated Storage",$J$53:$J$62,0),1)),0))),((IFERROR((OFFSET($J$68,MATCH("Sand Transfer to Elevated Storage",$J$69:$J$78,0),1)),0))),((IFERROR((OFFSET($J$84,MATCH("Sand Transfer to Elevated Storage",$J$85:$J$94,0),1)),0))),((IFERROR((OFFSET($J$100,MATCH("Sand Transfer to Elevated Storage",$J$101:$J$110,0),1)),0))),((IFERROR((OFFSET($J$116,MATCH("Sand Transfer to Elevated Storage",$J$117:$J$126,0),1)),0))),((IFERROR((OFFSET($J$132,MATCH("Sand Transfer to Elevated Storage",$J$133:$J$142,0),1)),0))),((IFERROR((OFFSET($J$148,MATCH("Sand Transfer to Elevated Storage",$J$149:$J$158,0),1)),0))),((IFERROR((OFFSET($J$164,MATCH("Sand Transfer to Elevated Storage",$J$165:$J$174,0),1)),0))),)</f>
        <v>0</v>
      </c>
      <c r="R9" s="110">
        <f ca="1">SUM((IFERROR(OFFSET($J$20,MATCH("Sand Transfer to Elevated Storage",$J$21:$J$30,0),2),0)),((IFERROR((OFFSET($J$37,MATCH("Sand Transfer to Elevated Storage",$J$38:$J$47,0),2)),0))),((IFERROR((OFFSET($J$52,MATCH("Sand Transfer to Elevated Storage",$J$53:$J$62,0),2)),0))),((IFERROR((OFFSET($J$68,MATCH("Sand Transfer to Elevated Storage",$J$69:$J$78,0),2)),0))),((IFERROR((OFFSET($J$84,MATCH("Sand Transfer to Elevated Storage",$J$85:$J$94,0),2)),0))),((IFERROR((OFFSET($J$100,MATCH("Sand Transfer to Elevated Storage",$J$101:$J$110,0),2)),0))),((IFERROR((OFFSET($J$116,MATCH("Sand Transfer to Elevated Storage",$J$117:$J$126,0),2)),0))),((IFERROR((OFFSET($J$132,MATCH("Sand Transfer to Elevated Storage",$J$133:$J$142,0),2)),0))),((IFERROR((OFFSET($J$148,MATCH("Sand Transfer to Elevated Storage",$J$149:$J$158,0),2)),0))),((IFERROR((OFFSET($J$164,MATCH("Sand Transfer to Elevated Storage",$J$165:$J$174,0),2)),0))),)</f>
        <v>0</v>
      </c>
    </row>
    <row r="10" spans="2:21" ht="14.25" customHeight="1" x14ac:dyDescent="0.2">
      <c r="B10" s="335" t="s">
        <v>205</v>
      </c>
      <c r="C10" s="336"/>
      <c r="D10" s="399"/>
      <c r="E10" s="337"/>
      <c r="F10" s="174"/>
      <c r="H10" s="59" t="s">
        <v>110</v>
      </c>
      <c r="I10" s="144"/>
      <c r="J10" s="144"/>
      <c r="P10" s="90" t="s">
        <v>203</v>
      </c>
      <c r="Q10" s="110">
        <f ca="1">MAX((IFERROR(OFFSET($J$20,MATCH("Weigh Hopper Loading",$J$21:$J$30,0),1),0)),((IFERROR((OFFSET($J$37,MATCH("Weigh Hopper Loading",$J$38:$J$47,0),1)),0))),((IFERROR((OFFSET($J$52,MATCH("Weigh Hopper Loading",$J$53:$J$62,0),1)),0))),((IFERROR((OFFSET($J$68,MATCH("Weigh Hopper Loading",$J$69:$J$78,0),1)),0))),((IFERROR((OFFSET($J$84,MATCH("Weigh Hopper Loading",$J$85:$J$94,0),1)),0))),((IFERROR((OFFSET($J$100,MATCH("Weigh Hopper Loading",$J$101:$J$110,0),1)),0))),((IFERROR((OFFSET($J$116,MATCH("Weigh Hopper Loading",$J$117:$J$126,0),1)),0))),((IFERROR((OFFSET($J$132,MATCH("Weigh Hopper Loading",$J$133:$J$142,0),1)),0))),((IFERROR((OFFSET($J$148,MATCH("Weigh Hopper Loading",$J$149:$J$158,0),1)),0))),((IFERROR((OFFSET($J$164,MATCH("Weigh Hopper Loading",$J$165:$J$174,0),1)),0))),)</f>
        <v>0</v>
      </c>
      <c r="R10" s="110">
        <f ca="1">SUM((IFERROR(OFFSET($J$20,MATCH("Weigh Hopper Loading",$J$21:$J$30,0),2),0)),((IFERROR((OFFSET($J$37,MATCH("Weigh Hopper Loading",$J$38:$J$47,0),2)),0))),((IFERROR((OFFSET($J$52,MATCH("Weigh Hopper Loading",$J$53:$J$62,0),2)),0))),((IFERROR((OFFSET($J$68,MATCH("Weigh Hopper Loading",$J$69:$J$78,0),2)),0))),((IFERROR((OFFSET($J$84,MATCH("Weigh Hopper Loading",$J$85:$J$94,0),2)),0))),((IFERROR((OFFSET($J$100,MATCH("Weigh Hopper Loading",$J$101:$J$110,0),2)),0))),((IFERROR((OFFSET($J$116,MATCH("Weigh Hopper Loading",$J$117:$J$126,0),2)),0))),((IFERROR((OFFSET($J$132,MATCH("Weigh Hopper Loading",$J$133:$J$142,0),2)),0))),((IFERROR((OFFSET($J$148,MATCH("Weigh Hopper Loading",$J$149:$J$158,0),2)),0))),((IFERROR((OFFSET($J$164,MATCH("Weigh Hopper Loading",$J$165:$J$174,0),2)),0))),)</f>
        <v>0</v>
      </c>
    </row>
    <row r="11" spans="2:21" ht="14.25" customHeight="1" x14ac:dyDescent="0.2">
      <c r="B11" s="332" t="s">
        <v>146</v>
      </c>
      <c r="C11" s="334"/>
      <c r="D11" s="399"/>
      <c r="E11" s="337"/>
      <c r="F11" s="174"/>
      <c r="H11" s="58" t="s">
        <v>17</v>
      </c>
      <c r="I11" s="144"/>
      <c r="J11" s="144"/>
      <c r="P11" s="90" t="s">
        <v>197</v>
      </c>
      <c r="Q11" s="110">
        <f ca="1">MAX((IFERROR(OFFSET($J$20,MATCH("Central Mix Loading",$J$21:$J$30,0),1),0)),((IFERROR((OFFSET($J$37,MATCH("Central Mix Loading",$J$38:$J$47,0),1)),0))),((IFERROR((OFFSET($J$52,MATCH("Central Mix Loading",$J$53:$J$62,0),1)),0))),((IFERROR((OFFSET($J$68,MATCH("Central Mix Loading",$J$69:$J$78,0),1)),0))),((IFERROR((OFFSET($J$84,MATCH("Central Mix Loading",$J$85:$J$94,0),1)),0))),((IFERROR((OFFSET($J$100,MATCH("Central Mix Loading",$J$101:$J$110,0),1)),0))),((IFERROR((OFFSET($J$116,MATCH("Central Mix Loading",$J$117:$J$126,0),1)),0))),((IFERROR((OFFSET($J$132,MATCH("Central Mix Loading",$J$133:$J$142,0),1)),0))),((IFERROR((OFFSET($J$148,MATCH("Central Mix Loading",$J$149:$J$158,0),1)),0))),((IFERROR((OFFSET($J$164,MATCH("Central Mix Loading",$J$165:$J$174,0),1)),0))),)</f>
        <v>0</v>
      </c>
      <c r="R11" s="110">
        <f ca="1">SUM((IFERROR(OFFSET($J$20,MATCH("Central Mix Loading",$J$21:$J$30,0),2),0)),((IFERROR((OFFSET($J$37,MATCH("Central Mix Loading",$J$38:$J$47,0),2)),0))),((IFERROR((OFFSET($J$52,MATCH("Central Mix Loading",$J$53:$J$62,0),2)),0))),((IFERROR((OFFSET($J$68,MATCH("Central Mix Loading",$J$69:$J$78,0),2)),0))),((IFERROR((OFFSET($J$84,MATCH("Central Mix Loading",$J$85:$J$94,0),2)),0))),((IFERROR((OFFSET($J$100,MATCH("Central Mix Loading",$J$101:$J$110,0),2)),0))),((IFERROR((OFFSET($J$116,MATCH("Central Mix Loading",$J$117:$J$126,0),2)),0))),((IFERROR((OFFSET($J$132,MATCH("Central Mix Loading",$J$133:$J$142,0),2)),0))),((IFERROR((OFFSET($J$148,MATCH("Central Mix Loading",$J$149:$J$158,0),2)),0))),((IFERROR((OFFSET($J$164,MATCH("Central Mix Loading",$J$165:$J$174,0),2)),0))),)</f>
        <v>0</v>
      </c>
    </row>
    <row r="12" spans="2:21" ht="14.25" customHeight="1" x14ac:dyDescent="0.25">
      <c r="B12" s="321" t="s">
        <v>269</v>
      </c>
      <c r="C12" s="318"/>
      <c r="D12" s="319"/>
      <c r="E12" s="319"/>
      <c r="F12" s="165"/>
      <c r="G12" s="30"/>
      <c r="H12" s="58" t="s">
        <v>3</v>
      </c>
      <c r="I12" s="144"/>
      <c r="J12" s="144"/>
      <c r="P12" s="90" t="s">
        <v>198</v>
      </c>
      <c r="Q12" s="110">
        <f ca="1">MAX((IFERROR(OFFSET($J$20,MATCH("Truck Mix Loading",$J$21:$J$30,0),1),0)),((IFERROR((OFFSET($J$37,MATCH("Truck Mix Loading",$J$38:$J$47,0),1)),0))),((IFERROR((OFFSET($J$52,MATCH("Truck Mix Loading",$J$53:$J$62,0),1)),0))),((IFERROR((OFFSET($J$68,MATCH("Truck Mix Loading",$J$69:$J$78,0),1)),0))),((IFERROR((OFFSET($J$84,MATCH("Truck Mix Loading",$J$85:$J$94,0),1)),0))),((IFERROR((OFFSET($J$100,MATCH("Truck Mix Loading",$J$101:$J$110,0),1)),0))),((IFERROR((OFFSET($J$116,MATCH("Truck Mix Loading",$J$117:$J$126,0),1)),0))),((IFERROR((OFFSET($J$132,MATCH("Truck Mix Loading",$J$133:$J$142,0),1)),0))),((IFERROR((OFFSET($J$148,MATCH("Truck Mix Loading",$J$149:$J$158,0),1)),0))),((IFERROR((OFFSET($J$164,MATCH("Truck Mix Loading",$J$165:$J$174,0),1)),0))),)</f>
        <v>0</v>
      </c>
      <c r="R12" s="110">
        <f ca="1">SUM((IFERROR(OFFSET($J$20,MATCH("Truck Mix Loading",$J$21:$J$30,0),2),0)),((IFERROR((OFFSET($J$37,MATCH("Truck Mix Loading",$J$38:$J$47,0),2)),0))),((IFERROR((OFFSET($J$52,MATCH("Truck Mix Loading",$J$53:$J$62,0),2)),0))),((IFERROR((OFFSET($J$68,MATCH("Truck Mix Loading",$J$69:$J$78,0),2)),0))),((IFERROR((OFFSET($J$84,MATCH("Truck Mix Loading",$J$85:$J$94,0),2)),0))),((IFERROR((OFFSET($J$100,MATCH("Truck Mix Loading",$J$101:$J$110,0),2)),0))),((IFERROR((OFFSET($J$116,MATCH("Truck Mix Loading",$J$117:$J$126,0),2)),0))),((IFERROR((OFFSET($J$132,MATCH("Truck Mix Loading",$J$133:$J$142,0),2)),0))),((IFERROR((OFFSET($J$148,MATCH("Truck Mix Loading",$J$149:$J$158,0),2)),0))),((IFERROR((OFFSET($J$164,MATCH("Truck Mix Loading",$J$165:$J$174,0),2)),0))),)</f>
        <v>0</v>
      </c>
    </row>
    <row r="13" spans="2:21" ht="14.25" customHeight="1" x14ac:dyDescent="0.25">
      <c r="B13" s="320" t="s">
        <v>271</v>
      </c>
      <c r="C13" s="319"/>
      <c r="D13" s="319"/>
      <c r="E13" s="319"/>
      <c r="F13" s="165"/>
      <c r="G13" s="30"/>
      <c r="H13" s="58" t="s">
        <v>27</v>
      </c>
      <c r="I13" s="144"/>
      <c r="J13" s="144"/>
      <c r="P13" s="90" t="s">
        <v>199</v>
      </c>
      <c r="Q13" s="110">
        <f ca="1">MAX((IFERROR(OFFSET($J$20,MATCH("Cement Delivery to Silo",$J$21:$J$30,0),1),0)),((IFERROR((OFFSET($J$37,MATCH("Cement Delivery to Silo",$J$38:$J$47,0),1)),0))),((IFERROR((OFFSET($J$52,MATCH("Cement Delivery to Silo",$J$53:$J$62,0),1)),0))),((IFERROR((OFFSET($J$68,MATCH("Cement Delivery to Silo",$J$69:$J$78,0),1)),0))),((IFERROR((OFFSET($J$84,MATCH("Cement Delivery to Silo",$J$85:$J$94,0),1)),0))),((IFERROR((OFFSET($J$100,MATCH("Cement Delivery to Silo",$J$101:$J$110,0),1)),0))),((IFERROR((OFFSET($J$116,MATCH("Cement Delivery to Silo",$J$117:$J$126,0),1)),0))),((IFERROR((OFFSET($J$132,MATCH("Cement Delivery to Silo",$J$133:$J$142,0),1)),0))),((IFERROR((OFFSET($J$148,MATCH("Cement Delivery to Silo",$J$149:$J$158,0),1)),0))),((IFERROR((OFFSET($J$164,MATCH("Cement Delivery to Silo",$J$165:$J$174,0),1)),0))),)</f>
        <v>0</v>
      </c>
      <c r="R13" s="110">
        <f ca="1">SUM((IFERROR(OFFSET($J$20,MATCH("Cement Delivery to Silo",$J$21:$J$30,0),2),0)),((IFERROR((OFFSET($J$37,MATCH("Cement Delivery to Silo",$J$38:$J$47,0),2)),0))),((IFERROR((OFFSET($J$52,MATCH("Cement Delivery to Silo",$J$53:$J$62,0),2)),0))),((IFERROR((OFFSET($J$68,MATCH("Cement Delivery to Silo",$J$69:$J$78,0),2)),0))),((IFERROR((OFFSET($J$84,MATCH("Cement Delivery to Silo",$J$85:$J$94,0),2)),0))),((IFERROR((OFFSET($J$100,MATCH("Cement Delivery to Silo",$J$101:$J$110,0),2)),0))),((IFERROR((OFFSET($J$116,MATCH("Cement Delivery to Silo",$J$117:$J$126,0),2)),0))),((IFERROR((OFFSET($J$132,MATCH("Cement Delivery to Silo",$J$133:$J$142,0),2)),0))),((IFERROR((OFFSET($J$148,MATCH("Cement Delivery to Silo",$J$149:$J$158,0),2)),0))),((IFERROR((OFFSET($J$164,MATCH("Cement Delivery to Silo",$J$165:$J$174,0),2)),0))),)</f>
        <v>0</v>
      </c>
    </row>
    <row r="14" spans="2:21" ht="14.25" customHeight="1" x14ac:dyDescent="0.25">
      <c r="B14" s="319" t="s">
        <v>270</v>
      </c>
      <c r="C14" s="319"/>
      <c r="D14" s="319"/>
      <c r="E14" s="319"/>
      <c r="F14" s="165"/>
      <c r="G14" s="30"/>
      <c r="H14" s="58" t="s">
        <v>5</v>
      </c>
      <c r="I14" s="144"/>
      <c r="J14" s="144"/>
      <c r="P14" s="90" t="s">
        <v>200</v>
      </c>
      <c r="Q14" s="110">
        <f ca="1">MAX((IFERROR(OFFSET($J$20,MATCH("Cement Supplement Delivery to Silo",$J$21:$J$30,0),1),0)),((IFERROR((OFFSET($J$37,MATCH("Cement Supplement Delivery to Silo",$J$38:$J$47,0),1)),0))),((IFERROR((OFFSET($J$52,MATCH("Cement Supplement Delivery to Silo",$J$53:$J$62,0),1)),0))),((IFERROR((OFFSET($J$68,MATCH("Cement Supplement Delivery to Silo",$J$69:$J$78,0),1)),0))),((IFERROR((OFFSET($J$84,MATCH("Cement Supplement Delivery to Silo",$J$85:$J$94,0),1)),0))),((IFERROR((OFFSET($J$100,MATCH("Cement Supplement Delivery to Silo",$J$101:$J$110,0),1)),0))),((IFERROR((OFFSET($J$116,MATCH("Cement Supplement Delivery to Silo",$J$117:$J$126,0),1)),0))),((IFERROR((OFFSET($J$132,MATCH("Cement Supplement Delivery to Silo",$J$133:$J$142,0),1)),0))),((IFERROR((OFFSET($J$148,MATCH("Cement Supplement Delivery to Silo",$J$149:$J$158,0),1)),0))),((IFERROR((OFFSET($J$164,MATCH("Cement Supplement Delivery to Silo",$J$165:$J$174,0),1)),0))),)</f>
        <v>0</v>
      </c>
      <c r="R14" s="110">
        <f ca="1">SUM((IFERROR(OFFSET($J$20,MATCH("Cement Supplement Delivery to Silo",$J$21:$J$30,0),2),0)),((IFERROR((OFFSET($J$37,MATCH("Cement Supplement Delivery to Silo",$J$38:$J$47,0),2)),0))),((IFERROR((OFFSET($J$52,MATCH("Cement Supplement Delivery to Silo",$J$53:$J$62,0),2)),0))),((IFERROR((OFFSET($J$68,MATCH("Cement Supplement Delivery to Silo",$J$69:$J$78,0),2)),0))),((IFERROR((OFFSET($J$84,MATCH("Cement Supplement Delivery to Silo",$J$85:$J$94,0),2)),0))),((IFERROR((OFFSET($J$100,MATCH("Cement Supplement Delivery to Silo",$J$101:$J$110,0),2)),0))),((IFERROR((OFFSET($J$116,MATCH("Cement Supplement Delivery to Silo",$J$117:$J$126,0),2)),0))),((IFERROR((OFFSET($J$132,MATCH("Cement Supplement Delivery to Silo",$J$133:$J$142,0),2)),0))),((IFERROR((OFFSET($J$148,MATCH("Cement Supplement Delivery to Silo",$J$149:$J$158,0),2)),0))),((IFERROR((OFFSET($J$164,MATCH("Cement Supplement Delivery to Silo",$J$165:$J$174,0),2)),0))),)</f>
        <v>0</v>
      </c>
    </row>
    <row r="15" spans="2:21" ht="14.25" customHeight="1" x14ac:dyDescent="0.25">
      <c r="B15" s="12"/>
      <c r="C15" s="12"/>
      <c r="D15" s="12"/>
      <c r="E15" s="12"/>
      <c r="F15" s="12"/>
      <c r="G15" s="12"/>
      <c r="H15" s="58" t="s">
        <v>6</v>
      </c>
      <c r="I15" s="144"/>
      <c r="J15" s="144"/>
    </row>
    <row r="16" spans="2:21" ht="15" customHeight="1" thickBot="1" x14ac:dyDescent="0.3">
      <c r="B16" s="85"/>
      <c r="C16" s="85"/>
      <c r="D16" s="85"/>
      <c r="E16" s="85"/>
      <c r="F16" s="85"/>
      <c r="G16" s="85"/>
      <c r="H16" s="86"/>
      <c r="I16" s="86"/>
      <c r="J16" s="124"/>
      <c r="K16" s="124"/>
      <c r="L16" s="87"/>
      <c r="M16" s="71"/>
      <c r="N16" s="71"/>
      <c r="P16" s="68"/>
      <c r="Q16" s="188" t="s">
        <v>155</v>
      </c>
      <c r="R16" s="189" t="s">
        <v>154</v>
      </c>
      <c r="S16" s="88"/>
    </row>
    <row r="17" spans="1:23" ht="14.25" customHeight="1" x14ac:dyDescent="0.25">
      <c r="B17" s="12"/>
      <c r="C17" s="12"/>
      <c r="D17" s="12"/>
      <c r="E17" s="12"/>
      <c r="F17" s="12"/>
      <c r="G17" s="12"/>
      <c r="H17" s="84"/>
      <c r="I17" s="84"/>
      <c r="J17" s="50"/>
      <c r="K17" s="50"/>
      <c r="P17" s="90" t="s">
        <v>40</v>
      </c>
      <c r="Q17" s="143">
        <f>SUM(J34,J51,J66,J82,J98,J114,J130,J146,J162,J178)</f>
        <v>0</v>
      </c>
      <c r="R17" s="143">
        <f>SUM(K34*L34,K51*L51,K66*L66,K82*L82,K98*L98,K114*L114,K130*L130,K146*L146,K162*L162,K178*L178)</f>
        <v>0</v>
      </c>
      <c r="S17" s="68"/>
    </row>
    <row r="18" spans="1:23" ht="6.75" customHeight="1" x14ac:dyDescent="0.2">
      <c r="A18" s="71"/>
      <c r="B18" s="345"/>
      <c r="C18" s="50"/>
      <c r="D18" s="50"/>
      <c r="E18" s="50"/>
      <c r="F18" s="50"/>
    </row>
    <row r="19" spans="1:23" ht="13.5" customHeight="1" x14ac:dyDescent="0.2">
      <c r="D19" s="71"/>
      <c r="E19" s="71"/>
      <c r="F19" s="71"/>
      <c r="M19" s="217"/>
      <c r="N19" s="217"/>
      <c r="P19" s="45" t="s">
        <v>254</v>
      </c>
    </row>
    <row r="20" spans="1:23" ht="27" customHeight="1" x14ac:dyDescent="0.25">
      <c r="B20" s="69" t="s">
        <v>201</v>
      </c>
      <c r="C20" s="70" t="s">
        <v>145</v>
      </c>
      <c r="G20" s="45"/>
      <c r="H20" s="310" t="s">
        <v>1</v>
      </c>
      <c r="I20" s="310" t="s">
        <v>181</v>
      </c>
      <c r="J20" s="310" t="s">
        <v>142</v>
      </c>
      <c r="K20" s="311" t="s">
        <v>241</v>
      </c>
      <c r="L20" s="310" t="str">
        <f>('Facility Information'!G5&amp;" Annual Throughput (cubic yards)")</f>
        <v xml:space="preserve"> Annual Throughput (cubic yards)</v>
      </c>
      <c r="M20" s="218" t="s">
        <v>250</v>
      </c>
      <c r="N20" s="218" t="s">
        <v>251</v>
      </c>
      <c r="P20" s="89" t="s">
        <v>110</v>
      </c>
      <c r="Q20" s="308" t="s">
        <v>242</v>
      </c>
      <c r="R20" s="308" t="s">
        <v>240</v>
      </c>
      <c r="S20" s="308" t="s">
        <v>147</v>
      </c>
      <c r="T20" s="308" t="s">
        <v>130</v>
      </c>
      <c r="U20" s="308" t="s">
        <v>14</v>
      </c>
      <c r="V20" s="308" t="s">
        <v>148</v>
      </c>
    </row>
    <row r="21" spans="1:23" ht="14.25" customHeight="1" x14ac:dyDescent="0.2">
      <c r="A21" s="67" t="s">
        <v>38</v>
      </c>
      <c r="B21" s="72" t="s">
        <v>89</v>
      </c>
      <c r="C21" s="339"/>
      <c r="D21" s="342"/>
      <c r="E21" s="343"/>
      <c r="F21" s="175"/>
      <c r="G21" s="45"/>
      <c r="H21" s="126" t="str">
        <f>IF(J21="cement delivery to silo","CP-1 EP-2",IF(J21="cement supplement delivery to silo","CP-1 EP-3",IF(J21="weigh hopper loading","CP-1 EP-4",IF(J21="truck mix loading","CP-1 EP-5",IF(J21="central mix loading","CP-1 EP-6",IF(J21="","","CP-1 EP-1"))))))</f>
        <v/>
      </c>
      <c r="I21" s="126" t="str">
        <f t="shared" ref="I21:I30" si="0">IF(J21="","",IF(J21="aggregate delivery to ground storage","CP-2 EU-1",IF(J21="sand delivery to ground storage","CP-2 EU-2",IF(J21="aggregate transfer to conveyor","CP-2 EU-3",IF(J21="sand transfer to conveyor","CP-2 EU-4",IF(J21="aggregate transfer to elevated storage","CP-2 EU-5",IF(J21="sand transfer to elevated storage","CP-2 EU-6",IF(J21="weigh hopper loading","CP-2 EU-7",IF(J21="central mix loading","CP-2 EU-8",IF(J21="truck mix loading","CP-2 EU-9",IF(J21="cement delivery to silo","CP-2 EU-10",IF(J21="cement supplement delivery to silo","CP-2 EU-11"))))))))))))</f>
        <v/>
      </c>
      <c r="J21" s="82"/>
      <c r="K21" s="61"/>
      <c r="L21" s="156"/>
      <c r="M21" s="219" t="str">
        <f>IF(J21="truck mix loading",IF($F$24="yes",L21*0.05/2000,L21/2000),"")</f>
        <v/>
      </c>
      <c r="N21" s="219" t="str">
        <f>IF(J21="central mix loading",IF($F$24="yes",L21*0.05/2000,L21/2000),"")</f>
        <v/>
      </c>
      <c r="P21" s="90" t="s">
        <v>191</v>
      </c>
      <c r="Q21" s="105">
        <f t="shared" ref="Q21:Q31" ca="1" si="1">Q4</f>
        <v>0</v>
      </c>
      <c r="R21" s="111">
        <f ca="1">IF(Q21=0,0,LOOKUP(P21,'Emission Factors'!$A$5:$A$16,'Emission Factors'!$D$5:$D$16))</f>
        <v>0</v>
      </c>
      <c r="S21" s="105">
        <f t="shared" ref="S21:S29" ca="1" si="2">Q21*R21</f>
        <v>0</v>
      </c>
      <c r="T21" s="105" t="str">
        <f ca="1">IF(Q21=0,"",IF($I$10&gt;0,$I$10,""))</f>
        <v/>
      </c>
      <c r="U21" s="105">
        <f ca="1">IF($J$10&gt;0,$J$10,IF($D$9&gt;0,$D$9*R21/2000,IF($D$10&gt;0,$D$10*365*R21/2000,IF($D$11&gt;0,$D$11*365*R21*Q21/2000,IF(T21="",S21*8760/2000,T21*8760/2000)))))</f>
        <v>0</v>
      </c>
      <c r="V21" s="113">
        <f t="shared" ref="V21:V27" ca="1" si="3">(R4*R21/2000)</f>
        <v>0</v>
      </c>
    </row>
    <row r="22" spans="1:23" ht="14.25" customHeight="1" x14ac:dyDescent="0.2">
      <c r="A22" s="67" t="s">
        <v>39</v>
      </c>
      <c r="B22" s="72" t="s">
        <v>90</v>
      </c>
      <c r="C22" s="339"/>
      <c r="D22" s="342"/>
      <c r="E22" s="343"/>
      <c r="F22" s="175"/>
      <c r="G22" s="45"/>
      <c r="H22" s="126" t="str">
        <f t="shared" ref="H22:H30" si="4">IF(J22="cement delivery to silo","CP-1 EP-2",IF(J22="cement supplement delivery to silo","CP-1 EP-3",IF(J22="weigh hopper loading","CP-1 EP-4",IF(J22="truck mix loading","CP-1 EP-5",IF(J22="central mix loading","CP-1 EP-6",IF(J22="","","CP-1 EP-1"))))))</f>
        <v/>
      </c>
      <c r="I22" s="126" t="str">
        <f t="shared" si="0"/>
        <v/>
      </c>
      <c r="J22" s="82"/>
      <c r="K22" s="61"/>
      <c r="L22" s="156"/>
      <c r="M22" s="219" t="str">
        <f t="shared" ref="M22:M30" si="5">IF(J22="truck mix loading",IF($F$24="yes",L22*0.05/2000,L22/2000),"")</f>
        <v/>
      </c>
      <c r="N22" s="219" t="str">
        <f t="shared" ref="N22:N30" si="6">IF(J22="central mix loading",IF($F$24="yes",L22*0.05/2000,L22/2000),"")</f>
        <v/>
      </c>
      <c r="P22" s="90" t="s">
        <v>192</v>
      </c>
      <c r="Q22" s="105">
        <f t="shared" ca="1" si="1"/>
        <v>0</v>
      </c>
      <c r="R22" s="111">
        <f ca="1">IF(Q22=0,0,LOOKUP(P22,'Emission Factors'!$A$5:$A$16,'Emission Factors'!$D$5:$D$16))</f>
        <v>0</v>
      </c>
      <c r="S22" s="105">
        <f t="shared" ca="1" si="2"/>
        <v>0</v>
      </c>
      <c r="T22" s="105" t="str">
        <f t="shared" ref="T22:T27" ca="1" si="7">IF(Q22=0,"",IF($I$10&gt;0,$I$10,""))</f>
        <v/>
      </c>
      <c r="U22" s="105">
        <f t="shared" ref="U22:U27" ca="1" si="8">IF($J$10&gt;0,"",IF($D$9&gt;0,$D$9*R22/2000,IF($D$10&gt;0,$D$10*365*R22/2000,IF($D$11&gt;0,$D$11*365*R22*Q22/2000,IF(T22="",S22*8760/2000,T22*8760/2000)))))</f>
        <v>0</v>
      </c>
      <c r="V22" s="113">
        <f t="shared" ca="1" si="3"/>
        <v>0</v>
      </c>
    </row>
    <row r="23" spans="1:23" ht="14.25" customHeight="1" x14ac:dyDescent="0.2">
      <c r="B23" s="72" t="s">
        <v>202</v>
      </c>
      <c r="C23" s="339"/>
      <c r="D23" s="342"/>
      <c r="E23" s="343"/>
      <c r="F23" s="175"/>
      <c r="G23" s="45"/>
      <c r="H23" s="126" t="str">
        <f t="shared" si="4"/>
        <v/>
      </c>
      <c r="I23" s="126" t="str">
        <f t="shared" si="0"/>
        <v/>
      </c>
      <c r="J23" s="82"/>
      <c r="K23" s="61"/>
      <c r="L23" s="156"/>
      <c r="M23" s="219" t="str">
        <f t="shared" si="5"/>
        <v/>
      </c>
      <c r="N23" s="219" t="str">
        <f t="shared" si="6"/>
        <v/>
      </c>
      <c r="P23" s="90" t="s">
        <v>193</v>
      </c>
      <c r="Q23" s="105">
        <f t="shared" ca="1" si="1"/>
        <v>0</v>
      </c>
      <c r="R23" s="111">
        <f ca="1">IF(Q23=0,0,LOOKUP(P23,'Emission Factors'!$A$5:$A$16,'Emission Factors'!$D$5:$D$16))</f>
        <v>0</v>
      </c>
      <c r="S23" s="105">
        <f t="shared" ca="1" si="2"/>
        <v>0</v>
      </c>
      <c r="T23" s="105" t="str">
        <f t="shared" ca="1" si="7"/>
        <v/>
      </c>
      <c r="U23" s="105">
        <f t="shared" ca="1" si="8"/>
        <v>0</v>
      </c>
      <c r="V23" s="113">
        <f t="shared" ca="1" si="3"/>
        <v>0</v>
      </c>
    </row>
    <row r="24" spans="1:23" ht="14.25" customHeight="1" x14ac:dyDescent="0.25">
      <c r="A24" s="149" t="s">
        <v>191</v>
      </c>
      <c r="B24" s="360" t="str">
        <f>IF(OR(COUNTIF(J21:J30,"Truck Mix Loading")&gt;0,(COUNTIF(J21:J30,"Central Mix Loading")&gt;0)),"Is the Central/Truck Mix Loading process controlled by a baghouse?","")</f>
        <v/>
      </c>
      <c r="C24" s="360"/>
      <c r="D24" s="360"/>
      <c r="E24" s="360"/>
      <c r="F24" s="221"/>
      <c r="G24" s="45"/>
      <c r="H24" s="126" t="str">
        <f t="shared" si="4"/>
        <v/>
      </c>
      <c r="I24" s="126" t="str">
        <f t="shared" si="0"/>
        <v/>
      </c>
      <c r="J24" s="82"/>
      <c r="K24" s="61"/>
      <c r="L24" s="156"/>
      <c r="M24" s="219" t="str">
        <f t="shared" si="5"/>
        <v/>
      </c>
      <c r="N24" s="219" t="str">
        <f t="shared" si="6"/>
        <v/>
      </c>
      <c r="P24" s="90" t="s">
        <v>194</v>
      </c>
      <c r="Q24" s="105">
        <f t="shared" ca="1" si="1"/>
        <v>0</v>
      </c>
      <c r="R24" s="111">
        <f ca="1">IF(Q24=0,0,LOOKUP(P24,'Emission Factors'!$A$5:$A$16,'Emission Factors'!$D$5:$D$16))</f>
        <v>0</v>
      </c>
      <c r="S24" s="105">
        <f t="shared" ca="1" si="2"/>
        <v>0</v>
      </c>
      <c r="T24" s="105" t="str">
        <f t="shared" ca="1" si="7"/>
        <v/>
      </c>
      <c r="U24" s="105">
        <f t="shared" ca="1" si="8"/>
        <v>0</v>
      </c>
      <c r="V24" s="113">
        <f t="shared" ca="1" si="3"/>
        <v>0</v>
      </c>
    </row>
    <row r="25" spans="1:23" ht="14.25" customHeight="1" x14ac:dyDescent="0.25">
      <c r="A25" s="6" t="s">
        <v>192</v>
      </c>
      <c r="B25" s="45"/>
      <c r="C25" s="164"/>
      <c r="D25" s="164"/>
      <c r="E25" s="164"/>
      <c r="F25" s="164"/>
      <c r="G25" s="45"/>
      <c r="H25" s="126" t="str">
        <f t="shared" si="4"/>
        <v/>
      </c>
      <c r="I25" s="126" t="str">
        <f t="shared" si="0"/>
        <v/>
      </c>
      <c r="J25" s="82"/>
      <c r="K25" s="61"/>
      <c r="L25" s="156"/>
      <c r="M25" s="219" t="str">
        <f t="shared" si="5"/>
        <v/>
      </c>
      <c r="N25" s="219" t="str">
        <f t="shared" si="6"/>
        <v/>
      </c>
      <c r="P25" s="90" t="s">
        <v>195</v>
      </c>
      <c r="Q25" s="105">
        <f t="shared" ca="1" si="1"/>
        <v>0</v>
      </c>
      <c r="R25" s="111">
        <f ca="1">IF(Q25=0,0,LOOKUP(P25,'Emission Factors'!$A$5:$A$16,'Emission Factors'!$D$5:$D$16))</f>
        <v>0</v>
      </c>
      <c r="S25" s="105">
        <f t="shared" ca="1" si="2"/>
        <v>0</v>
      </c>
      <c r="T25" s="105" t="str">
        <f t="shared" ca="1" si="7"/>
        <v/>
      </c>
      <c r="U25" s="105">
        <f t="shared" ca="1" si="8"/>
        <v>0</v>
      </c>
      <c r="V25" s="113">
        <f t="shared" ca="1" si="3"/>
        <v>0</v>
      </c>
    </row>
    <row r="26" spans="1:23" ht="28.5" customHeight="1" x14ac:dyDescent="0.25">
      <c r="A26" s="6" t="s">
        <v>193</v>
      </c>
      <c r="B26" s="312" t="str">
        <f>IF(AND(B28="",B29="",B32="",B31="",B30=""),"","Process (complete stack information if applicable):")</f>
        <v/>
      </c>
      <c r="C26" s="312" t="str">
        <f>IF(AND(B28="",B29="",B32="",B31="",B30=""),"","Stack Height (ft):")</f>
        <v/>
      </c>
      <c r="D26" s="312" t="str">
        <f>IF(AND(B28="",B29="",B32="",B31="",B30=""),"","Stack Diameter (inches):")</f>
        <v/>
      </c>
      <c r="E26" s="312" t="str">
        <f>IF(AND(B28="",B29="",B32="",B31="",B30=""),"","Flow Rate (acfm):")</f>
        <v/>
      </c>
      <c r="F26" s="312" t="str">
        <f>IF(AND(B28="",B29="",B32="",B31="",B30=""),"","Temp (Deg F):")</f>
        <v/>
      </c>
      <c r="G26" s="45"/>
      <c r="H26" s="126" t="str">
        <f t="shared" si="4"/>
        <v/>
      </c>
      <c r="I26" s="126" t="str">
        <f t="shared" si="0"/>
        <v/>
      </c>
      <c r="J26" s="82"/>
      <c r="K26" s="61"/>
      <c r="L26" s="156"/>
      <c r="M26" s="219" t="str">
        <f t="shared" si="5"/>
        <v/>
      </c>
      <c r="N26" s="219" t="str">
        <f t="shared" si="6"/>
        <v/>
      </c>
      <c r="P26" s="90" t="s">
        <v>196</v>
      </c>
      <c r="Q26" s="105">
        <f t="shared" ca="1" si="1"/>
        <v>0</v>
      </c>
      <c r="R26" s="111">
        <f ca="1">IF(Q26=0,0,LOOKUP(P26,'Emission Factors'!$A$5:$A$16,'Emission Factors'!$D$5:$D$16))</f>
        <v>0</v>
      </c>
      <c r="S26" s="105">
        <f t="shared" ca="1" si="2"/>
        <v>0</v>
      </c>
      <c r="T26" s="105" t="str">
        <f t="shared" ca="1" si="7"/>
        <v/>
      </c>
      <c r="U26" s="105">
        <f t="shared" ca="1" si="8"/>
        <v>0</v>
      </c>
      <c r="V26" s="113">
        <f t="shared" ca="1" si="3"/>
        <v>0</v>
      </c>
    </row>
    <row r="27" spans="1:23" ht="14.25" customHeight="1" x14ac:dyDescent="0.25">
      <c r="A27" s="6" t="s">
        <v>194</v>
      </c>
      <c r="B27" s="312"/>
      <c r="C27" s="312"/>
      <c r="D27" s="312"/>
      <c r="E27" s="312"/>
      <c r="F27" s="312"/>
      <c r="G27" s="45"/>
      <c r="H27" s="126" t="str">
        <f t="shared" si="4"/>
        <v/>
      </c>
      <c r="I27" s="126" t="str">
        <f t="shared" si="0"/>
        <v/>
      </c>
      <c r="J27" s="82"/>
      <c r="K27" s="61"/>
      <c r="L27" s="156"/>
      <c r="M27" s="219" t="str">
        <f t="shared" si="5"/>
        <v/>
      </c>
      <c r="N27" s="219" t="str">
        <f t="shared" si="6"/>
        <v/>
      </c>
      <c r="P27" s="90" t="s">
        <v>203</v>
      </c>
      <c r="Q27" s="105">
        <f t="shared" ca="1" si="1"/>
        <v>0</v>
      </c>
      <c r="R27" s="111">
        <f ca="1">IF(Q27=0,0,LOOKUP(P27,'Emission Factors'!$A$5:$A$16,'Emission Factors'!$D$5:$D$16))</f>
        <v>0</v>
      </c>
      <c r="S27" s="105">
        <f t="shared" ca="1" si="2"/>
        <v>0</v>
      </c>
      <c r="T27" s="105" t="str">
        <f t="shared" ca="1" si="7"/>
        <v/>
      </c>
      <c r="U27" s="105">
        <f t="shared" ca="1" si="8"/>
        <v>0</v>
      </c>
      <c r="V27" s="113">
        <f t="shared" ca="1" si="3"/>
        <v>0</v>
      </c>
    </row>
    <row r="28" spans="1:23" ht="14.25" customHeight="1" x14ac:dyDescent="0.25">
      <c r="A28" s="6" t="s">
        <v>195</v>
      </c>
      <c r="B28" s="45" t="str">
        <f>IF(COUNTIF(J21:J30,"Cement Delivery to Silo")&gt;0,"EP-2 Cement Silo Stack:","")</f>
        <v/>
      </c>
      <c r="C28" s="221"/>
      <c r="D28" s="221"/>
      <c r="E28" s="221"/>
      <c r="F28" s="221"/>
      <c r="G28" s="45"/>
      <c r="H28" s="126" t="str">
        <f t="shared" si="4"/>
        <v/>
      </c>
      <c r="I28" s="126" t="str">
        <f t="shared" si="0"/>
        <v/>
      </c>
      <c r="J28" s="82"/>
      <c r="K28" s="61"/>
      <c r="L28" s="156"/>
      <c r="M28" s="219" t="str">
        <f t="shared" si="5"/>
        <v/>
      </c>
      <c r="N28" s="219" t="str">
        <f t="shared" si="6"/>
        <v/>
      </c>
      <c r="P28" s="90" t="s">
        <v>197</v>
      </c>
      <c r="Q28" s="105">
        <f t="shared" ca="1" si="1"/>
        <v>0</v>
      </c>
      <c r="R28" s="111">
        <f ca="1">IF(Q28=0,0,LOOKUP(P28,'Emission Factors'!$A$5:$A$16,'Emission Factors'!$D$5:$D$16))</f>
        <v>0</v>
      </c>
      <c r="S28" s="105">
        <f t="shared" ca="1" si="2"/>
        <v>0</v>
      </c>
      <c r="T28" s="105" t="str">
        <f ca="1">IF(Q28=0,"",IF($I$10&gt;0,$I$10,IF(COUNTIF($F$24:$F$168,"no")&gt;0,"",S28*(1-0.95))))</f>
        <v/>
      </c>
      <c r="U28" s="105">
        <f ca="1">IF($J$10&gt;0,"",IF($D$9&gt;0,$D$9*R28*((100-$W$30)/100)/2000,IF($D$10&gt;0,$D$10*365*R28*((100-$W$30)/100)/2000,IF($D$11&gt;0,$D$11*365*R28*((100-$W$30)/100)*Q28/2000,IF(T28="",S28*8760/2000,T28*8760/2000)))))</f>
        <v>0</v>
      </c>
      <c r="V28" s="113">
        <f ca="1">(R28*N180)</f>
        <v>0</v>
      </c>
    </row>
    <row r="29" spans="1:23" ht="14.25" customHeight="1" x14ac:dyDescent="0.25">
      <c r="A29" s="138" t="s">
        <v>196</v>
      </c>
      <c r="B29" s="45" t="str">
        <f>IF(COUNTIF(J21:J30,"Cement Supplement Delivery to Silo")&gt;0,"EP-3 Cement Supplement Silo Stack:","")</f>
        <v/>
      </c>
      <c r="C29" s="221"/>
      <c r="D29" s="221"/>
      <c r="E29" s="221"/>
      <c r="F29" s="221"/>
      <c r="G29" s="45"/>
      <c r="H29" s="126" t="str">
        <f t="shared" si="4"/>
        <v/>
      </c>
      <c r="I29" s="126" t="str">
        <f t="shared" si="0"/>
        <v/>
      </c>
      <c r="J29" s="82"/>
      <c r="K29" s="61"/>
      <c r="L29" s="156"/>
      <c r="M29" s="219" t="str">
        <f t="shared" si="5"/>
        <v/>
      </c>
      <c r="N29" s="219" t="str">
        <f t="shared" si="6"/>
        <v/>
      </c>
      <c r="P29" s="90" t="s">
        <v>198</v>
      </c>
      <c r="Q29" s="105">
        <f t="shared" ca="1" si="1"/>
        <v>0</v>
      </c>
      <c r="R29" s="111">
        <f ca="1">IF(Q29=0,0,LOOKUP(P29,'Emission Factors'!$A$5:$A$16,'Emission Factors'!$D$5:$D$16))</f>
        <v>0</v>
      </c>
      <c r="S29" s="105">
        <f t="shared" ca="1" si="2"/>
        <v>0</v>
      </c>
      <c r="T29" s="105" t="str">
        <f ca="1">IF(Q29=0,"",IF($I$10&gt;0,$I$10,IF(COUNTIF($F$24:$F$168,"no")&gt;0,"",S29*(1-0.95))))</f>
        <v/>
      </c>
      <c r="U29" s="105">
        <f ca="1">IF($J$10&gt;0,"",IF($D$9&gt;0,$D$9*R29*((100-$W$30)/100)/2000,IF($D$10&gt;0,$D$10*365*R29*((100-$W$30)/100)/2000,IF($D$11&gt;0,$D$11*365*R29*((100-$W$30)/100)*Q29/2000,IF(T29="",S29*8760/2000,T29*8760/2000)))))</f>
        <v>0</v>
      </c>
      <c r="V29" s="113">
        <f ca="1">(R29*M180)</f>
        <v>0</v>
      </c>
    </row>
    <row r="30" spans="1:23" ht="14.25" customHeight="1" x14ac:dyDescent="0.25">
      <c r="A30" s="138" t="s">
        <v>203</v>
      </c>
      <c r="B30" s="45" t="str">
        <f>IF(COUNTIF(J21:J30,"Weigh Hopper Loading")&gt;0,"EP-4 Weigh Hopper Loading Stack:","")</f>
        <v/>
      </c>
      <c r="C30" s="221"/>
      <c r="D30" s="221"/>
      <c r="E30" s="221"/>
      <c r="F30" s="221"/>
      <c r="H30" s="126" t="str">
        <f t="shared" si="4"/>
        <v/>
      </c>
      <c r="I30" s="126" t="str">
        <f t="shared" si="0"/>
        <v/>
      </c>
      <c r="J30" s="82"/>
      <c r="K30" s="61"/>
      <c r="L30" s="156"/>
      <c r="M30" s="219" t="str">
        <f t="shared" si="5"/>
        <v/>
      </c>
      <c r="N30" s="219" t="str">
        <f t="shared" si="6"/>
        <v/>
      </c>
      <c r="P30" s="90" t="s">
        <v>199</v>
      </c>
      <c r="Q30" s="105">
        <f t="shared" ca="1" si="1"/>
        <v>0</v>
      </c>
      <c r="R30" s="111">
        <f ca="1">IF(Q30=0,0,LOOKUP(P30,'Emission Factors'!$A$5:$A$16,'Emission Factors'!$D$5:$D$16))</f>
        <v>0</v>
      </c>
      <c r="S30" s="148"/>
      <c r="T30" s="106">
        <f ca="1">IF(Q30=0,0,IF($I$10&gt;0,$I$10,Q30*R30))</f>
        <v>0</v>
      </c>
      <c r="U30" s="105">
        <f ca="1">IF($J$10&gt;0,"",IF($D$9&gt;0,$D$9*R30/2000,IF($D$10&gt;0,$D$10*365*R30/2000,IF($D$11&gt;0,$D$11*365*R30*Q30/2000,IF($I$10&gt;0,0,T30*8760/2000)))))</f>
        <v>0</v>
      </c>
      <c r="V30" s="113">
        <f ca="1">(R13*R30/2000)</f>
        <v>0</v>
      </c>
      <c r="W30" s="67">
        <f>IF(COUNTIF($F$24:$F$168,"no")&gt;0,0,95)</f>
        <v>95</v>
      </c>
    </row>
    <row r="31" spans="1:23" ht="14.25" customHeight="1" x14ac:dyDescent="0.25">
      <c r="A31" s="138" t="s">
        <v>197</v>
      </c>
      <c r="B31" s="45" t="str">
        <f>IF(COUNTIF(J21:J30,"Truck Mix Loading")&gt;0,"EP-5 Truck Mix Loading Stack:","")</f>
        <v/>
      </c>
      <c r="C31" s="221"/>
      <c r="D31" s="221"/>
      <c r="E31" s="221"/>
      <c r="F31" s="221"/>
      <c r="G31" s="76"/>
      <c r="H31" s="45"/>
      <c r="I31" s="45"/>
      <c r="P31" s="90" t="s">
        <v>200</v>
      </c>
      <c r="Q31" s="105">
        <f t="shared" ca="1" si="1"/>
        <v>0</v>
      </c>
      <c r="R31" s="111">
        <f ca="1">IF(Q31=0,0,LOOKUP(P31,'Emission Factors'!$A$5:$A$16,'Emission Factors'!$D$5:$D$16))</f>
        <v>0</v>
      </c>
      <c r="S31" s="148"/>
      <c r="T31" s="105">
        <f ca="1">IF(Q31=0,0,IF($I$10&gt;0,$I$10,Q31*R31))</f>
        <v>0</v>
      </c>
      <c r="U31" s="105">
        <f ca="1">IF($J$10&gt;0,"",IF($D$9&gt;0,$D$9*R31/2000,IF($D$10&gt;0,$D$10*365*R31/2000,IF($D$11&gt;0,$D$11*365*R31*Q31/2000,IF($I$10&gt;0,0,T31*8760/2000)))))</f>
        <v>0</v>
      </c>
      <c r="V31" s="113">
        <f ca="1">(R14*R31/2000)</f>
        <v>0</v>
      </c>
    </row>
    <row r="32" spans="1:23" ht="14.25" customHeight="1" x14ac:dyDescent="0.25">
      <c r="A32" s="138" t="s">
        <v>198</v>
      </c>
      <c r="B32" s="45" t="str">
        <f>IF(COUNTIF(J21:J30,"Central Mix Loading")&gt;0,"EP-6 Central Mix Loading Stack:","")</f>
        <v/>
      </c>
      <c r="C32" s="221"/>
      <c r="D32" s="221"/>
      <c r="E32" s="221"/>
      <c r="F32" s="221"/>
      <c r="H32" s="74" t="s">
        <v>85</v>
      </c>
      <c r="I32" s="74"/>
      <c r="J32" s="75"/>
    </row>
    <row r="33" spans="1:23" ht="14.25" customHeight="1" x14ac:dyDescent="0.25">
      <c r="A33" s="138" t="s">
        <v>199</v>
      </c>
      <c r="B33" s="73"/>
      <c r="C33" s="163"/>
      <c r="D33" s="163"/>
      <c r="E33" s="163"/>
      <c r="F33" s="163"/>
      <c r="I33" s="77" t="s">
        <v>61</v>
      </c>
      <c r="J33" s="43" t="s">
        <v>86</v>
      </c>
      <c r="K33" s="142" t="s">
        <v>87</v>
      </c>
      <c r="L33" s="43" t="s">
        <v>88</v>
      </c>
      <c r="M33" s="146"/>
      <c r="N33" s="146"/>
    </row>
    <row r="34" spans="1:23" ht="14.25" customHeight="1" x14ac:dyDescent="0.25">
      <c r="A34" s="138" t="s">
        <v>200</v>
      </c>
      <c r="B34" s="73"/>
      <c r="C34" s="163"/>
      <c r="D34" s="163"/>
      <c r="E34" s="163"/>
      <c r="F34" s="163"/>
      <c r="I34" s="63"/>
      <c r="J34" s="144"/>
      <c r="K34" s="64"/>
      <c r="L34" s="144"/>
      <c r="M34" s="146"/>
      <c r="N34" s="146"/>
      <c r="P34" s="89" t="s">
        <v>17</v>
      </c>
      <c r="Q34" s="107"/>
      <c r="R34" s="112"/>
      <c r="S34" s="108"/>
      <c r="T34" s="108"/>
      <c r="U34" s="108"/>
      <c r="V34" s="114"/>
    </row>
    <row r="35" spans="1:23" ht="14.25" customHeight="1" x14ac:dyDescent="0.2">
      <c r="B35" s="73"/>
      <c r="C35" s="163"/>
      <c r="D35" s="163"/>
      <c r="E35" s="163"/>
      <c r="F35" s="163"/>
      <c r="P35" s="90" t="s">
        <v>191</v>
      </c>
      <c r="Q35" s="105">
        <f t="shared" ref="Q35:Q45" ca="1" si="9">Q4</f>
        <v>0</v>
      </c>
      <c r="R35" s="111">
        <f ca="1">IF(Q35=0,0,LOOKUP(P35,'Emission Factors'!$A$5:$A$16,'Emission Factors'!$H$5:$H$16))</f>
        <v>0</v>
      </c>
      <c r="S35" s="105">
        <f t="shared" ref="S35:S37" ca="1" si="10">Q35*R35</f>
        <v>0</v>
      </c>
      <c r="T35" s="105" t="str">
        <f ca="1">IF(Q35=0,"",IF($I$11&gt;0,$I$11,""))</f>
        <v/>
      </c>
      <c r="U35" s="105">
        <f ca="1">IF($J$11&gt;0,$J$11,IF($D$9&gt;0,$D$9*R35/2000,IF($D$10&gt;0,$D$10*365*R35/2000,IF($D$11&gt;0,$D$11*365*R35*Q35/2000,IF(T35="",S35*8760/2000,T35*8760/2000)))))</f>
        <v>0</v>
      </c>
      <c r="V35" s="113">
        <f t="shared" ref="V35:V41" ca="1" si="11">(R4*R35/2000)</f>
        <v>0</v>
      </c>
    </row>
    <row r="36" spans="1:23" ht="14.25" customHeight="1" x14ac:dyDescent="0.2">
      <c r="B36" s="45"/>
      <c r="G36" s="45"/>
      <c r="P36" s="90" t="s">
        <v>192</v>
      </c>
      <c r="Q36" s="105">
        <f t="shared" ca="1" si="9"/>
        <v>0</v>
      </c>
      <c r="R36" s="111">
        <f ca="1">IF(Q36=0,0,LOOKUP(P36,'Emission Factors'!$A$5:$A$16,'Emission Factors'!$H$5:$H$16))</f>
        <v>0</v>
      </c>
      <c r="S36" s="109">
        <f t="shared" ca="1" si="10"/>
        <v>0</v>
      </c>
      <c r="T36" s="105" t="str">
        <f t="shared" ref="T36:T37" ca="1" si="12">IF(Q36=0,"",IF($I$11&gt;0,$I$11,""))</f>
        <v/>
      </c>
      <c r="U36" s="105">
        <f t="shared" ref="U36:U37" ca="1" si="13">IF($J$11&gt;0,"",IF($D$9&gt;0,$D$9*R36/2000,IF($D$10&gt;0,$D$10*365*R36/2000,IF($D$11&gt;0,$D$11*365*R36*Q36/2000,IF(T36="",S36*8760/2000,T36*8760/2000)))))</f>
        <v>0</v>
      </c>
      <c r="V36" s="113">
        <f t="shared" ca="1" si="11"/>
        <v>0</v>
      </c>
    </row>
    <row r="37" spans="1:23" ht="29.25" customHeight="1" x14ac:dyDescent="0.25">
      <c r="B37" s="78" t="str">
        <f>IF('Concrete Plant (CP-2)'!$D$4&gt;1,"Batch Plant","")</f>
        <v/>
      </c>
      <c r="C37" s="71" t="str">
        <f>IF('Concrete Plant (CP-2)'!$D$4&gt;1,"Site 2","")</f>
        <v/>
      </c>
      <c r="D37" s="71"/>
      <c r="E37" s="71"/>
      <c r="F37" s="71"/>
      <c r="G37" s="45"/>
      <c r="H37" s="310" t="str">
        <f>IF('Concrete Plant (CP-2)'!$D$4&gt;1,"Emission Point #","")</f>
        <v/>
      </c>
      <c r="I37" s="310" t="str">
        <f>IF('Concrete Plant (CP-2)'!$D$4&gt;1,"Emission     Unit #","")</f>
        <v/>
      </c>
      <c r="J37" s="310" t="str">
        <f>IF('Concrete Plant (CP-2)'!$D$4&gt;1,"Processes","")</f>
        <v/>
      </c>
      <c r="K37" s="311" t="str">
        <f>IF('Concrete Plant (CP-2)'!$D$4&gt;1,"Combined Maximum Hourly Design Rate for all Like Processes (cubic yard/hr)","")</f>
        <v/>
      </c>
      <c r="L37" s="310" t="str">
        <f>IF('Concrete Plant (CP-2)'!$D$4&gt;1,('Facility Information'!G5&amp;" Annual Throughput (cubic yards)"),"")</f>
        <v/>
      </c>
      <c r="M37" s="217"/>
      <c r="N37" s="217"/>
      <c r="P37" s="90" t="s">
        <v>193</v>
      </c>
      <c r="Q37" s="105">
        <f t="shared" ca="1" si="9"/>
        <v>0</v>
      </c>
      <c r="R37" s="111">
        <f ca="1">IF(Q37=0,0,LOOKUP(P37,'Emission Factors'!$A$5:$A$16,'Emission Factors'!$H$5:$H$16))</f>
        <v>0</v>
      </c>
      <c r="S37" s="105">
        <f t="shared" ca="1" si="10"/>
        <v>0</v>
      </c>
      <c r="T37" s="105" t="str">
        <f t="shared" ca="1" si="12"/>
        <v/>
      </c>
      <c r="U37" s="105">
        <f t="shared" ca="1" si="13"/>
        <v>0</v>
      </c>
      <c r="V37" s="113">
        <f t="shared" ca="1" si="11"/>
        <v>0</v>
      </c>
    </row>
    <row r="38" spans="1:23" ht="14.25" customHeight="1" x14ac:dyDescent="0.2">
      <c r="B38" s="79" t="str">
        <f>IF('Concrete Plant (CP-2)'!$D$4&gt;1,"Site Name:","")</f>
        <v/>
      </c>
      <c r="C38" s="339"/>
      <c r="D38" s="342"/>
      <c r="E38" s="343"/>
      <c r="F38" s="175"/>
      <c r="G38" s="45"/>
      <c r="H38" s="127" t="str">
        <f>IF(J38="cement delivery to silo","CP-1 EP-2",IF(J38="cement supplement delivery to silo","CP-1 EP-3",IF(J38="weigh hopper loading","CP-1 EP-4",IF(J38="truck mix loading","CP-1 EP-5",IF(J38="central mix loading","CP-1 EP-6",IF(J38="","","CP-1 EP-1"))))))</f>
        <v/>
      </c>
      <c r="I38" s="127" t="str">
        <f t="shared" ref="I38:I47" si="14">IF(J38="","",IF(J38="aggregate delivery to ground storage","CP-2 EU-1",IF(J38="sand delivery to ground storage","CP-2 EU-2",IF(J38="aggregate transfer to conveyor","CP-2 EU-3",IF(J38="sand transfer to conveyor","CP-2 EU-4",IF(J38="aggregate transfer to elevated storage","CP-2 EU-5",IF(J38="sand transfer to elevated storage","CP-2 EU-6",IF(J38="weigh hopper loading","CP-2 EU-7",IF(J38="central mix loading","CP-2 EU-8",IF(J38="truck mix loading","CP-2 EU-9",IF(J38="cement delivery to silo","CP-2 EU-10",IF(J38="cement supplement delivery to silo","CP-2 EU-11"))))))))))))</f>
        <v/>
      </c>
      <c r="J38" s="82"/>
      <c r="K38" s="61"/>
      <c r="L38" s="156"/>
      <c r="M38" s="219" t="str">
        <f>IF(J38="truck mix loading",IF($F$41="yes",L38*0.05/2000,L38/2000),"")</f>
        <v/>
      </c>
      <c r="N38" s="219" t="str">
        <f>IF(J38="central mix loading",IF($F$41="yes",L38*0.05/2000,L38/2000),"")</f>
        <v/>
      </c>
      <c r="P38" s="90" t="s">
        <v>194</v>
      </c>
      <c r="Q38" s="105">
        <f t="shared" ca="1" si="9"/>
        <v>0</v>
      </c>
      <c r="R38" s="111">
        <f ca="1">IF(Q38=0,0,LOOKUP(P38,'Emission Factors'!$A$5:$A$16,'Emission Factors'!$H$5:$H$16))</f>
        <v>0</v>
      </c>
      <c r="S38" s="105">
        <f t="shared" ref="S38:S43" ca="1" si="15">Q38*R38</f>
        <v>0</v>
      </c>
      <c r="T38" s="105" t="str">
        <f ca="1">IF(Q38=0,"",IF($I$11&gt;0,$I$11,""))</f>
        <v/>
      </c>
      <c r="U38" s="105">
        <f ca="1">IF($J$11&gt;0,"",IF($D$9&gt;0,$D$9*R38/2000,IF($D$10&gt;0,$D$10*365*R38/2000,IF($D$11&gt;0,$D$11*365*R38*Q38/2000,IF(T38="",S38*8760/2000,T38*8760/2000)))))</f>
        <v>0</v>
      </c>
      <c r="V38" s="113">
        <f t="shared" ca="1" si="11"/>
        <v>0</v>
      </c>
    </row>
    <row r="39" spans="1:23" ht="14.25" customHeight="1" x14ac:dyDescent="0.2">
      <c r="B39" s="79" t="str">
        <f>IF('Concrete Plant (CP-2)'!$D$4&gt;1,"County:","")</f>
        <v/>
      </c>
      <c r="C39" s="339"/>
      <c r="D39" s="342"/>
      <c r="E39" s="343"/>
      <c r="F39" s="175"/>
      <c r="G39" s="45"/>
      <c r="H39" s="127" t="str">
        <f t="shared" ref="H39:H47" si="16">IF(J39="cement delivery to silo","CP-1 EP-2",IF(J39="cement supplement delivery to silo","CP-1 EP-3",IF(J39="weigh hopper loading","CP-1 EP-4",IF(J39="truck mix loading","CP-1 EP-5",IF(J39="central mix loading","CP-1 EP-6",IF(J39="","","CP-1 EP-1"))))))</f>
        <v/>
      </c>
      <c r="I39" s="127" t="str">
        <f t="shared" si="14"/>
        <v/>
      </c>
      <c r="J39" s="82"/>
      <c r="K39" s="61"/>
      <c r="L39" s="156"/>
      <c r="M39" s="219" t="str">
        <f t="shared" ref="M39:M47" si="17">IF(J39="truck mix loading",IF($F$41="yes",L39*0.05/2000,L39/2000),"")</f>
        <v/>
      </c>
      <c r="N39" s="219" t="str">
        <f t="shared" ref="N39:N47" si="18">IF(J39="central mix loading",IF($F$41="yes",L39*0.05/2000,L39/2000),"")</f>
        <v/>
      </c>
      <c r="P39" s="90" t="s">
        <v>195</v>
      </c>
      <c r="Q39" s="105">
        <f t="shared" ca="1" si="9"/>
        <v>0</v>
      </c>
      <c r="R39" s="111">
        <f ca="1">IF(Q39=0,0,LOOKUP(P39,'Emission Factors'!$A$5:$A$16,'Emission Factors'!$H$5:$H$16))</f>
        <v>0</v>
      </c>
      <c r="S39" s="105">
        <f t="shared" ca="1" si="15"/>
        <v>0</v>
      </c>
      <c r="T39" s="105" t="str">
        <f ca="1">IF(Q39=0,"",IF($I$11&gt;0,$I$11,""))</f>
        <v/>
      </c>
      <c r="U39" s="105">
        <f ca="1">IF($J$11&gt;0,"",IF($D$9&gt;0,$D$9*R39/2000,IF($D$10&gt;0,$D$10*365*R39/2000,IF($D$11&gt;0,$D$11*365*R39*Q39/2000,IF(T39="",S39*8760/2000,T39*8760/2000)))))</f>
        <v>0</v>
      </c>
      <c r="V39" s="113">
        <f t="shared" ca="1" si="11"/>
        <v>0</v>
      </c>
    </row>
    <row r="40" spans="1:23" ht="14.25" customHeight="1" x14ac:dyDescent="0.2">
      <c r="B40" s="79" t="str">
        <f>IF('Concrete Plant (CP-2)'!$D$4&gt;1,"Batching Period (Dates):","")</f>
        <v/>
      </c>
      <c r="C40" s="339"/>
      <c r="D40" s="342"/>
      <c r="E40" s="343"/>
      <c r="F40" s="175"/>
      <c r="G40" s="45"/>
      <c r="H40" s="127" t="str">
        <f t="shared" si="16"/>
        <v/>
      </c>
      <c r="I40" s="127" t="str">
        <f t="shared" si="14"/>
        <v/>
      </c>
      <c r="J40" s="82"/>
      <c r="K40" s="61"/>
      <c r="L40" s="156"/>
      <c r="M40" s="219" t="str">
        <f t="shared" si="17"/>
        <v/>
      </c>
      <c r="N40" s="219" t="str">
        <f t="shared" si="18"/>
        <v/>
      </c>
      <c r="P40" s="90" t="s">
        <v>196</v>
      </c>
      <c r="Q40" s="105">
        <f t="shared" ca="1" si="9"/>
        <v>0</v>
      </c>
      <c r="R40" s="111">
        <f ca="1">IF(Q40=0,0,LOOKUP(P40,'Emission Factors'!$A$5:$A$16,'Emission Factors'!$H$5:$H$16))</f>
        <v>0</v>
      </c>
      <c r="S40" s="105">
        <f t="shared" ca="1" si="15"/>
        <v>0</v>
      </c>
      <c r="T40" s="105" t="str">
        <f ca="1">IF(Q40=0,"",IF($I$11&gt;0,$I$11,""))</f>
        <v/>
      </c>
      <c r="U40" s="105">
        <f ca="1">IF($J$11&gt;0,"",IF($D$9&gt;0,$D$9*R40/2000,IF($D$10&gt;0,$D$10*365*R40/2000,IF($D$11&gt;0,$D$11*365*R40*Q40/2000,IF(T40="",S40*8760/2000,T40*8760/2000)))))</f>
        <v>0</v>
      </c>
      <c r="V40" s="113">
        <f t="shared" ca="1" si="11"/>
        <v>0</v>
      </c>
    </row>
    <row r="41" spans="1:23" ht="14.25" customHeight="1" x14ac:dyDescent="0.2">
      <c r="B41" s="51" t="str">
        <f>IF(OR(COUNTIF(J38:J47,"Truck Mix Loading")&gt;0,(COUNTIF(J38:J47,"Central Mix Loading")&gt;0)),"Is the Central/Truck Mix Loading process controlled by a baghouse?","")</f>
        <v/>
      </c>
      <c r="C41" s="51"/>
      <c r="D41" s="51"/>
      <c r="E41" s="51"/>
      <c r="F41" s="221"/>
      <c r="G41" s="45"/>
      <c r="H41" s="127" t="str">
        <f t="shared" si="16"/>
        <v/>
      </c>
      <c r="I41" s="127" t="str">
        <f t="shared" si="14"/>
        <v/>
      </c>
      <c r="J41" s="82"/>
      <c r="K41" s="61"/>
      <c r="L41" s="156"/>
      <c r="M41" s="219" t="str">
        <f t="shared" si="17"/>
        <v/>
      </c>
      <c r="N41" s="219" t="str">
        <f t="shared" si="18"/>
        <v/>
      </c>
      <c r="P41" s="90" t="s">
        <v>203</v>
      </c>
      <c r="Q41" s="105">
        <f t="shared" ca="1" si="9"/>
        <v>0</v>
      </c>
      <c r="R41" s="111">
        <f ca="1">IF(Q41=0,0,LOOKUP(P41,'Emission Factors'!$A$5:$A$16,'Emission Factors'!$H$5:$H$16))</f>
        <v>0</v>
      </c>
      <c r="S41" s="105">
        <f t="shared" ca="1" si="15"/>
        <v>0</v>
      </c>
      <c r="T41" s="105" t="str">
        <f ca="1">IF(Q41=0,"",IF($I$11&gt;0,$I$11,""))</f>
        <v/>
      </c>
      <c r="U41" s="105">
        <f ca="1">IF($J$11&gt;0,"",IF($D$9&gt;0,$D$9*R41/2000,IF($D$10&gt;0,$D$10*365*R41/2000,IF($D$11&gt;0,$D$11*365*R41*Q41/2000,IF(T41="",S41*8760/2000,T41*8760/2000)))))</f>
        <v>0</v>
      </c>
      <c r="V41" s="113">
        <f t="shared" ca="1" si="11"/>
        <v>0</v>
      </c>
      <c r="W41" s="67">
        <f>IF(COUNTIF($F$24:$F$168,"no")&gt;0,0,95)</f>
        <v>95</v>
      </c>
    </row>
    <row r="42" spans="1:23" ht="14.25" customHeight="1" x14ac:dyDescent="0.2">
      <c r="C42" s="163"/>
      <c r="D42" s="163"/>
      <c r="E42" s="163"/>
      <c r="F42" s="163"/>
      <c r="G42" s="45"/>
      <c r="H42" s="127" t="str">
        <f t="shared" si="16"/>
        <v/>
      </c>
      <c r="I42" s="127" t="str">
        <f t="shared" si="14"/>
        <v/>
      </c>
      <c r="J42" s="82"/>
      <c r="K42" s="61"/>
      <c r="L42" s="156"/>
      <c r="M42" s="219" t="str">
        <f t="shared" si="17"/>
        <v/>
      </c>
      <c r="N42" s="219" t="str">
        <f t="shared" si="18"/>
        <v/>
      </c>
      <c r="P42" s="90" t="s">
        <v>197</v>
      </c>
      <c r="Q42" s="105">
        <f t="shared" ca="1" si="9"/>
        <v>0</v>
      </c>
      <c r="R42" s="111">
        <f ca="1">IF(Q42=0,0,LOOKUP(P42,'Emission Factors'!$A$5:$A$16,'Emission Factors'!$H$5:$H$16))</f>
        <v>0</v>
      </c>
      <c r="S42" s="105">
        <f t="shared" ca="1" si="15"/>
        <v>0</v>
      </c>
      <c r="T42" s="105" t="str">
        <f ca="1">IF(Q42=0,"",IF($I$11&gt;0,$I$11,IF(COUNTIF($F$24:$F$168,"no")&gt;0,"",S42*(1-0.95))))</f>
        <v/>
      </c>
      <c r="U42" s="105">
        <f ca="1">IF($J$11&gt;0,"",IF($D$9&gt;0,$D$9*R42*((100-$W$30)/100)/2000,IF($D$10&gt;0,$D$10*365*R42*((100-$W$30)/100)/2000,IF($D$11&gt;0,$D$11*365*R42*((100-$W$30)/100)*Q42/2000,IF(T42="",S42*8760/2000,T42*8760/2000)))))</f>
        <v>0</v>
      </c>
      <c r="V42" s="113">
        <f ca="1">(N180*R42)</f>
        <v>0</v>
      </c>
    </row>
    <row r="43" spans="1:23" ht="28.5" customHeight="1" x14ac:dyDescent="0.2">
      <c r="B43" s="312" t="str">
        <f>IF(AND(B45="",B46="",B47="",B48="",B49=""),"","Process (complete stack information if applicable):")</f>
        <v/>
      </c>
      <c r="C43" s="312" t="str">
        <f>IF(AND(B45="",B46="",B47="",B48="",B49=""),"","Stack Height (ft):")</f>
        <v/>
      </c>
      <c r="D43" s="312" t="str">
        <f>IF(AND(B45="",B46="",B47="",B48="",B49=""),"","Stack Diameter (inches):")</f>
        <v/>
      </c>
      <c r="E43" s="312" t="str">
        <f>IF(AND(B45="",B46="",B47="",B48="",B49=""),"","Flow Rate (acfm):")</f>
        <v/>
      </c>
      <c r="F43" s="312" t="str">
        <f>IF(AND(B45="",B46="",B47="",B48="",B49=""),"","Temp (Deg F):")</f>
        <v/>
      </c>
      <c r="G43" s="45"/>
      <c r="H43" s="127" t="str">
        <f t="shared" si="16"/>
        <v/>
      </c>
      <c r="I43" s="127" t="str">
        <f t="shared" si="14"/>
        <v/>
      </c>
      <c r="J43" s="82"/>
      <c r="K43" s="61"/>
      <c r="L43" s="156"/>
      <c r="M43" s="219" t="str">
        <f t="shared" si="17"/>
        <v/>
      </c>
      <c r="N43" s="219" t="str">
        <f t="shared" si="18"/>
        <v/>
      </c>
      <c r="P43" s="90" t="s">
        <v>198</v>
      </c>
      <c r="Q43" s="105">
        <f t="shared" ca="1" si="9"/>
        <v>0</v>
      </c>
      <c r="R43" s="111">
        <f ca="1">IF(Q43=0,0,LOOKUP(P43,'Emission Factors'!$A$5:$A$16,'Emission Factors'!$H$5:$H$16))</f>
        <v>0</v>
      </c>
      <c r="S43" s="105">
        <f t="shared" ca="1" si="15"/>
        <v>0</v>
      </c>
      <c r="T43" s="105" t="str">
        <f ca="1">IF(Q43=0,"",IF($I$11&gt;0,$I$11,IF(COUNTIF($F$24:$F$168,"no")&gt;0,"",S43*(1-0.95))))</f>
        <v/>
      </c>
      <c r="U43" s="105">
        <f ca="1">IF($J$11&gt;0,"",IF($D$9&gt;0,$D$9*R43*((100-$W$30)/100)/2000,IF($D$10&gt;0,$D$10*365*R43*((100-$W$30)/100)/2000,IF($D$11&gt;0,$D$11*365*R43*((100-$W$30)/100)*Q43/2000,IF(T43="",S43*8760/2000,T43*8760/2000)))))</f>
        <v>0</v>
      </c>
      <c r="V43" s="113">
        <f ca="1">(M180*R43)</f>
        <v>0</v>
      </c>
    </row>
    <row r="44" spans="1:23" ht="14.25" customHeight="1" x14ac:dyDescent="0.2">
      <c r="B44" s="312"/>
      <c r="C44" s="312"/>
      <c r="D44" s="312"/>
      <c r="E44" s="312"/>
      <c r="F44" s="312"/>
      <c r="G44" s="45"/>
      <c r="H44" s="127" t="str">
        <f t="shared" si="16"/>
        <v/>
      </c>
      <c r="I44" s="127" t="str">
        <f t="shared" si="14"/>
        <v/>
      </c>
      <c r="J44" s="82"/>
      <c r="K44" s="61"/>
      <c r="L44" s="156"/>
      <c r="M44" s="219" t="str">
        <f t="shared" si="17"/>
        <v/>
      </c>
      <c r="N44" s="219" t="str">
        <f t="shared" si="18"/>
        <v/>
      </c>
      <c r="P44" s="90" t="s">
        <v>199</v>
      </c>
      <c r="Q44" s="105">
        <f t="shared" ca="1" si="9"/>
        <v>0</v>
      </c>
      <c r="R44" s="111">
        <f ca="1">IF(Q44=0,0,LOOKUP(P44,'Emission Factors'!$A$5:$A$16,'Emission Factors'!$H$5:$H$16))</f>
        <v>0</v>
      </c>
      <c r="S44" s="148"/>
      <c r="T44" s="105">
        <f ca="1">IF(Q44=0,0,IF($I$10&gt;0,$I$10,Q44*R44))</f>
        <v>0</v>
      </c>
      <c r="U44" s="105">
        <f ca="1">IF($J$11&gt;0,"",IF($D$9&gt;0,$D$9*R44/2000,IF($D$10&gt;0,$D$10*365*R44/2000,IF($D$11&gt;0,$D$11*365*R44*Q44/2000,IF($I$11&gt;0,0,T44*8760/2000)))))</f>
        <v>0</v>
      </c>
      <c r="V44" s="113">
        <f ca="1">(R13*R44/2000)</f>
        <v>0</v>
      </c>
    </row>
    <row r="45" spans="1:23" ht="14.25" customHeight="1" x14ac:dyDescent="0.2">
      <c r="B45" s="45" t="str">
        <f>IF(COUNTIF(J38:J47,"Cement Delivery to Silo")&gt;0,"EP-2 Cement Silo Stack:","")</f>
        <v/>
      </c>
      <c r="C45" s="221"/>
      <c r="D45" s="221"/>
      <c r="E45" s="221"/>
      <c r="F45" s="221"/>
      <c r="H45" s="127" t="str">
        <f t="shared" si="16"/>
        <v/>
      </c>
      <c r="I45" s="127" t="str">
        <f t="shared" si="14"/>
        <v/>
      </c>
      <c r="J45" s="82"/>
      <c r="K45" s="61"/>
      <c r="L45" s="156"/>
      <c r="M45" s="219" t="str">
        <f t="shared" si="17"/>
        <v/>
      </c>
      <c r="N45" s="219" t="str">
        <f t="shared" si="18"/>
        <v/>
      </c>
      <c r="P45" s="90" t="s">
        <v>200</v>
      </c>
      <c r="Q45" s="105">
        <f t="shared" ca="1" si="9"/>
        <v>0</v>
      </c>
      <c r="R45" s="111">
        <f ca="1">IF(Q45=0,0,LOOKUP(P45,'Emission Factors'!$A$5:$A$16,'Emission Factors'!$H$5:$H$16))</f>
        <v>0</v>
      </c>
      <c r="S45" s="148"/>
      <c r="T45" s="105">
        <f ca="1">IF(Q45=0,0,IF($I$10&gt;0,$I$10,Q45*R45))</f>
        <v>0</v>
      </c>
      <c r="U45" s="105">
        <f ca="1">IF($J$11&gt;0,"",IF($D$9&gt;0,$D$9*R45/2000,IF($D$10&gt;0,$D$10*365*R45/2000,IF($D$11&gt;0,$D$11*365*R45*Q45/2000,IF($I$11&gt;0,0,T45*8760/2000)))))</f>
        <v>0</v>
      </c>
      <c r="V45" s="113">
        <f ca="1">(R14*R45/2000)</f>
        <v>0</v>
      </c>
    </row>
    <row r="46" spans="1:23" ht="14.25" customHeight="1" x14ac:dyDescent="0.2">
      <c r="B46" s="45" t="str">
        <f>IF(COUNTIF(J38:J47,"Cement Supplement Delivery to Silo")&gt;0,"EP-3 Cement Supplement Silo Stack:","")</f>
        <v/>
      </c>
      <c r="C46" s="221"/>
      <c r="D46" s="221"/>
      <c r="E46" s="221"/>
      <c r="F46" s="221"/>
      <c r="G46" s="76"/>
      <c r="H46" s="127" t="str">
        <f t="shared" si="16"/>
        <v/>
      </c>
      <c r="I46" s="127" t="str">
        <f t="shared" si="14"/>
        <v/>
      </c>
      <c r="J46" s="82"/>
      <c r="K46" s="61"/>
      <c r="L46" s="156"/>
      <c r="M46" s="219" t="str">
        <f t="shared" si="17"/>
        <v/>
      </c>
      <c r="N46" s="219" t="str">
        <f t="shared" si="18"/>
        <v/>
      </c>
      <c r="O46" s="76"/>
    </row>
    <row r="47" spans="1:23" ht="14.25" customHeight="1" x14ac:dyDescent="0.2">
      <c r="B47" s="45" t="str">
        <f>IF(COUNTIF(J38:J47,"Weigh Hopper Loading")&gt;0,"EP-4 Weigh Hopper Loading Stack:","")</f>
        <v/>
      </c>
      <c r="C47" s="221"/>
      <c r="D47" s="221"/>
      <c r="E47" s="221"/>
      <c r="F47" s="221"/>
      <c r="H47" s="127" t="str">
        <f t="shared" si="16"/>
        <v/>
      </c>
      <c r="I47" s="127" t="str">
        <f t="shared" si="14"/>
        <v/>
      </c>
      <c r="J47" s="82"/>
      <c r="K47" s="61"/>
      <c r="L47" s="156"/>
      <c r="M47" s="219" t="str">
        <f t="shared" si="17"/>
        <v/>
      </c>
      <c r="N47" s="219" t="str">
        <f t="shared" si="18"/>
        <v/>
      </c>
    </row>
    <row r="48" spans="1:23" ht="27.75" customHeight="1" x14ac:dyDescent="0.2">
      <c r="B48" s="45" t="str">
        <f>IF(COUNTIF(J38:J47,"Truck Mix Loading")&gt;0,"EP-5 Truck Mix Loading Stack:","")</f>
        <v/>
      </c>
      <c r="C48" s="221"/>
      <c r="D48" s="221"/>
      <c r="E48" s="221"/>
      <c r="F48" s="221"/>
      <c r="G48" s="146"/>
      <c r="H48" s="45"/>
      <c r="I48" s="45"/>
      <c r="P48" s="68" t="s">
        <v>40</v>
      </c>
      <c r="Q48" s="309" t="s">
        <v>151</v>
      </c>
      <c r="R48" s="309" t="s">
        <v>152</v>
      </c>
      <c r="S48" s="308" t="s">
        <v>147</v>
      </c>
      <c r="T48" s="308" t="s">
        <v>130</v>
      </c>
      <c r="U48" s="308" t="s">
        <v>14</v>
      </c>
      <c r="V48" s="308" t="s">
        <v>148</v>
      </c>
    </row>
    <row r="49" spans="2:22" ht="14.25" customHeight="1" x14ac:dyDescent="0.2">
      <c r="B49" s="45" t="str">
        <f>IF(COUNTIF(J38:J47,"Central Mix Loading")&gt;0,"EP-6 Central Mix Loading Stack:","")</f>
        <v/>
      </c>
      <c r="C49" s="221"/>
      <c r="D49" s="221"/>
      <c r="E49" s="221"/>
      <c r="F49" s="221"/>
      <c r="G49" s="71"/>
      <c r="H49" s="74" t="str">
        <f>IF('Concrete Plant (CP-2)'!$D$4&gt;1,"Stock Pile Area","")</f>
        <v/>
      </c>
      <c r="I49" s="74"/>
      <c r="J49" s="74"/>
      <c r="L49" s="76"/>
      <c r="M49" s="71"/>
      <c r="N49" s="71"/>
      <c r="P49" s="92" t="s">
        <v>153</v>
      </c>
      <c r="Q49" s="143">
        <f>Q17</f>
        <v>0</v>
      </c>
      <c r="R49" s="143">
        <v>3.64</v>
      </c>
      <c r="S49" s="143">
        <f>Q49*R49*(1/24)</f>
        <v>0</v>
      </c>
      <c r="T49" s="143"/>
      <c r="U49" s="143">
        <f>Q49*R49*365/2000</f>
        <v>0</v>
      </c>
      <c r="V49" s="143">
        <f>R17*R49/2000</f>
        <v>0</v>
      </c>
    </row>
    <row r="50" spans="2:22" ht="14.25" customHeight="1" x14ac:dyDescent="0.2">
      <c r="B50" s="73"/>
      <c r="C50" s="163"/>
      <c r="D50" s="163"/>
      <c r="E50" s="163"/>
      <c r="F50" s="163"/>
      <c r="I50" s="51" t="str">
        <f>IF('Concrete Plant (CP-2)'!$D$4&gt;1,"Emission Unit #","")</f>
        <v/>
      </c>
      <c r="J50" s="81" t="str">
        <f>IF('Concrete Plant (CP-2)'!$D$4&gt;1,"Maximum Storage Area (acres)","")</f>
        <v/>
      </c>
      <c r="K50" s="81" t="str">
        <f>IF('Concrete Plant (CP-2)'!$D$4&gt;1,"Actual Storage Area (acres)","")</f>
        <v/>
      </c>
      <c r="L50" s="81" t="str">
        <f>IF('Concrete Plant (CP-2)'!$D$4&gt;1,"Actual Days in Existence (days)","")</f>
        <v/>
      </c>
      <c r="M50" s="146"/>
      <c r="N50" s="146"/>
    </row>
    <row r="51" spans="2:22" ht="14.25" customHeight="1" x14ac:dyDescent="0.2">
      <c r="B51" s="73"/>
      <c r="C51" s="146"/>
      <c r="D51" s="146"/>
      <c r="E51" s="146"/>
      <c r="F51" s="146"/>
      <c r="G51" s="45"/>
      <c r="I51" s="63"/>
      <c r="J51" s="144"/>
      <c r="K51" s="144"/>
      <c r="L51" s="144"/>
      <c r="M51" s="146"/>
      <c r="N51" s="146"/>
    </row>
    <row r="52" spans="2:22" ht="28.5" customHeight="1" x14ac:dyDescent="0.25">
      <c r="B52" s="78" t="str">
        <f>IF('Concrete Plant (CP-2)'!$D$4&gt;2,"Batch Plant","")</f>
        <v/>
      </c>
      <c r="C52" s="71" t="str">
        <f>IF('Concrete Plant (CP-2)'!$D$4&gt;2,"Site 3","")</f>
        <v/>
      </c>
      <c r="D52" s="71"/>
      <c r="E52" s="71"/>
      <c r="F52" s="71"/>
      <c r="G52" s="45"/>
      <c r="H52" s="310" t="str">
        <f>IF('Concrete Plant (CP-2)'!$D$4&gt;2,"Emission Point #","")</f>
        <v/>
      </c>
      <c r="I52" s="310" t="str">
        <f>IF('Concrete Plant (CP-2)'!$D$4&gt;2,"Emission     Unit #","")</f>
        <v/>
      </c>
      <c r="J52" s="310" t="str">
        <f>IF('Concrete Plant (CP-2)'!$D$4&gt;2,"Processes","")</f>
        <v/>
      </c>
      <c r="K52" s="311" t="str">
        <f>IF('Concrete Plant (CP-2)'!$D$4&gt;2,"Combined Maximum Hourly Design Rate for all Like Processes (cubic yard/hr)","")</f>
        <v/>
      </c>
      <c r="L52" s="310" t="str">
        <f>IF('Concrete Plant (CP-2)'!$D$4&gt;2,('Facility Information'!G5&amp;" Annual Throughput (cubic yards)"),"")</f>
        <v/>
      </c>
      <c r="M52" s="217"/>
      <c r="N52" s="217"/>
    </row>
    <row r="53" spans="2:22" ht="14.25" customHeight="1" x14ac:dyDescent="0.2">
      <c r="B53" s="79" t="str">
        <f>IF('Concrete Plant (CP-2)'!$D$4&gt;2,"Site Name:","")</f>
        <v/>
      </c>
      <c r="C53" s="339"/>
      <c r="D53" s="342"/>
      <c r="E53" s="343"/>
      <c r="F53" s="175"/>
      <c r="G53" s="45"/>
      <c r="H53" s="127" t="str">
        <f>IF(J53="cement delivery to silo","CP-1 EP-2",IF(J53="cement supplement delivery to silo","CP-1 EP-3",IF(J53="weigh hopper loading","CP-1 EP-4",IF(J53="truck mix loading","CP-1 EP-5",IF(J53="central mix loading","CP-1 EP-6",IF(J53="","","CP-1 EP-1"))))))</f>
        <v/>
      </c>
      <c r="I53" s="127" t="str">
        <f t="shared" ref="I53:I62" si="19">IF(J53="","",IF(J53="aggregate delivery to ground storage","CP-2 EU-1",IF(J53="sand delivery to ground storage","CP-2 EU-2",IF(J53="aggregate transfer to conveyor","CP-2 EU-3",IF(J53="sand transfer to conveyor","CP-2 EU-4",IF(J53="aggregate transfer to elevated storage","CP-2 EU-5",IF(J53="sand transfer to elevated storage","CP-2 EU-6",IF(J53="weigh hopper loading","CP-2 EU-7",IF(J53="central mix loading","CP-2 EU-8",IF(J53="truck mix loading","CP-2 EU-9",IF(J53="cement delivery to silo","CP-2 EU-10",IF(J53="cement supplement delivery to silo","CP-2 EU-11"))))))))))))</f>
        <v/>
      </c>
      <c r="J53" s="82"/>
      <c r="K53" s="61"/>
      <c r="L53" s="156"/>
      <c r="M53" s="219" t="str">
        <f>IF(J53="truck mix loading",IF($F$56="yes",L53*0.05/2000,L53/2000),"")</f>
        <v/>
      </c>
      <c r="N53" s="219" t="str">
        <f>IF(J53="central mix loading",IF($F$56="yes",L53*0.05/2000,L53/2000),"")</f>
        <v/>
      </c>
      <c r="Q53" s="68"/>
      <c r="R53" s="68"/>
      <c r="S53" s="68"/>
    </row>
    <row r="54" spans="2:22" ht="14.25" customHeight="1" x14ac:dyDescent="0.2">
      <c r="B54" s="79" t="str">
        <f>IF('Concrete Plant (CP-2)'!$D$4&gt;2,"County:","")</f>
        <v/>
      </c>
      <c r="C54" s="339"/>
      <c r="D54" s="342"/>
      <c r="E54" s="343"/>
      <c r="F54" s="175"/>
      <c r="G54" s="45"/>
      <c r="H54" s="127" t="str">
        <f t="shared" ref="H54:H62" si="20">IF(J54="cement delivery to silo","CP-1 EP-2",IF(J54="cement supplement delivery to silo","CP-1 EP-3",IF(J54="weigh hopper loading","CP-1 EP-4",IF(J54="truck mix loading","CP-1 EP-5",IF(J54="central mix loading","CP-1 EP-6",IF(J54="","","CP-1 EP-1"))))))</f>
        <v/>
      </c>
      <c r="I54" s="127" t="str">
        <f t="shared" si="19"/>
        <v/>
      </c>
      <c r="J54" s="82"/>
      <c r="K54" s="61"/>
      <c r="L54" s="156"/>
      <c r="M54" s="219" t="str">
        <f t="shared" ref="M54:M62" si="21">IF(J54="truck mix loading",IF($F$56="yes",L54*0.05/2000,L54/2000),"")</f>
        <v/>
      </c>
      <c r="N54" s="219" t="str">
        <f t="shared" ref="N54:N62" si="22">IF(J54="central mix loading",IF($F$56="yes",L54*0.05/2000,L54/2000),"")</f>
        <v/>
      </c>
      <c r="Q54" s="68"/>
      <c r="R54" s="68"/>
      <c r="S54" s="68"/>
    </row>
    <row r="55" spans="2:22" ht="14.25" customHeight="1" x14ac:dyDescent="0.2">
      <c r="B55" s="79" t="str">
        <f>IF('Concrete Plant (CP-2)'!$D$4&gt;2,"Batching Period (Dates):","")</f>
        <v/>
      </c>
      <c r="C55" s="339"/>
      <c r="D55" s="342"/>
      <c r="E55" s="343"/>
      <c r="F55" s="175"/>
      <c r="G55" s="45"/>
      <c r="H55" s="127" t="str">
        <f t="shared" si="20"/>
        <v/>
      </c>
      <c r="I55" s="127" t="str">
        <f t="shared" si="19"/>
        <v/>
      </c>
      <c r="J55" s="82"/>
      <c r="K55" s="61"/>
      <c r="L55" s="156"/>
      <c r="M55" s="219" t="str">
        <f t="shared" si="21"/>
        <v/>
      </c>
      <c r="N55" s="219" t="str">
        <f t="shared" si="22"/>
        <v/>
      </c>
      <c r="Q55" s="68"/>
      <c r="R55" s="68"/>
      <c r="S55" s="68"/>
    </row>
    <row r="56" spans="2:22" ht="14.25" customHeight="1" x14ac:dyDescent="0.2">
      <c r="B56" s="51" t="str">
        <f>IF(OR(COUNTIF(J53:J62,"Truck Mix Loading")&gt;0,(COUNTIF(J53:J62,"Central Mix Loading")&gt;0)),"Is the Central/Truck Mix Loading process controlled by a baghouse?","")</f>
        <v/>
      </c>
      <c r="C56" s="51"/>
      <c r="D56" s="51"/>
      <c r="E56" s="51"/>
      <c r="F56" s="221"/>
      <c r="G56" s="45"/>
      <c r="H56" s="127" t="str">
        <f t="shared" si="20"/>
        <v/>
      </c>
      <c r="I56" s="127" t="str">
        <f t="shared" si="19"/>
        <v/>
      </c>
      <c r="J56" s="82"/>
      <c r="K56" s="61"/>
      <c r="L56" s="156"/>
      <c r="M56" s="219" t="str">
        <f t="shared" si="21"/>
        <v/>
      </c>
      <c r="N56" s="219" t="str">
        <f t="shared" si="22"/>
        <v/>
      </c>
      <c r="Q56" s="68"/>
      <c r="R56" s="68"/>
      <c r="S56" s="68"/>
    </row>
    <row r="57" spans="2:22" ht="14.25" customHeight="1" x14ac:dyDescent="0.2">
      <c r="C57" s="163"/>
      <c r="D57" s="163"/>
      <c r="E57" s="163"/>
      <c r="F57" s="163"/>
      <c r="G57" s="45"/>
      <c r="H57" s="127" t="str">
        <f t="shared" si="20"/>
        <v/>
      </c>
      <c r="I57" s="127" t="str">
        <f t="shared" si="19"/>
        <v/>
      </c>
      <c r="J57" s="82"/>
      <c r="K57" s="61"/>
      <c r="L57" s="156"/>
      <c r="M57" s="219" t="str">
        <f t="shared" si="21"/>
        <v/>
      </c>
      <c r="N57" s="219" t="str">
        <f t="shared" si="22"/>
        <v/>
      </c>
      <c r="Q57" s="68"/>
      <c r="R57" s="68"/>
      <c r="S57" s="68"/>
    </row>
    <row r="58" spans="2:22" ht="28.5" customHeight="1" x14ac:dyDescent="0.2">
      <c r="B58" s="312" t="str">
        <f>IF(AND(B60="",B61="",B62="",B63="",B64=""),"","Process (complete stack information if applicable):")</f>
        <v/>
      </c>
      <c r="C58" s="312" t="str">
        <f>IF(AND(B60="",B61="",B62="",B63="",B64=""),"","Stack Height (ft):")</f>
        <v/>
      </c>
      <c r="D58" s="312" t="str">
        <f>IF(AND(B60="",B61="",B62="",B63="",B64=""),"","Stack Diameter (inches):")</f>
        <v/>
      </c>
      <c r="E58" s="312" t="str">
        <f>IF(AND(B60="",B61="",B62="",B63="",B64=""),"","Flow Rate (acfm):")</f>
        <v/>
      </c>
      <c r="F58" s="312" t="str">
        <f>IF(AND(B60="",B61="",B62="",B63="",B64=""),"","Temp (Deg F):")</f>
        <v/>
      </c>
      <c r="H58" s="127" t="str">
        <f t="shared" si="20"/>
        <v/>
      </c>
      <c r="I58" s="127" t="str">
        <f t="shared" si="19"/>
        <v/>
      </c>
      <c r="J58" s="82"/>
      <c r="K58" s="61"/>
      <c r="L58" s="156"/>
      <c r="M58" s="219" t="str">
        <f t="shared" si="21"/>
        <v/>
      </c>
      <c r="N58" s="219" t="str">
        <f t="shared" si="22"/>
        <v/>
      </c>
    </row>
    <row r="59" spans="2:22" ht="14.25" customHeight="1" x14ac:dyDescent="0.2">
      <c r="B59" s="312"/>
      <c r="C59" s="312"/>
      <c r="D59" s="312"/>
      <c r="E59" s="312"/>
      <c r="F59" s="312"/>
      <c r="G59" s="76"/>
      <c r="H59" s="127" t="str">
        <f t="shared" si="20"/>
        <v/>
      </c>
      <c r="I59" s="127" t="str">
        <f t="shared" si="19"/>
        <v/>
      </c>
      <c r="J59" s="82"/>
      <c r="K59" s="61"/>
      <c r="L59" s="156"/>
      <c r="M59" s="219" t="str">
        <f t="shared" si="21"/>
        <v/>
      </c>
      <c r="N59" s="219" t="str">
        <f t="shared" si="22"/>
        <v/>
      </c>
    </row>
    <row r="60" spans="2:22" ht="14.25" customHeight="1" x14ac:dyDescent="0.2">
      <c r="B60" s="45" t="str">
        <f>IF(COUNTIF(J53:J62,"Cement Delivery to Silo")&gt;0,"EP-2 Cement Silo Stack:","")</f>
        <v/>
      </c>
      <c r="C60" s="221"/>
      <c r="D60" s="221"/>
      <c r="E60" s="221"/>
      <c r="F60" s="221"/>
      <c r="H60" s="127" t="str">
        <f t="shared" si="20"/>
        <v/>
      </c>
      <c r="I60" s="127" t="str">
        <f t="shared" si="19"/>
        <v/>
      </c>
      <c r="J60" s="82"/>
      <c r="K60" s="61"/>
      <c r="L60" s="156"/>
      <c r="M60" s="219" t="str">
        <f t="shared" si="21"/>
        <v/>
      </c>
      <c r="N60" s="219" t="str">
        <f t="shared" si="22"/>
        <v/>
      </c>
    </row>
    <row r="61" spans="2:22" ht="14.25" customHeight="1" x14ac:dyDescent="0.2">
      <c r="B61" s="45" t="str">
        <f>IF(COUNTIF(J53:J62,"Cement Supplement Delivery to Silo")&gt;0,"EP-3 Cement Supplement Silo Stack:","")</f>
        <v/>
      </c>
      <c r="C61" s="221"/>
      <c r="D61" s="221"/>
      <c r="E61" s="221"/>
      <c r="F61" s="221"/>
      <c r="H61" s="127" t="str">
        <f t="shared" si="20"/>
        <v/>
      </c>
      <c r="I61" s="127" t="str">
        <f t="shared" si="19"/>
        <v/>
      </c>
      <c r="J61" s="82"/>
      <c r="K61" s="61"/>
      <c r="L61" s="156"/>
      <c r="M61" s="219" t="str">
        <f t="shared" si="21"/>
        <v/>
      </c>
      <c r="N61" s="219" t="str">
        <f t="shared" si="22"/>
        <v/>
      </c>
    </row>
    <row r="62" spans="2:22" ht="14.25" customHeight="1" x14ac:dyDescent="0.2">
      <c r="B62" s="45" t="str">
        <f>IF(COUNTIF(J53:J62,"Weigh Hopper Loading")&gt;0,"EP-4 Weigh Hopper Loading Stack:","")</f>
        <v/>
      </c>
      <c r="C62" s="221"/>
      <c r="D62" s="221"/>
      <c r="E62" s="221"/>
      <c r="F62" s="221"/>
      <c r="H62" s="127" t="str">
        <f t="shared" si="20"/>
        <v/>
      </c>
      <c r="I62" s="127" t="str">
        <f t="shared" si="19"/>
        <v/>
      </c>
      <c r="J62" s="82"/>
      <c r="K62" s="61"/>
      <c r="L62" s="156"/>
      <c r="M62" s="219" t="str">
        <f t="shared" si="21"/>
        <v/>
      </c>
      <c r="N62" s="219" t="str">
        <f t="shared" si="22"/>
        <v/>
      </c>
    </row>
    <row r="63" spans="2:22" ht="14.25" customHeight="1" x14ac:dyDescent="0.2">
      <c r="B63" s="45" t="str">
        <f>IF(COUNTIF(J53:J62,"Truck Mix Loading")&gt;0,"EP-5 Truck Mix Loading Stack:","")</f>
        <v/>
      </c>
      <c r="C63" s="221"/>
      <c r="D63" s="221"/>
      <c r="E63" s="221"/>
      <c r="F63" s="221"/>
      <c r="H63" s="45"/>
      <c r="I63" s="45"/>
    </row>
    <row r="64" spans="2:22" ht="14.25" customHeight="1" x14ac:dyDescent="0.2">
      <c r="B64" s="45" t="str">
        <f>IF(COUNTIF(J53:J62,"Central Mix Loading")&gt;0,"EP-6 Central Mix Loading Stack:","")</f>
        <v/>
      </c>
      <c r="C64" s="221"/>
      <c r="D64" s="221"/>
      <c r="E64" s="221"/>
      <c r="F64" s="221"/>
      <c r="G64" s="45"/>
      <c r="H64" s="74" t="str">
        <f>IF('Concrete Plant (CP-2)'!$D$4&gt;2,"Stock Pile Area","")</f>
        <v/>
      </c>
      <c r="I64" s="74"/>
      <c r="J64" s="75"/>
    </row>
    <row r="65" spans="2:14" ht="14.25" customHeight="1" x14ac:dyDescent="0.2">
      <c r="B65" s="73"/>
      <c r="C65" s="163"/>
      <c r="D65" s="163"/>
      <c r="E65" s="163"/>
      <c r="F65" s="163"/>
      <c r="G65" s="45"/>
      <c r="I65" s="51" t="str">
        <f>IF('Concrete Plant (CP-2)'!$D$4&gt;2,"Emission Unit #","")</f>
        <v/>
      </c>
      <c r="J65" s="80" t="str">
        <f>IF('Concrete Plant (CP-2)'!$D$4&gt;2,"Maximum Storage Area (acres)","")</f>
        <v/>
      </c>
      <c r="K65" s="81" t="str">
        <f>IF('Concrete Plant (CP-2)'!$D$4&gt;2,"Actual Storage Area (acres)","")</f>
        <v/>
      </c>
      <c r="L65" s="80" t="str">
        <f>IF('Concrete Plant (CP-2)'!$D$4&gt;2,"Actual Days in Existence (days)","")</f>
        <v/>
      </c>
      <c r="M65" s="146"/>
      <c r="N65" s="146"/>
    </row>
    <row r="66" spans="2:14" ht="14.25" customHeight="1" x14ac:dyDescent="0.2">
      <c r="B66" s="73"/>
      <c r="C66" s="163"/>
      <c r="D66" s="163"/>
      <c r="E66" s="163"/>
      <c r="F66" s="163"/>
      <c r="G66" s="45"/>
      <c r="I66" s="65"/>
      <c r="J66" s="144"/>
      <c r="K66" s="66"/>
      <c r="L66" s="144"/>
      <c r="M66" s="146"/>
      <c r="N66" s="146"/>
    </row>
    <row r="67" spans="2:14" ht="14.25" customHeight="1" x14ac:dyDescent="0.2">
      <c r="B67" s="73"/>
      <c r="C67" s="163"/>
      <c r="D67" s="163"/>
      <c r="E67" s="163"/>
      <c r="F67" s="163"/>
      <c r="G67" s="45"/>
    </row>
    <row r="68" spans="2:14" ht="31.5" customHeight="1" x14ac:dyDescent="0.25">
      <c r="B68" s="78" t="str">
        <f>IF('Concrete Plant (CP-2)'!$D$4&gt;3,"Batch Plant","")</f>
        <v/>
      </c>
      <c r="C68" s="71" t="str">
        <f>IF('Concrete Plant (CP-2)'!$D$4&gt;3,"Site 4","")</f>
        <v/>
      </c>
      <c r="D68" s="71"/>
      <c r="E68" s="71"/>
      <c r="F68" s="71"/>
      <c r="G68" s="45"/>
      <c r="H68" s="310" t="str">
        <f>IF('Concrete Plant (CP-2)'!$D$4&gt;3,"Emission Point #","")</f>
        <v/>
      </c>
      <c r="I68" s="310" t="str">
        <f>IF('Concrete Plant (CP-2)'!$D$4&gt;3,"Emission     Unit #","")</f>
        <v/>
      </c>
      <c r="J68" s="310" t="str">
        <f>IF('Concrete Plant (CP-2)'!$D$4&gt;3,"Processes","")</f>
        <v/>
      </c>
      <c r="K68" s="311" t="str">
        <f>IF('Concrete Plant (CP-2)'!$D$4&gt;3,"Combined Maximum Hourly Design Rate for all Like Processes (cubic yard/hr)","")</f>
        <v/>
      </c>
      <c r="L68" s="310" t="str">
        <f>IF('Concrete Plant (CP-2)'!$D$4&gt;3,('Facility Information'!G5&amp;" Annual Throughput (cubic yards)"),"")</f>
        <v/>
      </c>
      <c r="M68" s="217"/>
      <c r="N68" s="217"/>
    </row>
    <row r="69" spans="2:14" ht="14.25" customHeight="1" x14ac:dyDescent="0.2">
      <c r="B69" s="79" t="str">
        <f>IF('Concrete Plant (CP-2)'!$D$4&gt;3,"Site Name:","")</f>
        <v/>
      </c>
      <c r="C69" s="339"/>
      <c r="D69" s="342"/>
      <c r="E69" s="343"/>
      <c r="F69" s="175"/>
      <c r="G69" s="45"/>
      <c r="H69" s="127" t="str">
        <f>IF(J69="cement delivery to silo","CP-1 EP-2",IF(J69="cement supplement delivery to silo","CP-1 EP-3",IF(J69="weigh hopper loading","CP-1 EP-4",IF(J69="truck mix loading","CP-1 EP-5",IF(J69="central mix loading","CP-1 EP-6",IF(J69="","","CP-1 EP-1"))))))</f>
        <v/>
      </c>
      <c r="I69" s="127" t="str">
        <f t="shared" ref="I69:I78" si="23">IF(J69="","",IF(J69="aggregate delivery to ground storage","CP-2 EU-1",IF(J69="sand delivery to ground storage","CP-2 EU-2",IF(J69="aggregate transfer to conveyor","CP-2 EU-3",IF(J69="sand transfer to conveyor","CP-2 EU-4",IF(J69="aggregate transfer to elevated storage","CP-2 EU-5",IF(J69="sand transfer to elevated storage","CP-2 EU-6",IF(J69="weigh hopper loading","CP-2 EU-7",IF(J69="central mix loading","CP-2 EU-8",IF(J69="truck mix loading","CP-2 EU-9",IF(J69="cement delivery to silo","CP-2 EU-10",IF(J69="cement supplement delivery to silo","CP-2 EU-11"))))))))))))</f>
        <v/>
      </c>
      <c r="J69" s="82"/>
      <c r="K69" s="61"/>
      <c r="L69" s="156"/>
      <c r="M69" s="219" t="str">
        <f>IF(J69="truck mix loading",IF($F$72="yes",L69*0.05/2000,L69/2000),"")</f>
        <v/>
      </c>
      <c r="N69" s="219" t="str">
        <f>IF(J69="central mix loading",IF($F$72="yes",L69*0.05/2000,L69/2000),"")</f>
        <v/>
      </c>
    </row>
    <row r="70" spans="2:14" ht="14.25" customHeight="1" x14ac:dyDescent="0.2">
      <c r="B70" s="79" t="str">
        <f>IF('Concrete Plant (CP-2)'!$D$4&gt;3,"County:","")</f>
        <v/>
      </c>
      <c r="C70" s="339"/>
      <c r="D70" s="342"/>
      <c r="E70" s="343"/>
      <c r="F70" s="175"/>
      <c r="G70" s="45"/>
      <c r="H70" s="127" t="str">
        <f t="shared" ref="H70:H78" si="24">IF(J70="cement delivery to silo","CP-1 EP-2",IF(J70="cement supplement delivery to silo","CP-1 EP-3",IF(J70="weigh hopper loading","CP-1 EP-4",IF(J70="truck mix loading","CP-1 EP-5",IF(J70="central mix loading","CP-1 EP-6",IF(J70="","","CP-1 EP-1"))))))</f>
        <v/>
      </c>
      <c r="I70" s="127" t="str">
        <f t="shared" si="23"/>
        <v/>
      </c>
      <c r="J70" s="82"/>
      <c r="K70" s="61"/>
      <c r="L70" s="156"/>
      <c r="M70" s="219" t="str">
        <f t="shared" ref="M70:M78" si="25">IF(J70="truck mix loading",IF($F$72="yes",L70*0.05/2000,L70/2000),"")</f>
        <v/>
      </c>
      <c r="N70" s="219" t="str">
        <f t="shared" ref="N70:N78" si="26">IF(J70="central mix loading",IF($F$72="yes",L70*0.05/2000,L70/2000),"")</f>
        <v/>
      </c>
    </row>
    <row r="71" spans="2:14" ht="14.25" customHeight="1" x14ac:dyDescent="0.2">
      <c r="B71" s="79" t="str">
        <f>IF('Concrete Plant (CP-2)'!$D$4&gt;3,"Batching Period (Dates):","")</f>
        <v/>
      </c>
      <c r="C71" s="339"/>
      <c r="D71" s="342"/>
      <c r="E71" s="343"/>
      <c r="F71" s="175"/>
      <c r="G71" s="45"/>
      <c r="H71" s="127" t="str">
        <f t="shared" si="24"/>
        <v/>
      </c>
      <c r="I71" s="127" t="str">
        <f t="shared" si="23"/>
        <v/>
      </c>
      <c r="J71" s="82"/>
      <c r="K71" s="61"/>
      <c r="L71" s="156"/>
      <c r="M71" s="219" t="str">
        <f t="shared" si="25"/>
        <v/>
      </c>
      <c r="N71" s="219" t="str">
        <f t="shared" si="26"/>
        <v/>
      </c>
    </row>
    <row r="72" spans="2:14" ht="14.25" customHeight="1" x14ac:dyDescent="0.2">
      <c r="B72" s="51" t="str">
        <f>IF(OR(COUNTIF(J69:J78,"Truck Mix Loading")&gt;0,(COUNTIF(J69:J78,"Central Mix Loading")&gt;0)),"Is the Central/Truck Mix Loading process controlled by a baghouse?","")</f>
        <v/>
      </c>
      <c r="C72" s="51"/>
      <c r="D72" s="51"/>
      <c r="E72" s="51"/>
      <c r="F72" s="221"/>
      <c r="H72" s="127" t="str">
        <f t="shared" si="24"/>
        <v/>
      </c>
      <c r="I72" s="127" t="str">
        <f t="shared" si="23"/>
        <v/>
      </c>
      <c r="J72" s="82"/>
      <c r="K72" s="61"/>
      <c r="L72" s="156"/>
      <c r="M72" s="219" t="str">
        <f t="shared" si="25"/>
        <v/>
      </c>
      <c r="N72" s="219" t="str">
        <f t="shared" si="26"/>
        <v/>
      </c>
    </row>
    <row r="73" spans="2:14" ht="14.25" customHeight="1" x14ac:dyDescent="0.2">
      <c r="C73" s="163"/>
      <c r="D73" s="163"/>
      <c r="E73" s="163"/>
      <c r="F73" s="163"/>
      <c r="G73" s="76"/>
      <c r="H73" s="127" t="str">
        <f t="shared" si="24"/>
        <v/>
      </c>
      <c r="I73" s="127" t="str">
        <f t="shared" si="23"/>
        <v/>
      </c>
      <c r="J73" s="82"/>
      <c r="K73" s="61"/>
      <c r="L73" s="156"/>
      <c r="M73" s="219" t="str">
        <f t="shared" si="25"/>
        <v/>
      </c>
      <c r="N73" s="219" t="str">
        <f t="shared" si="26"/>
        <v/>
      </c>
    </row>
    <row r="74" spans="2:14" ht="27.75" customHeight="1" x14ac:dyDescent="0.2">
      <c r="B74" s="312" t="str">
        <f>IF(AND(B76="",B77="",B78="",B79="",B80=""),"","Process (complete stack information if applicable):")</f>
        <v/>
      </c>
      <c r="C74" s="312" t="str">
        <f>IF(AND(B76="",B77="",B78="",B79="",B80=""),"","Stack Height (ft):")</f>
        <v/>
      </c>
      <c r="D74" s="312" t="str">
        <f>IF(AND(B76="",B77="",B78="",B79="",B80=""),"","Stack Diameter (inches):")</f>
        <v/>
      </c>
      <c r="E74" s="312" t="str">
        <f>IF(AND(B76="",B77="",B78="",B79="",B80=""),"","Flow Rate (acfm):")</f>
        <v/>
      </c>
      <c r="F74" s="312" t="str">
        <f>IF(AND(B76="",B77="",B78="",B79="",B80=""),"","Temp (Deg F):")</f>
        <v/>
      </c>
      <c r="H74" s="127" t="str">
        <f t="shared" si="24"/>
        <v/>
      </c>
      <c r="I74" s="127" t="str">
        <f t="shared" si="23"/>
        <v/>
      </c>
      <c r="J74" s="82"/>
      <c r="K74" s="61"/>
      <c r="L74" s="156"/>
      <c r="M74" s="219" t="str">
        <f t="shared" si="25"/>
        <v/>
      </c>
      <c r="N74" s="219" t="str">
        <f t="shared" si="26"/>
        <v/>
      </c>
    </row>
    <row r="75" spans="2:14" ht="14.25" customHeight="1" x14ac:dyDescent="0.2">
      <c r="B75" s="312"/>
      <c r="C75" s="312"/>
      <c r="D75" s="312"/>
      <c r="E75" s="312"/>
      <c r="F75" s="312"/>
      <c r="H75" s="127" t="str">
        <f t="shared" si="24"/>
        <v/>
      </c>
      <c r="I75" s="127" t="str">
        <f t="shared" si="23"/>
        <v/>
      </c>
      <c r="J75" s="82"/>
      <c r="K75" s="61"/>
      <c r="L75" s="156"/>
      <c r="M75" s="219" t="str">
        <f t="shared" si="25"/>
        <v/>
      </c>
      <c r="N75" s="219" t="str">
        <f t="shared" si="26"/>
        <v/>
      </c>
    </row>
    <row r="76" spans="2:14" ht="14.25" customHeight="1" x14ac:dyDescent="0.2">
      <c r="B76" s="45" t="str">
        <f>IF(COUNTIF(J69:J78,"Cement Delivery to Silo")&gt;0,"EP-2 Cement Silo Stack:","")</f>
        <v/>
      </c>
      <c r="C76" s="221"/>
      <c r="D76" s="221"/>
      <c r="E76" s="221"/>
      <c r="F76" s="221"/>
      <c r="H76" s="127" t="str">
        <f t="shared" si="24"/>
        <v/>
      </c>
      <c r="I76" s="127" t="str">
        <f t="shared" si="23"/>
        <v/>
      </c>
      <c r="J76" s="82"/>
      <c r="K76" s="61"/>
      <c r="L76" s="156"/>
      <c r="M76" s="219" t="str">
        <f t="shared" si="25"/>
        <v/>
      </c>
      <c r="N76" s="219" t="str">
        <f t="shared" si="26"/>
        <v/>
      </c>
    </row>
    <row r="77" spans="2:14" ht="14.25" customHeight="1" x14ac:dyDescent="0.2">
      <c r="B77" s="45" t="str">
        <f>IF(COUNTIF(J69:J78,"Cement Supplement Delivery to Silo")&gt;0,"EP-3 Cement Supplement Silo Stack:","")</f>
        <v/>
      </c>
      <c r="C77" s="221"/>
      <c r="D77" s="221"/>
      <c r="E77" s="221"/>
      <c r="F77" s="221"/>
      <c r="H77" s="127" t="str">
        <f t="shared" si="24"/>
        <v/>
      </c>
      <c r="I77" s="127" t="str">
        <f t="shared" si="23"/>
        <v/>
      </c>
      <c r="J77" s="82"/>
      <c r="K77" s="61"/>
      <c r="L77" s="156"/>
      <c r="M77" s="219" t="str">
        <f t="shared" si="25"/>
        <v/>
      </c>
      <c r="N77" s="219" t="str">
        <f t="shared" si="26"/>
        <v/>
      </c>
    </row>
    <row r="78" spans="2:14" ht="14.25" customHeight="1" x14ac:dyDescent="0.2">
      <c r="B78" s="45" t="str">
        <f>IF(COUNTIF(J69:J78,"Weigh Hopper Loading")&gt;0,"EP-4 Weigh Hopper Loading Stack:","")</f>
        <v/>
      </c>
      <c r="C78" s="221"/>
      <c r="D78" s="221"/>
      <c r="E78" s="221"/>
      <c r="F78" s="221"/>
      <c r="G78" s="45"/>
      <c r="H78" s="127" t="str">
        <f t="shared" si="24"/>
        <v/>
      </c>
      <c r="I78" s="127" t="str">
        <f t="shared" si="23"/>
        <v/>
      </c>
      <c r="J78" s="82"/>
      <c r="K78" s="61"/>
      <c r="L78" s="156"/>
      <c r="M78" s="219" t="str">
        <f t="shared" si="25"/>
        <v/>
      </c>
      <c r="N78" s="219" t="str">
        <f t="shared" si="26"/>
        <v/>
      </c>
    </row>
    <row r="79" spans="2:14" ht="14.25" customHeight="1" x14ac:dyDescent="0.2">
      <c r="B79" s="45" t="str">
        <f>IF(COUNTIF(J69:J78,"Truck Mix Loading")&gt;0,"EP-5 Truck Mix Loading Stack:","")</f>
        <v/>
      </c>
      <c r="C79" s="221"/>
      <c r="D79" s="221"/>
      <c r="E79" s="221"/>
      <c r="F79" s="221"/>
      <c r="G79" s="45"/>
      <c r="H79" s="45"/>
      <c r="I79" s="45"/>
    </row>
    <row r="80" spans="2:14" ht="14.25" customHeight="1" x14ac:dyDescent="0.2">
      <c r="B80" s="45" t="str">
        <f>IF(COUNTIF(J69:J78,"Central Mix Loading")&gt;0,"EP-6 Central Mix Loading Stack:","")</f>
        <v/>
      </c>
      <c r="C80" s="221"/>
      <c r="D80" s="221"/>
      <c r="E80" s="221"/>
      <c r="F80" s="221"/>
      <c r="G80" s="45"/>
      <c r="H80" s="74" t="str">
        <f>IF('Concrete Plant (CP-2)'!$D$4&gt;3,"Stock Pile Area","")</f>
        <v/>
      </c>
      <c r="I80" s="74"/>
      <c r="J80" s="75"/>
    </row>
    <row r="81" spans="2:14" ht="14.25" customHeight="1" x14ac:dyDescent="0.2">
      <c r="B81" s="73"/>
      <c r="C81" s="163"/>
      <c r="D81" s="163"/>
      <c r="E81" s="163"/>
      <c r="F81" s="163"/>
      <c r="G81" s="45"/>
      <c r="I81" s="51" t="str">
        <f>IF('Concrete Plant (CP-2)'!$D$4&gt;3,"Emission Unit #","")</f>
        <v/>
      </c>
      <c r="J81" s="80" t="str">
        <f>IF('Concrete Plant (CP-2)'!$D$4&gt;3,"Maximum Storage Area (acres)","")</f>
        <v/>
      </c>
      <c r="K81" s="81" t="str">
        <f>IF('Concrete Plant (CP-2)'!$D$4&gt;3,"Actual Storage Area (acres)","")</f>
        <v/>
      </c>
      <c r="L81" s="80" t="str">
        <f>IF('Concrete Plant (CP-2)'!$D$4&gt;3,"Actual Days in Existence (days)","")</f>
        <v/>
      </c>
      <c r="M81" s="146"/>
      <c r="N81" s="146"/>
    </row>
    <row r="82" spans="2:14" ht="14.25" customHeight="1" x14ac:dyDescent="0.2">
      <c r="B82" s="73"/>
      <c r="C82" s="163"/>
      <c r="D82" s="163"/>
      <c r="E82" s="163"/>
      <c r="F82" s="163"/>
      <c r="G82" s="45"/>
      <c r="I82" s="65"/>
      <c r="J82" s="144"/>
      <c r="K82" s="66"/>
      <c r="L82" s="144"/>
      <c r="M82" s="146"/>
      <c r="N82" s="146"/>
    </row>
    <row r="83" spans="2:14" ht="14.25" customHeight="1" x14ac:dyDescent="0.2">
      <c r="B83" s="73"/>
      <c r="C83" s="163"/>
      <c r="D83" s="163"/>
      <c r="E83" s="163"/>
      <c r="F83" s="163"/>
      <c r="G83" s="45"/>
    </row>
    <row r="84" spans="2:14" ht="38.25" customHeight="1" x14ac:dyDescent="0.25">
      <c r="B84" s="78" t="str">
        <f>IF('Concrete Plant (CP-2)'!$D$4&gt;4,"Batch Plant","")</f>
        <v/>
      </c>
      <c r="C84" s="71" t="str">
        <f>IF('Concrete Plant (CP-2)'!$D$4&gt;4,"Site 5","")</f>
        <v/>
      </c>
      <c r="D84" s="71"/>
      <c r="E84" s="71"/>
      <c r="F84" s="71"/>
      <c r="G84" s="45"/>
      <c r="H84" s="310" t="str">
        <f>IF('Concrete Plant (CP-2)'!$D$4&gt;4,"Emission Point #","")</f>
        <v/>
      </c>
      <c r="I84" s="310" t="str">
        <f>IF('Concrete Plant (CP-2)'!$D$4&gt;4,"Emission     Unit #","")</f>
        <v/>
      </c>
      <c r="J84" s="310" t="str">
        <f>IF('Concrete Plant (CP-2)'!$D$4&gt;4,"Processes","")</f>
        <v/>
      </c>
      <c r="K84" s="311" t="str">
        <f>IF('Concrete Plant (CP-2)'!$D$4&gt;4,"Combined Maximum Hourly Design Rate for all Like Processes (cubic yard/hr)","")</f>
        <v/>
      </c>
      <c r="L84" s="310" t="str">
        <f>IF('Concrete Plant (CP-2)'!$D$4&gt;4,('Facility Information'!G5&amp;" Annual Throughput (cubic yards)"),"")</f>
        <v/>
      </c>
      <c r="M84" s="217"/>
      <c r="N84" s="217"/>
    </row>
    <row r="85" spans="2:14" ht="14.25" customHeight="1" x14ac:dyDescent="0.2">
      <c r="B85" s="79" t="str">
        <f>IF('Concrete Plant (CP-2)'!$D$4&gt;4,"Site Name:","")</f>
        <v/>
      </c>
      <c r="C85" s="339"/>
      <c r="D85" s="342"/>
      <c r="E85" s="343"/>
      <c r="F85" s="175"/>
      <c r="G85" s="45"/>
      <c r="H85" s="127" t="str">
        <f>IF(J85="cement delivery to silo","CP-1 EP-2",IF(J85="cement supplement delivery to silo","CP-1 EP-3",IF(J85="weigh hopper loading","CP-1 EP-4",IF(J85="truck mix loading","CP-1 EP-5",IF(J85="central mix loading","CP-1 EP-6",IF(J85="","","CP-1 EP-1"))))))</f>
        <v/>
      </c>
      <c r="I85" s="127" t="str">
        <f t="shared" ref="I85:I94" si="27">IF(J85="","",IF(J85="aggregate delivery to ground storage","CP-2 EU-1",IF(J85="sand delivery to ground storage","CP-2 EU-2",IF(J85="aggregate transfer to conveyor","CP-2 EU-3",IF(J85="sand transfer to conveyor","CP-2 EU-4",IF(J85="aggregate transfer to elevated storage","CP-2 EU-5",IF(J85="sand transfer to elevated storage","CP-2 EU-6",IF(J85="weigh hopper loading","CP-2 EU-7",IF(J85="central mix loading","CP-2 EU-8",IF(J85="truck mix loading","CP-2 EU-9",IF(J85="cement delivery to silo","CP-2 EU-10",IF(J85="cement supplement delivery to silo","CP-2 EU-11"))))))))))))</f>
        <v/>
      </c>
      <c r="J85" s="82"/>
      <c r="K85" s="61"/>
      <c r="L85" s="156"/>
      <c r="M85" s="219" t="str">
        <f>IF(J85="truck mix loading",IF($F$88="yes",L85*0.05/2000,L85/2000),"")</f>
        <v/>
      </c>
      <c r="N85" s="219" t="str">
        <f>IF(J85="central mix loading",IF($F$88="yes",L85*0.05/2000,L85/2000),"")</f>
        <v/>
      </c>
    </row>
    <row r="86" spans="2:14" ht="14.25" customHeight="1" x14ac:dyDescent="0.2">
      <c r="B86" s="79" t="str">
        <f>IF('Concrete Plant (CP-2)'!$D$4&gt;4,"County:","")</f>
        <v/>
      </c>
      <c r="C86" s="339"/>
      <c r="D86" s="342"/>
      <c r="E86" s="343"/>
      <c r="F86" s="175"/>
      <c r="H86" s="127" t="str">
        <f t="shared" ref="H86:H94" si="28">IF(J86="cement delivery to silo","CP-1 EP-2",IF(J86="cement supplement delivery to silo","CP-1 EP-3",IF(J86="weigh hopper loading","CP-1 EP-4",IF(J86="truck mix loading","CP-1 EP-5",IF(J86="central mix loading","CP-1 EP-6",IF(J86="","","CP-1 EP-1"))))))</f>
        <v/>
      </c>
      <c r="I86" s="127" t="str">
        <f t="shared" si="27"/>
        <v/>
      </c>
      <c r="J86" s="82"/>
      <c r="K86" s="61"/>
      <c r="L86" s="156"/>
      <c r="M86" s="219" t="str">
        <f t="shared" ref="M86:M94" si="29">IF(J86="truck mix loading",IF($F$88="yes",L86*0.05/2000,L86/2000),"")</f>
        <v/>
      </c>
      <c r="N86" s="219" t="str">
        <f t="shared" ref="N86:N94" si="30">IF(J86="central mix loading",IF($F$88="yes",L86*0.05/2000,L86/2000),"")</f>
        <v/>
      </c>
    </row>
    <row r="87" spans="2:14" ht="14.25" customHeight="1" x14ac:dyDescent="0.2">
      <c r="B87" s="79" t="str">
        <f>IF('Concrete Plant (CP-2)'!$D$4&gt;4,"Batching Period (Dates):","")</f>
        <v/>
      </c>
      <c r="C87" s="339"/>
      <c r="D87" s="342"/>
      <c r="E87" s="343"/>
      <c r="F87" s="175"/>
      <c r="G87" s="76"/>
      <c r="H87" s="127" t="str">
        <f t="shared" si="28"/>
        <v/>
      </c>
      <c r="I87" s="127" t="str">
        <f t="shared" si="27"/>
        <v/>
      </c>
      <c r="J87" s="82"/>
      <c r="K87" s="61"/>
      <c r="L87" s="156"/>
      <c r="M87" s="219" t="str">
        <f t="shared" si="29"/>
        <v/>
      </c>
      <c r="N87" s="219" t="str">
        <f t="shared" si="30"/>
        <v/>
      </c>
    </row>
    <row r="88" spans="2:14" ht="14.25" customHeight="1" x14ac:dyDescent="0.2">
      <c r="B88" s="51" t="str">
        <f>IF(OR(COUNTIF(J85:J94,"Truck Mix Loading")&gt;0,(COUNTIF(J85:J94,"Central Mix Loading")&gt;0)),"Is the Central/Truck Mix Loading process controlled by a baghouse?","")</f>
        <v/>
      </c>
      <c r="C88" s="51"/>
      <c r="D88" s="51"/>
      <c r="E88" s="51"/>
      <c r="F88" s="221"/>
      <c r="H88" s="127" t="str">
        <f t="shared" si="28"/>
        <v/>
      </c>
      <c r="I88" s="127" t="str">
        <f t="shared" si="27"/>
        <v/>
      </c>
      <c r="J88" s="82"/>
      <c r="K88" s="61"/>
      <c r="L88" s="156"/>
      <c r="M88" s="219" t="str">
        <f t="shared" si="29"/>
        <v/>
      </c>
      <c r="N88" s="219" t="str">
        <f t="shared" si="30"/>
        <v/>
      </c>
    </row>
    <row r="89" spans="2:14" ht="14.25" customHeight="1" x14ac:dyDescent="0.2">
      <c r="C89" s="163"/>
      <c r="D89" s="163"/>
      <c r="E89" s="163"/>
      <c r="F89" s="163"/>
      <c r="H89" s="127" t="str">
        <f t="shared" si="28"/>
        <v/>
      </c>
      <c r="I89" s="127" t="str">
        <f t="shared" si="27"/>
        <v/>
      </c>
      <c r="J89" s="82"/>
      <c r="K89" s="61"/>
      <c r="L89" s="156"/>
      <c r="M89" s="219" t="str">
        <f t="shared" si="29"/>
        <v/>
      </c>
      <c r="N89" s="219" t="str">
        <f t="shared" si="30"/>
        <v/>
      </c>
    </row>
    <row r="90" spans="2:14" ht="27.75" customHeight="1" x14ac:dyDescent="0.2">
      <c r="B90" s="312" t="str">
        <f>IF(AND(B92="",B93="",B94="",B95="",B96=""),"","Process (complete stack information if applicable):")</f>
        <v/>
      </c>
      <c r="C90" s="312" t="str">
        <f>IF(AND(B92="",B93="",B94="",B95="",B96=""),"","Stack Height (ft):")</f>
        <v/>
      </c>
      <c r="D90" s="312" t="str">
        <f>IF(AND(B92="",B93="",B94="",B95="",B96=""),"","Stack Diameter (inches):")</f>
        <v/>
      </c>
      <c r="E90" s="312" t="str">
        <f>IF(AND(B92="",B93="",B94="",B95="",B96=""),"","Flow Rate (acfm):")</f>
        <v/>
      </c>
      <c r="F90" s="312" t="str">
        <f>IF(AND(B92="",B93="",B94="",B95="",B96=""),"","Temp (Deg F):")</f>
        <v/>
      </c>
      <c r="H90" s="127" t="str">
        <f t="shared" si="28"/>
        <v/>
      </c>
      <c r="I90" s="127" t="str">
        <f t="shared" si="27"/>
        <v/>
      </c>
      <c r="J90" s="82"/>
      <c r="K90" s="61"/>
      <c r="L90" s="156"/>
      <c r="M90" s="219" t="str">
        <f t="shared" si="29"/>
        <v/>
      </c>
      <c r="N90" s="219" t="str">
        <f t="shared" si="30"/>
        <v/>
      </c>
    </row>
    <row r="91" spans="2:14" ht="14.25" customHeight="1" x14ac:dyDescent="0.2">
      <c r="B91" s="312"/>
      <c r="C91" s="312"/>
      <c r="D91" s="312"/>
      <c r="E91" s="312"/>
      <c r="F91" s="312"/>
      <c r="H91" s="127" t="str">
        <f t="shared" si="28"/>
        <v/>
      </c>
      <c r="I91" s="127" t="str">
        <f t="shared" si="27"/>
        <v/>
      </c>
      <c r="J91" s="82"/>
      <c r="K91" s="61"/>
      <c r="L91" s="156"/>
      <c r="M91" s="219" t="str">
        <f t="shared" si="29"/>
        <v/>
      </c>
      <c r="N91" s="219" t="str">
        <f t="shared" si="30"/>
        <v/>
      </c>
    </row>
    <row r="92" spans="2:14" ht="14.25" customHeight="1" x14ac:dyDescent="0.2">
      <c r="B92" s="45" t="str">
        <f>IF(COUNTIF(J85:J94,"Cement Delivery to Silo")&gt;0,"EP-2 Cement Silo Stack:","")</f>
        <v/>
      </c>
      <c r="C92" s="221"/>
      <c r="D92" s="221"/>
      <c r="E92" s="221"/>
      <c r="F92" s="221"/>
      <c r="G92" s="45"/>
      <c r="H92" s="127" t="str">
        <f t="shared" si="28"/>
        <v/>
      </c>
      <c r="I92" s="127" t="str">
        <f t="shared" si="27"/>
        <v/>
      </c>
      <c r="J92" s="82"/>
      <c r="K92" s="61"/>
      <c r="L92" s="156"/>
      <c r="M92" s="219" t="str">
        <f t="shared" si="29"/>
        <v/>
      </c>
      <c r="N92" s="219" t="str">
        <f t="shared" si="30"/>
        <v/>
      </c>
    </row>
    <row r="93" spans="2:14" ht="14.25" customHeight="1" x14ac:dyDescent="0.2">
      <c r="B93" s="45" t="str">
        <f>IF(COUNTIF(J85:J94,"Cement Supplement Delivery to Silo")&gt;0,"EP-3 Cement Supplement Silo Stack:","")</f>
        <v/>
      </c>
      <c r="C93" s="221"/>
      <c r="D93" s="221"/>
      <c r="E93" s="221"/>
      <c r="F93" s="221"/>
      <c r="G93" s="45"/>
      <c r="H93" s="127" t="str">
        <f t="shared" si="28"/>
        <v/>
      </c>
      <c r="I93" s="127" t="str">
        <f t="shared" si="27"/>
        <v/>
      </c>
      <c r="J93" s="82"/>
      <c r="K93" s="61"/>
      <c r="L93" s="156"/>
      <c r="M93" s="219" t="str">
        <f t="shared" si="29"/>
        <v/>
      </c>
      <c r="N93" s="219" t="str">
        <f t="shared" si="30"/>
        <v/>
      </c>
    </row>
    <row r="94" spans="2:14" ht="14.25" customHeight="1" x14ac:dyDescent="0.2">
      <c r="B94" s="45" t="str">
        <f>IF(COUNTIF(J85:J94,"Weigh Hopper Loading")&gt;0,"EP-4 Weigh Hopper Loading Stack:","")</f>
        <v/>
      </c>
      <c r="C94" s="221"/>
      <c r="D94" s="221"/>
      <c r="E94" s="221"/>
      <c r="F94" s="221"/>
      <c r="G94" s="45"/>
      <c r="H94" s="127" t="str">
        <f t="shared" si="28"/>
        <v/>
      </c>
      <c r="I94" s="127" t="str">
        <f t="shared" si="27"/>
        <v/>
      </c>
      <c r="J94" s="82"/>
      <c r="K94" s="61"/>
      <c r="L94" s="156"/>
      <c r="M94" s="219" t="str">
        <f t="shared" si="29"/>
        <v/>
      </c>
      <c r="N94" s="219" t="str">
        <f t="shared" si="30"/>
        <v/>
      </c>
    </row>
    <row r="95" spans="2:14" ht="14.25" customHeight="1" x14ac:dyDescent="0.2">
      <c r="B95" s="45" t="str">
        <f>IF(COUNTIF(J85:J94,"Truck Mix Loading")&gt;0,"EP-5 Truck Mix Loading Stack:","")</f>
        <v/>
      </c>
      <c r="C95" s="221"/>
      <c r="D95" s="221"/>
      <c r="E95" s="221"/>
      <c r="F95" s="221"/>
      <c r="G95" s="45"/>
      <c r="H95" s="45"/>
      <c r="I95" s="45"/>
    </row>
    <row r="96" spans="2:14" ht="14.25" customHeight="1" x14ac:dyDescent="0.2">
      <c r="B96" s="45" t="str">
        <f>IF(COUNTIF(J85:J94,"Central Mix Loading")&gt;0,"EP-6 Central Mix Loading Stack:","")</f>
        <v/>
      </c>
      <c r="C96" s="221"/>
      <c r="D96" s="221"/>
      <c r="E96" s="221"/>
      <c r="F96" s="221"/>
      <c r="G96" s="45"/>
      <c r="H96" s="74" t="str">
        <f>IF('Concrete Plant (CP-2)'!$D$4&gt;4,"Stock Pile Area","")</f>
        <v/>
      </c>
      <c r="I96" s="74"/>
      <c r="J96" s="75"/>
    </row>
    <row r="97" spans="2:14" ht="14.25" customHeight="1" x14ac:dyDescent="0.2">
      <c r="B97" s="73"/>
      <c r="C97" s="163"/>
      <c r="D97" s="163"/>
      <c r="E97" s="163"/>
      <c r="F97" s="163"/>
      <c r="G97" s="45"/>
      <c r="I97" s="51" t="str">
        <f>IF('Concrete Plant (CP-2)'!$D$4&gt;4,"Emission Unit #","")</f>
        <v/>
      </c>
      <c r="J97" s="80" t="str">
        <f>IF('Concrete Plant (CP-2)'!$D$4&gt;4,"Maximum Storage Area (acres)","")</f>
        <v/>
      </c>
      <c r="K97" s="81" t="str">
        <f>IF('Concrete Plant (CP-2)'!$D$4&gt;4,"Actual Storage Area (acres)","")</f>
        <v/>
      </c>
      <c r="L97" s="80" t="str">
        <f>IF('Concrete Plant (CP-2)'!$D$4&gt;4,"Actual Days in Existence (days)","")</f>
        <v/>
      </c>
      <c r="M97" s="146"/>
      <c r="N97" s="146"/>
    </row>
    <row r="98" spans="2:14" ht="14.25" customHeight="1" x14ac:dyDescent="0.2">
      <c r="B98" s="73"/>
      <c r="C98" s="163"/>
      <c r="D98" s="163"/>
      <c r="E98" s="163"/>
      <c r="F98" s="163"/>
      <c r="G98" s="45"/>
      <c r="I98" s="62"/>
      <c r="J98" s="144"/>
      <c r="K98" s="66"/>
      <c r="L98" s="144"/>
      <c r="M98" s="146"/>
      <c r="N98" s="146"/>
    </row>
    <row r="99" spans="2:14" ht="14.25" customHeight="1" x14ac:dyDescent="0.2">
      <c r="B99" s="73"/>
      <c r="C99" s="163"/>
      <c r="D99" s="163"/>
      <c r="E99" s="163"/>
      <c r="F99" s="163"/>
      <c r="G99" s="45"/>
      <c r="H99" s="45"/>
    </row>
    <row r="100" spans="2:14" ht="29.25" customHeight="1" x14ac:dyDescent="0.25">
      <c r="B100" s="78" t="str">
        <f>IF('Concrete Plant (CP-2)'!$D$4&gt;5,"Batch Plant","")</f>
        <v/>
      </c>
      <c r="C100" s="71" t="str">
        <f>IF('Concrete Plant (CP-2)'!$D$4&gt;5,"Site 6","")</f>
        <v/>
      </c>
      <c r="D100" s="71"/>
      <c r="E100" s="71"/>
      <c r="F100" s="71"/>
      <c r="G100" s="45"/>
      <c r="H100" s="310" t="str">
        <f>IF('Concrete Plant (CP-2)'!$D$4&gt;5,"Emission Point #","")</f>
        <v/>
      </c>
      <c r="I100" s="310" t="str">
        <f>IF('Concrete Plant (CP-2)'!$D$4&gt;5,"Emission     Unit #","")</f>
        <v/>
      </c>
      <c r="J100" s="310" t="str">
        <f>IF('Concrete Plant (CP-2)'!$D$4&gt;5,"Processes","")</f>
        <v/>
      </c>
      <c r="K100" s="311" t="str">
        <f>IF('Concrete Plant (CP-2)'!$D$4&gt;5,"Combined Maximum Hourly Design Rate for all Like Processes (cubic yard/hr)","")</f>
        <v/>
      </c>
      <c r="L100" s="310" t="str">
        <f>IF('Concrete Plant (CP-2)'!$D$4&gt;5,('Facility Information'!G5&amp;" Annual Throughput (cubic yards)"),"")</f>
        <v/>
      </c>
      <c r="M100" s="217"/>
      <c r="N100" s="217"/>
    </row>
    <row r="101" spans="2:14" ht="14.25" customHeight="1" x14ac:dyDescent="0.2">
      <c r="B101" s="79" t="str">
        <f>IF('Concrete Plant (CP-2)'!$D$4&gt;5,"Site Name:","")</f>
        <v/>
      </c>
      <c r="C101" s="339"/>
      <c r="D101" s="342"/>
      <c r="E101" s="343"/>
      <c r="F101" s="175"/>
      <c r="G101" s="76"/>
      <c r="H101" s="127" t="str">
        <f>IF(J101="cement delivery to silo","CP-1 EP-2",IF(J101="cement supplement delivery to silo","CP-1 EP-3",IF(J101="weigh hopper loading","CP-1 EP-4",IF(J101="truck mix loading","CP-1 EP-5",IF(J101="central mix loading","CP-1 EP-6",IF(J101="","","CP-1 EP-1"))))))</f>
        <v/>
      </c>
      <c r="I101" s="127" t="str">
        <f t="shared" ref="I101:I110" si="31">IF(J101="","",IF(J101="aggregate delivery to ground storage","CP-2 EU-1",IF(J101="sand delivery to ground storage","CP-2 EU-2",IF(J101="aggregate transfer to conveyor","CP-2 EU-3",IF(J101="sand transfer to conveyor","CP-2 EU-4",IF(J101="aggregate transfer to elevated storage","CP-2 EU-5",IF(J101="sand transfer to elevated storage","CP-2 EU-6",IF(J101="weigh hopper loading","CP-2 EU-7",IF(J101="central mix loading","CP-2 EU-8",IF(J101="truck mix loading","CP-2 EU-9",IF(J101="cement delivery to silo","CP-2 EU-10",IF(J101="cement supplement delivery to silo","CP-2 EU-11"))))))))))))</f>
        <v/>
      </c>
      <c r="J101" s="82"/>
      <c r="K101" s="61"/>
      <c r="L101" s="156"/>
      <c r="M101" s="219" t="str">
        <f>IF(J101="truck mix loading",IF($F$104="yes",L101*0.05/2000,L101/2000),"")</f>
        <v/>
      </c>
      <c r="N101" s="219" t="str">
        <f>IF(J101="central mix loading",IF($F$104="yes",L101*0.05/2000,L101/2000),"")</f>
        <v/>
      </c>
    </row>
    <row r="102" spans="2:14" ht="14.25" customHeight="1" x14ac:dyDescent="0.2">
      <c r="B102" s="79" t="str">
        <f>IF('Concrete Plant (CP-2)'!$D$4&gt;5,"County:","")</f>
        <v/>
      </c>
      <c r="C102" s="339"/>
      <c r="D102" s="342"/>
      <c r="E102" s="343"/>
      <c r="F102" s="175"/>
      <c r="H102" s="127" t="str">
        <f t="shared" ref="H102:H110" si="32">IF(J102="cement delivery to silo","CP-1 EP-2",IF(J102="cement supplement delivery to silo","CP-1 EP-3",IF(J102="weigh hopper loading","CP-1 EP-4",IF(J102="truck mix loading","CP-1 EP-5",IF(J102="central mix loading","CP-1 EP-6",IF(J102="","","CP-1 EP-1"))))))</f>
        <v/>
      </c>
      <c r="I102" s="127" t="str">
        <f t="shared" si="31"/>
        <v/>
      </c>
      <c r="J102" s="82"/>
      <c r="K102" s="61"/>
      <c r="L102" s="156"/>
      <c r="M102" s="219" t="str">
        <f t="shared" ref="M102:M110" si="33">IF(J102="truck mix loading",IF($F$104="yes",L102*0.05/2000,L102/2000),"")</f>
        <v/>
      </c>
      <c r="N102" s="219" t="str">
        <f t="shared" ref="N102:N110" si="34">IF(J102="central mix loading",IF($F$104="yes",L102*0.05/2000,L102/2000),"")</f>
        <v/>
      </c>
    </row>
    <row r="103" spans="2:14" ht="14.25" customHeight="1" x14ac:dyDescent="0.2">
      <c r="B103" s="79" t="str">
        <f>IF('Concrete Plant (CP-2)'!$D$4&gt;5,"Batching Period (Dates):","")</f>
        <v/>
      </c>
      <c r="C103" s="339"/>
      <c r="D103" s="342"/>
      <c r="E103" s="343"/>
      <c r="F103" s="175"/>
      <c r="H103" s="127" t="str">
        <f t="shared" si="32"/>
        <v/>
      </c>
      <c r="I103" s="127" t="str">
        <f t="shared" si="31"/>
        <v/>
      </c>
      <c r="J103" s="82"/>
      <c r="K103" s="61"/>
      <c r="L103" s="156"/>
      <c r="M103" s="219" t="str">
        <f t="shared" si="33"/>
        <v/>
      </c>
      <c r="N103" s="219" t="str">
        <f t="shared" si="34"/>
        <v/>
      </c>
    </row>
    <row r="104" spans="2:14" ht="14.25" customHeight="1" x14ac:dyDescent="0.2">
      <c r="B104" s="51" t="str">
        <f>IF(OR(COUNTIF(J101:J110,"Truck Mix Loading")&gt;0,(COUNTIF(J101:J110,"Central Mix Loading")&gt;0)),"Is the Central/Truck Mix Loading process controlled by a baghouse?","")</f>
        <v/>
      </c>
      <c r="C104" s="51"/>
      <c r="D104" s="51"/>
      <c r="E104" s="51"/>
      <c r="F104" s="221"/>
      <c r="H104" s="127" t="str">
        <f t="shared" si="32"/>
        <v/>
      </c>
      <c r="I104" s="127" t="str">
        <f t="shared" si="31"/>
        <v/>
      </c>
      <c r="J104" s="82"/>
      <c r="K104" s="61"/>
      <c r="L104" s="156"/>
      <c r="M104" s="219" t="str">
        <f t="shared" si="33"/>
        <v/>
      </c>
      <c r="N104" s="219" t="str">
        <f t="shared" si="34"/>
        <v/>
      </c>
    </row>
    <row r="105" spans="2:14" ht="14.25" customHeight="1" x14ac:dyDescent="0.2">
      <c r="C105" s="163"/>
      <c r="D105" s="163"/>
      <c r="E105" s="163"/>
      <c r="F105" s="163"/>
      <c r="H105" s="127" t="str">
        <f t="shared" si="32"/>
        <v/>
      </c>
      <c r="I105" s="127" t="str">
        <f t="shared" si="31"/>
        <v/>
      </c>
      <c r="J105" s="82"/>
      <c r="K105" s="61"/>
      <c r="L105" s="156"/>
      <c r="M105" s="219" t="str">
        <f t="shared" si="33"/>
        <v/>
      </c>
      <c r="N105" s="219" t="str">
        <f t="shared" si="34"/>
        <v/>
      </c>
    </row>
    <row r="106" spans="2:14" ht="28.5" customHeight="1" x14ac:dyDescent="0.2">
      <c r="B106" s="312" t="str">
        <f>IF(AND(B108="",B109="",B110="",B111="",B112=""),"","Process (complete stack information if applicable):")</f>
        <v/>
      </c>
      <c r="C106" s="312" t="str">
        <f>IF(AND(B108="",B109="",B110="",B111="",B112=""),"","Stack Height (ft):")</f>
        <v/>
      </c>
      <c r="D106" s="312" t="str">
        <f>IF(AND(B108="",B109="",B110="",B111="",B112=""),"","Stack Diameter (inches):")</f>
        <v/>
      </c>
      <c r="E106" s="312" t="str">
        <f>IF(AND(B108="",B109="",B110="",B111="",B112=""),"","Flow Rate (acfm):")</f>
        <v/>
      </c>
      <c r="F106" s="312" t="str">
        <f>IF(AND(B108="",B109="",B110="",B111="",B112=""),"","Temp (Deg F):")</f>
        <v/>
      </c>
      <c r="G106" s="45"/>
      <c r="H106" s="127" t="str">
        <f t="shared" si="32"/>
        <v/>
      </c>
      <c r="I106" s="127" t="str">
        <f t="shared" si="31"/>
        <v/>
      </c>
      <c r="J106" s="82"/>
      <c r="K106" s="61"/>
      <c r="L106" s="156"/>
      <c r="M106" s="219" t="str">
        <f t="shared" si="33"/>
        <v/>
      </c>
      <c r="N106" s="219" t="str">
        <f t="shared" si="34"/>
        <v/>
      </c>
    </row>
    <row r="107" spans="2:14" ht="14.25" customHeight="1" x14ac:dyDescent="0.2">
      <c r="B107" s="312"/>
      <c r="C107" s="312"/>
      <c r="D107" s="312"/>
      <c r="E107" s="312"/>
      <c r="F107" s="312"/>
      <c r="G107" s="45"/>
      <c r="H107" s="127" t="str">
        <f t="shared" si="32"/>
        <v/>
      </c>
      <c r="I107" s="127" t="str">
        <f t="shared" si="31"/>
        <v/>
      </c>
      <c r="J107" s="82"/>
      <c r="K107" s="61"/>
      <c r="L107" s="156"/>
      <c r="M107" s="219" t="str">
        <f t="shared" si="33"/>
        <v/>
      </c>
      <c r="N107" s="219" t="str">
        <f t="shared" si="34"/>
        <v/>
      </c>
    </row>
    <row r="108" spans="2:14" ht="14.25" customHeight="1" x14ac:dyDescent="0.2">
      <c r="B108" s="45" t="str">
        <f>IF(COUNTIF(J101:J110,"Cement Delivery to Silo")&gt;0,"EP-2 Cement Silo Stack:","")</f>
        <v/>
      </c>
      <c r="C108" s="221"/>
      <c r="D108" s="221"/>
      <c r="E108" s="221"/>
      <c r="F108" s="221"/>
      <c r="G108" s="45"/>
      <c r="H108" s="127" t="str">
        <f t="shared" si="32"/>
        <v/>
      </c>
      <c r="I108" s="127" t="str">
        <f t="shared" si="31"/>
        <v/>
      </c>
      <c r="J108" s="82"/>
      <c r="K108" s="61"/>
      <c r="L108" s="156"/>
      <c r="M108" s="219" t="str">
        <f t="shared" si="33"/>
        <v/>
      </c>
      <c r="N108" s="219" t="str">
        <f t="shared" si="34"/>
        <v/>
      </c>
    </row>
    <row r="109" spans="2:14" ht="14.25" customHeight="1" x14ac:dyDescent="0.2">
      <c r="B109" s="45" t="str">
        <f>IF(COUNTIF(J101:J110,"Cement Supplement Delivery to Silo")&gt;0,"EP-3 Cement Supplement Silo Stack:","")</f>
        <v/>
      </c>
      <c r="C109" s="221"/>
      <c r="D109" s="221"/>
      <c r="E109" s="221"/>
      <c r="F109" s="221"/>
      <c r="G109" s="45"/>
      <c r="H109" s="127" t="str">
        <f t="shared" si="32"/>
        <v/>
      </c>
      <c r="I109" s="127" t="str">
        <f t="shared" si="31"/>
        <v/>
      </c>
      <c r="J109" s="82"/>
      <c r="K109" s="61"/>
      <c r="L109" s="156"/>
      <c r="M109" s="219" t="str">
        <f t="shared" si="33"/>
        <v/>
      </c>
      <c r="N109" s="219" t="str">
        <f t="shared" si="34"/>
        <v/>
      </c>
    </row>
    <row r="110" spans="2:14" ht="14.25" customHeight="1" x14ac:dyDescent="0.2">
      <c r="B110" s="45" t="str">
        <f>IF(COUNTIF(J101:J110,"Weigh Hopper Loading")&gt;0,"EP-4 Weigh Hopper Loading Stack:","")</f>
        <v/>
      </c>
      <c r="C110" s="221"/>
      <c r="D110" s="221"/>
      <c r="E110" s="221"/>
      <c r="F110" s="221"/>
      <c r="G110" s="45"/>
      <c r="H110" s="127" t="str">
        <f t="shared" si="32"/>
        <v/>
      </c>
      <c r="I110" s="127" t="str">
        <f t="shared" si="31"/>
        <v/>
      </c>
      <c r="J110" s="82"/>
      <c r="K110" s="61"/>
      <c r="L110" s="156"/>
      <c r="M110" s="219" t="str">
        <f t="shared" si="33"/>
        <v/>
      </c>
      <c r="N110" s="219" t="str">
        <f t="shared" si="34"/>
        <v/>
      </c>
    </row>
    <row r="111" spans="2:14" ht="14.25" customHeight="1" x14ac:dyDescent="0.2">
      <c r="B111" s="45" t="str">
        <f>IF(COUNTIF(J101:J110,"Truck Mix Loading")&gt;0,"EP-5 Truck Mix Loading Stack:","")</f>
        <v/>
      </c>
      <c r="C111" s="221"/>
      <c r="D111" s="221"/>
      <c r="E111" s="221"/>
      <c r="F111" s="221"/>
      <c r="G111" s="45"/>
      <c r="H111" s="45"/>
      <c r="I111" s="45"/>
    </row>
    <row r="112" spans="2:14" ht="14.25" customHeight="1" x14ac:dyDescent="0.2">
      <c r="B112" s="45" t="str">
        <f>IF(COUNTIF(J101:J110,"Central Mix Loading")&gt;0,"EP-6 Central Mix Loading Stack:","")</f>
        <v/>
      </c>
      <c r="C112" s="221"/>
      <c r="D112" s="221"/>
      <c r="E112" s="221"/>
      <c r="F112" s="221"/>
      <c r="G112" s="45"/>
      <c r="H112" s="74" t="str">
        <f>IF('Concrete Plant (CP-2)'!$D$4&gt;5,"Stock Pile Area","")</f>
        <v/>
      </c>
      <c r="I112" s="74"/>
      <c r="J112" s="75"/>
    </row>
    <row r="113" spans="2:14" ht="14.25" customHeight="1" x14ac:dyDescent="0.2">
      <c r="B113" s="73"/>
      <c r="C113" s="163"/>
      <c r="D113" s="163"/>
      <c r="E113" s="163"/>
      <c r="F113" s="163"/>
      <c r="G113" s="45"/>
      <c r="I113" s="51" t="str">
        <f>IF('Concrete Plant (CP-2)'!$D$4&gt;5,"Emission Unit #","")</f>
        <v/>
      </c>
      <c r="J113" s="80" t="str">
        <f>IF('Concrete Plant (CP-2)'!$D$4&gt;5,"Maximum Storage Area (acres)","")</f>
        <v/>
      </c>
      <c r="K113" s="81" t="str">
        <f>IF('Concrete Plant (CP-2)'!$D$4&gt;5,"Actual Storage Area (acres)","")</f>
        <v/>
      </c>
      <c r="L113" s="80" t="str">
        <f>IF('Concrete Plant (CP-2)'!$D$4&gt;5,"Actual Days in Existence (days)","")</f>
        <v/>
      </c>
      <c r="M113" s="146"/>
      <c r="N113" s="146"/>
    </row>
    <row r="114" spans="2:14" ht="14.25" customHeight="1" x14ac:dyDescent="0.2">
      <c r="B114" s="73"/>
      <c r="C114" s="163"/>
      <c r="D114" s="163"/>
      <c r="E114" s="163"/>
      <c r="F114" s="163"/>
      <c r="G114" s="45"/>
      <c r="I114" s="65"/>
      <c r="J114" s="144"/>
      <c r="K114" s="66"/>
      <c r="L114" s="144"/>
      <c r="M114" s="146"/>
      <c r="N114" s="146"/>
    </row>
    <row r="115" spans="2:14" ht="14.25" customHeight="1" x14ac:dyDescent="0.2">
      <c r="B115" s="73"/>
      <c r="C115" s="163"/>
      <c r="D115" s="163"/>
      <c r="E115" s="163"/>
      <c r="F115" s="163"/>
      <c r="G115" s="45"/>
      <c r="I115" s="139"/>
      <c r="J115" s="125"/>
      <c r="K115" s="125"/>
      <c r="L115" s="125"/>
      <c r="M115" s="146"/>
      <c r="N115" s="146"/>
    </row>
    <row r="116" spans="2:14" ht="28.5" customHeight="1" x14ac:dyDescent="0.25">
      <c r="B116" s="78" t="str">
        <f>IF('Concrete Plant (CP-2)'!$D$4&gt;6,"Batch Plant","")</f>
        <v/>
      </c>
      <c r="C116" s="71" t="str">
        <f>IF('Concrete Plant (CP-2)'!$D$4&gt;6,"Site 7","")</f>
        <v/>
      </c>
      <c r="D116" s="71"/>
      <c r="E116" s="71"/>
      <c r="F116" s="71"/>
      <c r="G116" s="76"/>
      <c r="H116" s="310" t="str">
        <f>IF('Concrete Plant (CP-2)'!$D$4&gt;6,"Emission Point #","")</f>
        <v/>
      </c>
      <c r="I116" s="310" t="str">
        <f>IF('Concrete Plant (CP-2)'!$D$4&gt;6,"Emission     Unit #","")</f>
        <v/>
      </c>
      <c r="J116" s="310" t="str">
        <f>IF('Concrete Plant (CP-2)'!$D$4&gt;6,"Processes","")</f>
        <v/>
      </c>
      <c r="K116" s="311" t="str">
        <f>IF('Concrete Plant (CP-2)'!$D$4&gt;6,"Combined Maximum Hourly Design Rate for all Like Processes (cubic yard/hr)","")</f>
        <v/>
      </c>
      <c r="L116" s="310" t="str">
        <f>IF('Concrete Plant (CP-2)'!$D$4&gt;6,('Facility Information'!G5&amp;" Annual Throughput (cubic yards)"),"")</f>
        <v/>
      </c>
      <c r="M116" s="217"/>
      <c r="N116" s="217"/>
    </row>
    <row r="117" spans="2:14" ht="14.25" customHeight="1" x14ac:dyDescent="0.2">
      <c r="B117" s="79" t="str">
        <f>IF('Concrete Plant (CP-2)'!$D$4&gt;6,"Site Name:","")</f>
        <v/>
      </c>
      <c r="C117" s="339"/>
      <c r="D117" s="342"/>
      <c r="E117" s="343"/>
      <c r="F117" s="175"/>
      <c r="H117" s="127" t="str">
        <f>IF(J117="cement delivery to silo","CP-1 EP-2",IF(J117="cement supplement delivery to silo","CP-1 EP-3",IF(J117="weigh hopper loading","CP-1 EP-4",IF(J117="truck mix loading","CP-1 EP-5",IF(J117="central mix loading","CP-1 EP-6",IF(J117="","","CP-1 EP-1"))))))</f>
        <v/>
      </c>
      <c r="I117" s="127" t="str">
        <f t="shared" ref="I117:I126" si="35">IF(J117="","",IF(J117="aggregate delivery to ground storage","CP-2 EU-1",IF(J117="sand delivery to ground storage","CP-2 EU-2",IF(J117="aggregate transfer to conveyor","CP-2 EU-3",IF(J117="sand transfer to conveyor","CP-2 EU-4",IF(J117="aggregate transfer to elevated storage","CP-2 EU-5",IF(J117="sand transfer to elevated storage","CP-2 EU-6",IF(J117="weigh hopper loading","CP-2 EU-7",IF(J117="central mix loading","CP-2 EU-8",IF(J117="truck mix loading","CP-2 EU-9",IF(J117="cement delivery to silo","CP-2 EU-10",IF(J117="cement supplement delivery to silo","CP-2 EU-11"))))))))))))</f>
        <v/>
      </c>
      <c r="J117" s="82"/>
      <c r="K117" s="61"/>
      <c r="L117" s="156"/>
      <c r="M117" s="219" t="str">
        <f>IF(J117="truck mix loading",IF($F$120="yes",L117*0.05/2000,L117/2000),"")</f>
        <v/>
      </c>
      <c r="N117" s="219" t="str">
        <f>IF(J117="central mix loading",IF($F$120="yes",L117*0.05/2000,L117/2000),"")</f>
        <v/>
      </c>
    </row>
    <row r="118" spans="2:14" ht="14.25" customHeight="1" x14ac:dyDescent="0.2">
      <c r="B118" s="79" t="str">
        <f>IF('Concrete Plant (CP-2)'!$D$4&gt;6,"County:","")</f>
        <v/>
      </c>
      <c r="C118" s="339"/>
      <c r="D118" s="342"/>
      <c r="E118" s="343"/>
      <c r="F118" s="175"/>
      <c r="H118" s="127" t="str">
        <f t="shared" ref="H118:H126" si="36">IF(J118="cement delivery to silo","CP-1 EP-2",IF(J118="cement supplement delivery to silo","CP-1 EP-3",IF(J118="weigh hopper loading","CP-1 EP-4",IF(J118="truck mix loading","CP-1 EP-5",IF(J118="central mix loading","CP-1 EP-6",IF(J118="","","CP-1 EP-1"))))))</f>
        <v/>
      </c>
      <c r="I118" s="127" t="str">
        <f t="shared" si="35"/>
        <v/>
      </c>
      <c r="J118" s="82"/>
      <c r="K118" s="61"/>
      <c r="L118" s="156"/>
      <c r="M118" s="219" t="str">
        <f t="shared" ref="M118:M126" si="37">IF(J118="truck mix loading",IF($F$120="yes",L118*0.05/2000,L118/2000),"")</f>
        <v/>
      </c>
      <c r="N118" s="219" t="str">
        <f t="shared" ref="N118:N126" si="38">IF(J118="central mix loading",IF($F$120="yes",L118*0.05/2000,L118/2000),"")</f>
        <v/>
      </c>
    </row>
    <row r="119" spans="2:14" ht="14.25" customHeight="1" x14ac:dyDescent="0.2">
      <c r="B119" s="79" t="str">
        <f>IF('Concrete Plant (CP-2)'!$D$4&gt;6,"Batching Period (Dates):","")</f>
        <v/>
      </c>
      <c r="C119" s="339"/>
      <c r="D119" s="342"/>
      <c r="E119" s="343"/>
      <c r="F119" s="175"/>
      <c r="H119" s="127" t="str">
        <f t="shared" si="36"/>
        <v/>
      </c>
      <c r="I119" s="127" t="str">
        <f t="shared" si="35"/>
        <v/>
      </c>
      <c r="J119" s="82"/>
      <c r="K119" s="61"/>
      <c r="L119" s="156"/>
      <c r="M119" s="219" t="str">
        <f t="shared" si="37"/>
        <v/>
      </c>
      <c r="N119" s="219" t="str">
        <f t="shared" si="38"/>
        <v/>
      </c>
    </row>
    <row r="120" spans="2:14" ht="14.25" customHeight="1" x14ac:dyDescent="0.2">
      <c r="B120" s="51" t="str">
        <f>IF(OR(COUNTIF(J117:J126,"Truck Mix Loading")&gt;0,(COUNTIF(J117:J126,"Central Mix Loading")&gt;0)),"Is the Central/Truck Mix Loading process controlled by a baghouse?","")</f>
        <v/>
      </c>
      <c r="C120" s="51"/>
      <c r="D120" s="51"/>
      <c r="E120" s="51"/>
      <c r="F120" s="221"/>
      <c r="G120" s="45"/>
      <c r="H120" s="127" t="str">
        <f t="shared" si="36"/>
        <v/>
      </c>
      <c r="I120" s="127" t="str">
        <f t="shared" si="35"/>
        <v/>
      </c>
      <c r="J120" s="82"/>
      <c r="K120" s="61"/>
      <c r="L120" s="156"/>
      <c r="M120" s="219" t="str">
        <f t="shared" si="37"/>
        <v/>
      </c>
      <c r="N120" s="219" t="str">
        <f t="shared" si="38"/>
        <v/>
      </c>
    </row>
    <row r="121" spans="2:14" ht="14.25" customHeight="1" x14ac:dyDescent="0.2">
      <c r="C121" s="163"/>
      <c r="D121" s="163"/>
      <c r="E121" s="163"/>
      <c r="F121" s="163"/>
      <c r="G121" s="45"/>
      <c r="H121" s="127" t="str">
        <f t="shared" si="36"/>
        <v/>
      </c>
      <c r="I121" s="127" t="str">
        <f t="shared" si="35"/>
        <v/>
      </c>
      <c r="J121" s="82"/>
      <c r="K121" s="61"/>
      <c r="L121" s="156"/>
      <c r="M121" s="219" t="str">
        <f t="shared" si="37"/>
        <v/>
      </c>
      <c r="N121" s="219" t="str">
        <f t="shared" si="38"/>
        <v/>
      </c>
    </row>
    <row r="122" spans="2:14" ht="27" customHeight="1" x14ac:dyDescent="0.2">
      <c r="B122" s="312" t="str">
        <f>IF(AND(B124="",B125="",B126="",B127="",B128=""),"","Process (complete stack information if applicable):")</f>
        <v/>
      </c>
      <c r="C122" s="312" t="str">
        <f>IF(AND(B124="",B125="",B126="",B127="",B128=""),"","Stack Height (ft):")</f>
        <v/>
      </c>
      <c r="D122" s="312" t="str">
        <f>IF(AND(B124="",B125="",B126="",B127="",B128=""),"","Stack Diameter (inches):")</f>
        <v/>
      </c>
      <c r="E122" s="312" t="str">
        <f>IF(AND(B124="",B125="",B126="",B127="",B128=""),"","Flow Rate (acfm):")</f>
        <v/>
      </c>
      <c r="F122" s="312" t="str">
        <f>IF(AND(B124="",B125="",B126="",B127="",B128=""),"","Temp (Deg F):")</f>
        <v/>
      </c>
      <c r="G122" s="45"/>
      <c r="H122" s="127" t="str">
        <f t="shared" si="36"/>
        <v/>
      </c>
      <c r="I122" s="127" t="str">
        <f t="shared" si="35"/>
        <v/>
      </c>
      <c r="J122" s="82"/>
      <c r="K122" s="61"/>
      <c r="L122" s="156"/>
      <c r="M122" s="219" t="str">
        <f t="shared" si="37"/>
        <v/>
      </c>
      <c r="N122" s="219" t="str">
        <f t="shared" si="38"/>
        <v/>
      </c>
    </row>
    <row r="123" spans="2:14" ht="14.25" customHeight="1" x14ac:dyDescent="0.2">
      <c r="B123" s="312"/>
      <c r="C123" s="312"/>
      <c r="D123" s="312"/>
      <c r="E123" s="312"/>
      <c r="F123" s="312"/>
      <c r="G123" s="45"/>
      <c r="H123" s="127" t="str">
        <f t="shared" si="36"/>
        <v/>
      </c>
      <c r="I123" s="127" t="str">
        <f t="shared" si="35"/>
        <v/>
      </c>
      <c r="J123" s="82"/>
      <c r="K123" s="61"/>
      <c r="L123" s="156"/>
      <c r="M123" s="219" t="str">
        <f t="shared" si="37"/>
        <v/>
      </c>
      <c r="N123" s="219" t="str">
        <f t="shared" si="38"/>
        <v/>
      </c>
    </row>
    <row r="124" spans="2:14" ht="14.25" customHeight="1" x14ac:dyDescent="0.2">
      <c r="B124" s="45" t="str">
        <f>IF(COUNTIF(J117:J126,"Cement Delivery to Silo")&gt;0,"EP-2 Cement Silo Stack:","")</f>
        <v/>
      </c>
      <c r="C124" s="221"/>
      <c r="D124" s="221"/>
      <c r="E124" s="221"/>
      <c r="F124" s="221"/>
      <c r="G124" s="45"/>
      <c r="H124" s="127" t="str">
        <f t="shared" si="36"/>
        <v/>
      </c>
      <c r="I124" s="127" t="str">
        <f t="shared" si="35"/>
        <v/>
      </c>
      <c r="J124" s="82"/>
      <c r="K124" s="61"/>
      <c r="L124" s="156"/>
      <c r="M124" s="219" t="str">
        <f t="shared" si="37"/>
        <v/>
      </c>
      <c r="N124" s="219" t="str">
        <f t="shared" si="38"/>
        <v/>
      </c>
    </row>
    <row r="125" spans="2:14" ht="14.25" customHeight="1" x14ac:dyDescent="0.2">
      <c r="B125" s="45" t="str">
        <f>IF(COUNTIF(J117:J126,"Cement Supplement Delivery to Silo")&gt;0,"EP-3 Cement Supplement Silo Stack:","")</f>
        <v/>
      </c>
      <c r="C125" s="221"/>
      <c r="D125" s="221"/>
      <c r="E125" s="221"/>
      <c r="F125" s="221"/>
      <c r="G125" s="45"/>
      <c r="H125" s="127" t="str">
        <f t="shared" si="36"/>
        <v/>
      </c>
      <c r="I125" s="127" t="str">
        <f t="shared" si="35"/>
        <v/>
      </c>
      <c r="J125" s="82"/>
      <c r="K125" s="61"/>
      <c r="L125" s="156"/>
      <c r="M125" s="219" t="str">
        <f t="shared" si="37"/>
        <v/>
      </c>
      <c r="N125" s="219" t="str">
        <f t="shared" si="38"/>
        <v/>
      </c>
    </row>
    <row r="126" spans="2:14" ht="14.25" customHeight="1" x14ac:dyDescent="0.2">
      <c r="B126" s="45" t="str">
        <f>IF(COUNTIF(J117:J126,"Weigh Hopper Loading")&gt;0,"EP-4 Weigh Hopper Loading Stack:","")</f>
        <v/>
      </c>
      <c r="C126" s="221"/>
      <c r="D126" s="221"/>
      <c r="E126" s="221"/>
      <c r="F126" s="221"/>
      <c r="G126" s="45"/>
      <c r="H126" s="127" t="str">
        <f t="shared" si="36"/>
        <v/>
      </c>
      <c r="I126" s="127" t="str">
        <f t="shared" si="35"/>
        <v/>
      </c>
      <c r="J126" s="82"/>
      <c r="K126" s="61"/>
      <c r="L126" s="156"/>
      <c r="M126" s="219" t="str">
        <f t="shared" si="37"/>
        <v/>
      </c>
      <c r="N126" s="219" t="str">
        <f t="shared" si="38"/>
        <v/>
      </c>
    </row>
    <row r="127" spans="2:14" ht="14.25" customHeight="1" x14ac:dyDescent="0.2">
      <c r="B127" s="45" t="str">
        <f>IF(COUNTIF(J117:J126,"Truck Mix Loading")&gt;0,"EP-5 Truck Mix Loading Stack:","")</f>
        <v/>
      </c>
      <c r="C127" s="221"/>
      <c r="D127" s="221"/>
      <c r="E127" s="221"/>
      <c r="F127" s="221"/>
      <c r="G127" s="45"/>
      <c r="H127" s="45"/>
      <c r="I127" s="45"/>
    </row>
    <row r="128" spans="2:14" ht="14.25" customHeight="1" x14ac:dyDescent="0.2">
      <c r="B128" s="45" t="str">
        <f>IF(COUNTIF(J117:J126,"Central Mix Loading")&gt;0,"EP-6 Central Mix Loading Stack:","")</f>
        <v/>
      </c>
      <c r="C128" s="221"/>
      <c r="D128" s="221"/>
      <c r="E128" s="221"/>
      <c r="F128" s="221"/>
      <c r="G128" s="45"/>
      <c r="H128" s="74" t="str">
        <f>IF('Concrete Plant (CP-2)'!$D$4&gt;6,"Stock Pile Area","")</f>
        <v/>
      </c>
      <c r="I128" s="74"/>
      <c r="J128" s="75"/>
    </row>
    <row r="129" spans="2:14" ht="14.25" customHeight="1" x14ac:dyDescent="0.2">
      <c r="B129" s="73"/>
      <c r="C129" s="163"/>
      <c r="D129" s="163"/>
      <c r="E129" s="163"/>
      <c r="F129" s="163"/>
      <c r="G129" s="45"/>
      <c r="I129" s="51" t="str">
        <f>IF('Concrete Plant (CP-2)'!$D$4&gt;6,"Emission Unit #","")</f>
        <v/>
      </c>
      <c r="J129" s="80" t="str">
        <f>IF('Concrete Plant (CP-2)'!$D$4&gt;6,"Maximum Storage Area (acres)","")</f>
        <v/>
      </c>
      <c r="K129" s="81" t="str">
        <f>IF('Concrete Plant (CP-2)'!$D$4&gt;6,"Actual Storage Area (acres)","")</f>
        <v/>
      </c>
      <c r="L129" s="80" t="str">
        <f>IF('Concrete Plant (CP-2)'!$D$4&gt;6,"Actual Days in Existence (days)","")</f>
        <v/>
      </c>
      <c r="M129" s="146"/>
      <c r="N129" s="146"/>
    </row>
    <row r="130" spans="2:14" ht="14.25" customHeight="1" x14ac:dyDescent="0.2">
      <c r="B130" s="73"/>
      <c r="C130" s="163"/>
      <c r="D130" s="163"/>
      <c r="E130" s="163"/>
      <c r="F130" s="163"/>
      <c r="I130" s="65"/>
      <c r="J130" s="144"/>
      <c r="K130" s="66"/>
      <c r="L130" s="144"/>
      <c r="M130" s="146"/>
      <c r="N130" s="146"/>
    </row>
    <row r="131" spans="2:14" ht="14.25" customHeight="1" x14ac:dyDescent="0.2">
      <c r="B131" s="73"/>
      <c r="C131" s="163"/>
      <c r="D131" s="163"/>
      <c r="E131" s="163"/>
      <c r="F131" s="163"/>
      <c r="G131" s="76"/>
    </row>
    <row r="132" spans="2:14" ht="28.5" customHeight="1" x14ac:dyDescent="0.25">
      <c r="B132" s="78" t="str">
        <f>IF('Concrete Plant (CP-2)'!$D$4&gt;7,"Batch Plant","")</f>
        <v/>
      </c>
      <c r="C132" s="71" t="str">
        <f>IF('Concrete Plant (CP-2)'!$D$4&gt;7,"Site 8","")</f>
        <v/>
      </c>
      <c r="D132" s="71"/>
      <c r="E132" s="71"/>
      <c r="F132" s="71"/>
      <c r="H132" s="310" t="str">
        <f>IF('Concrete Plant (CP-2)'!$D$4&gt;7,"Emission Point #","")</f>
        <v/>
      </c>
      <c r="I132" s="310" t="str">
        <f>IF('Concrete Plant (CP-2)'!$D$4&gt;7,"Emission     Unit #","")</f>
        <v/>
      </c>
      <c r="J132" s="310" t="str">
        <f>IF('Concrete Plant (CP-2)'!$D$4&gt;7,"Processes","")</f>
        <v/>
      </c>
      <c r="K132" s="311" t="str">
        <f>IF('Concrete Plant (CP-2)'!$D$4&gt;7,"Combined Maximum Hourly Design Rate for all Like Processes (cubic yard/hr)","")</f>
        <v/>
      </c>
      <c r="L132" s="310" t="str">
        <f>IF('Concrete Plant (CP-2)'!$D$4&gt;7,('Facility Information'!G5&amp;" Annual Throughput (cubic yards)"),"")</f>
        <v/>
      </c>
      <c r="M132" s="217"/>
      <c r="N132" s="217"/>
    </row>
    <row r="133" spans="2:14" ht="14.25" customHeight="1" x14ac:dyDescent="0.2">
      <c r="B133" s="79" t="str">
        <f>IF('Concrete Plant (CP-2)'!$D$4&gt;7,"Site Name:","")</f>
        <v/>
      </c>
      <c r="C133" s="339"/>
      <c r="D133" s="342"/>
      <c r="E133" s="343"/>
      <c r="F133" s="175"/>
      <c r="H133" s="127" t="str">
        <f>IF(J133="cement delivery to silo","CP-1 EP-2",IF(J133="cement supplement delivery to silo","CP-1 EP-3",IF(J133="weigh hopper loading","CP-1 EP-4",IF(J133="truck mix loading","CP-1 EP-5",IF(J133="central mix loading","CP-1 EP-6",IF(J133="","","CP-1 EP-1"))))))</f>
        <v/>
      </c>
      <c r="I133" s="127" t="str">
        <f t="shared" ref="I133:I142" si="39">IF(J133="","",IF(J133="aggregate delivery to ground storage","CP-2 EU-1",IF(J133="sand delivery to ground storage","CP-2 EU-2",IF(J133="aggregate transfer to conveyor","CP-2 EU-3",IF(J133="sand transfer to conveyor","CP-2 EU-4",IF(J133="aggregate transfer to elevated storage","CP-2 EU-5",IF(J133="sand transfer to elevated storage","CP-2 EU-6",IF(J133="weigh hopper loading","CP-2 EU-7",IF(J133="central mix loading","CP-2 EU-8",IF(J133="truck mix loading","CP-2 EU-9",IF(J133="cement delivery to silo","CP-2 EU-10",IF(J133="cement supplement delivery to silo","CP-2 EU-11"))))))))))))</f>
        <v/>
      </c>
      <c r="J133" s="82"/>
      <c r="K133" s="61"/>
      <c r="L133" s="156"/>
      <c r="M133" s="219" t="str">
        <f>IF(J133="truck mix loading",IF($F$136="yes",L133*0.05/2000,L133/2000),"")</f>
        <v/>
      </c>
      <c r="N133" s="219" t="str">
        <f>IF(J133="central mix loading",IF($F$136="yes",L133*0.05/2000,L133/2000),"")</f>
        <v/>
      </c>
    </row>
    <row r="134" spans="2:14" ht="14.25" customHeight="1" x14ac:dyDescent="0.2">
      <c r="B134" s="79" t="str">
        <f>IF('Concrete Plant (CP-2)'!$D$4&gt;7,"County:","")</f>
        <v/>
      </c>
      <c r="C134" s="339"/>
      <c r="D134" s="342"/>
      <c r="E134" s="343"/>
      <c r="F134" s="175"/>
      <c r="G134" s="45"/>
      <c r="H134" s="127" t="str">
        <f t="shared" ref="H134:H142" si="40">IF(J134="cement delivery to silo","CP-1 EP-2",IF(J134="cement supplement delivery to silo","CP-1 EP-3",IF(J134="weigh hopper loading","CP-1 EP-4",IF(J134="truck mix loading","CP-1 EP-5",IF(J134="central mix loading","CP-1 EP-6",IF(J134="","","CP-1 EP-1"))))))</f>
        <v/>
      </c>
      <c r="I134" s="127" t="str">
        <f t="shared" si="39"/>
        <v/>
      </c>
      <c r="J134" s="82"/>
      <c r="K134" s="61"/>
      <c r="L134" s="156"/>
      <c r="M134" s="219" t="str">
        <f t="shared" ref="M134:M142" si="41">IF(J134="truck mix loading",IF($F$136="yes",L134*0.05/2000,L134/2000),"")</f>
        <v/>
      </c>
      <c r="N134" s="219" t="str">
        <f t="shared" ref="N134:N142" si="42">IF(J134="central mix loading",IF($F$136="yes",L134*0.05/2000,L134/2000),"")</f>
        <v/>
      </c>
    </row>
    <row r="135" spans="2:14" ht="14.25" customHeight="1" x14ac:dyDescent="0.2">
      <c r="B135" s="79" t="str">
        <f>IF('Concrete Plant (CP-2)'!$D$4&gt;7,"Batching Period (Dates):","")</f>
        <v/>
      </c>
      <c r="C135" s="339"/>
      <c r="D135" s="342"/>
      <c r="E135" s="343"/>
      <c r="F135" s="175"/>
      <c r="G135" s="45"/>
      <c r="H135" s="127" t="str">
        <f t="shared" si="40"/>
        <v/>
      </c>
      <c r="I135" s="127" t="str">
        <f t="shared" si="39"/>
        <v/>
      </c>
      <c r="J135" s="82"/>
      <c r="K135" s="61"/>
      <c r="L135" s="156"/>
      <c r="M135" s="219" t="str">
        <f t="shared" si="41"/>
        <v/>
      </c>
      <c r="N135" s="219" t="str">
        <f t="shared" si="42"/>
        <v/>
      </c>
    </row>
    <row r="136" spans="2:14" ht="14.25" customHeight="1" x14ac:dyDescent="0.2">
      <c r="B136" s="51" t="str">
        <f>IF(OR(COUNTIF(J133:J142,"Truck Mix Loading")&gt;0,(COUNTIF(J133:J142,"Central Mix Loading")&gt;0)),"Is the Central/Truck Mix Loading process controlled by a baghouse?","")</f>
        <v/>
      </c>
      <c r="C136" s="51"/>
      <c r="D136" s="51"/>
      <c r="E136" s="51"/>
      <c r="F136" s="221"/>
      <c r="G136" s="45"/>
      <c r="H136" s="127" t="str">
        <f t="shared" si="40"/>
        <v/>
      </c>
      <c r="I136" s="127" t="str">
        <f t="shared" si="39"/>
        <v/>
      </c>
      <c r="J136" s="82"/>
      <c r="K136" s="61"/>
      <c r="L136" s="156"/>
      <c r="M136" s="219" t="str">
        <f t="shared" si="41"/>
        <v/>
      </c>
      <c r="N136" s="219" t="str">
        <f t="shared" si="42"/>
        <v/>
      </c>
    </row>
    <row r="137" spans="2:14" ht="14.25" customHeight="1" x14ac:dyDescent="0.2">
      <c r="C137" s="163"/>
      <c r="D137" s="163"/>
      <c r="E137" s="163"/>
      <c r="F137" s="163"/>
      <c r="G137" s="45"/>
      <c r="H137" s="127" t="str">
        <f t="shared" si="40"/>
        <v/>
      </c>
      <c r="I137" s="127" t="str">
        <f t="shared" si="39"/>
        <v/>
      </c>
      <c r="J137" s="82"/>
      <c r="K137" s="61"/>
      <c r="L137" s="156"/>
      <c r="M137" s="219" t="str">
        <f t="shared" si="41"/>
        <v/>
      </c>
      <c r="N137" s="219" t="str">
        <f t="shared" si="42"/>
        <v/>
      </c>
    </row>
    <row r="138" spans="2:14" ht="27" customHeight="1" x14ac:dyDescent="0.2">
      <c r="B138" s="312" t="str">
        <f>IF(AND(B140="",B141="",B142="",B143="",B144=""),"","Process (complete stack information if applicable):")</f>
        <v/>
      </c>
      <c r="C138" s="312" t="str">
        <f>IF(AND(B140="",B141="",B142="",B143="",B144=""),"","Stack Height (ft):")</f>
        <v/>
      </c>
      <c r="D138" s="312" t="str">
        <f>IF(AND(B140="",B141="",B142="",B143="",B144=""),"","Stack Diameter (inches):")</f>
        <v/>
      </c>
      <c r="E138" s="312" t="str">
        <f>IF(AND(B140="",B141="",B142="",B143="",B144=""),"","Flow Rate (acfm):")</f>
        <v/>
      </c>
      <c r="F138" s="312" t="str">
        <f>IF(AND(B140="",B141="",B142="",B143="",B144=""),"","Temp (Deg F):")</f>
        <v/>
      </c>
      <c r="G138" s="45"/>
      <c r="H138" s="127" t="str">
        <f t="shared" si="40"/>
        <v/>
      </c>
      <c r="I138" s="127" t="str">
        <f t="shared" si="39"/>
        <v/>
      </c>
      <c r="J138" s="82"/>
      <c r="K138" s="61"/>
      <c r="L138" s="156"/>
      <c r="M138" s="219" t="str">
        <f t="shared" si="41"/>
        <v/>
      </c>
      <c r="N138" s="219" t="str">
        <f t="shared" si="42"/>
        <v/>
      </c>
    </row>
    <row r="139" spans="2:14" ht="14.25" customHeight="1" x14ac:dyDescent="0.2">
      <c r="B139" s="312"/>
      <c r="C139" s="312"/>
      <c r="D139" s="312"/>
      <c r="E139" s="312"/>
      <c r="F139" s="312"/>
      <c r="G139" s="45"/>
      <c r="H139" s="127" t="str">
        <f t="shared" si="40"/>
        <v/>
      </c>
      <c r="I139" s="127" t="str">
        <f t="shared" si="39"/>
        <v/>
      </c>
      <c r="J139" s="82"/>
      <c r="K139" s="61"/>
      <c r="L139" s="156"/>
      <c r="M139" s="219" t="str">
        <f t="shared" si="41"/>
        <v/>
      </c>
      <c r="N139" s="219" t="str">
        <f t="shared" si="42"/>
        <v/>
      </c>
    </row>
    <row r="140" spans="2:14" ht="14.25" customHeight="1" x14ac:dyDescent="0.2">
      <c r="B140" s="45" t="str">
        <f>IF(COUNTIF(J133:J142,"Cement Delivery to Silo")&gt;0,"EP-2 Cement Silo Stack:","")</f>
        <v/>
      </c>
      <c r="C140" s="221"/>
      <c r="D140" s="221"/>
      <c r="E140" s="221"/>
      <c r="F140" s="221"/>
      <c r="G140" s="45"/>
      <c r="H140" s="127" t="str">
        <f t="shared" si="40"/>
        <v/>
      </c>
      <c r="I140" s="127" t="str">
        <f t="shared" si="39"/>
        <v/>
      </c>
      <c r="J140" s="82"/>
      <c r="K140" s="61"/>
      <c r="L140" s="156"/>
      <c r="M140" s="219" t="str">
        <f t="shared" si="41"/>
        <v/>
      </c>
      <c r="N140" s="219" t="str">
        <f t="shared" si="42"/>
        <v/>
      </c>
    </row>
    <row r="141" spans="2:14" ht="14.25" customHeight="1" x14ac:dyDescent="0.2">
      <c r="B141" s="45" t="str">
        <f>IF(COUNTIF(J133:J142,"Cement Supplement Delivery to Silo")&gt;0,"EP-3 Cement Supplement Silo Stack:","")</f>
        <v/>
      </c>
      <c r="C141" s="221"/>
      <c r="D141" s="221"/>
      <c r="E141" s="221"/>
      <c r="F141" s="221"/>
      <c r="G141" s="45"/>
      <c r="H141" s="127" t="str">
        <f t="shared" si="40"/>
        <v/>
      </c>
      <c r="I141" s="127" t="str">
        <f t="shared" si="39"/>
        <v/>
      </c>
      <c r="J141" s="82"/>
      <c r="K141" s="61"/>
      <c r="L141" s="156"/>
      <c r="M141" s="219" t="str">
        <f t="shared" si="41"/>
        <v/>
      </c>
      <c r="N141" s="219" t="str">
        <f t="shared" si="42"/>
        <v/>
      </c>
    </row>
    <row r="142" spans="2:14" ht="14.25" customHeight="1" x14ac:dyDescent="0.2">
      <c r="B142" s="45" t="str">
        <f>IF(COUNTIF(J133:J142,"Weigh Hopper Loading")&gt;0,"EP-4 Weigh Hopper Loading Stack:","")</f>
        <v/>
      </c>
      <c r="C142" s="221"/>
      <c r="D142" s="221"/>
      <c r="E142" s="221"/>
      <c r="F142" s="221"/>
      <c r="G142" s="45"/>
      <c r="H142" s="127" t="str">
        <f t="shared" si="40"/>
        <v/>
      </c>
      <c r="I142" s="127" t="str">
        <f t="shared" si="39"/>
        <v/>
      </c>
      <c r="J142" s="82"/>
      <c r="K142" s="61"/>
      <c r="L142" s="156"/>
      <c r="M142" s="219" t="str">
        <f t="shared" si="41"/>
        <v/>
      </c>
      <c r="N142" s="219" t="str">
        <f t="shared" si="42"/>
        <v/>
      </c>
    </row>
    <row r="143" spans="2:14" ht="14.25" customHeight="1" x14ac:dyDescent="0.2">
      <c r="B143" s="45" t="str">
        <f>IF(COUNTIF(J133:J142,"Truck Mix Loading")&gt;0,"EP-5 Truck Mix Loading Stack:","")</f>
        <v/>
      </c>
      <c r="C143" s="221"/>
      <c r="D143" s="221"/>
      <c r="E143" s="221"/>
      <c r="F143" s="221"/>
      <c r="G143" s="45"/>
      <c r="H143" s="45"/>
      <c r="I143" s="45"/>
    </row>
    <row r="144" spans="2:14" ht="14.25" customHeight="1" x14ac:dyDescent="0.2">
      <c r="B144" s="45" t="str">
        <f>IF(COUNTIF(J133:J142,"Central Mix Loading")&gt;0,"EP-6 Central Mix Loading Stack:","")</f>
        <v/>
      </c>
      <c r="C144" s="221"/>
      <c r="D144" s="221"/>
      <c r="E144" s="221"/>
      <c r="F144" s="221"/>
      <c r="H144" s="74" t="str">
        <f>IF('Concrete Plant (CP-2)'!$D$4&gt;7,"Stock Pile Area","")</f>
        <v/>
      </c>
      <c r="I144" s="74"/>
      <c r="J144" s="75"/>
    </row>
    <row r="145" spans="2:14" ht="14.25" customHeight="1" x14ac:dyDescent="0.2">
      <c r="B145" s="73"/>
      <c r="C145" s="163"/>
      <c r="D145" s="163"/>
      <c r="E145" s="163"/>
      <c r="F145" s="163"/>
      <c r="G145" s="76"/>
      <c r="I145" s="51" t="str">
        <f>IF('Concrete Plant (CP-2)'!$D$4&gt;7,"Emission Unit #","")</f>
        <v/>
      </c>
      <c r="J145" s="80" t="str">
        <f>IF('Concrete Plant (CP-2)'!$D$4&gt;7,"Maximum Storage Area (acres)","")</f>
        <v/>
      </c>
      <c r="K145" s="81" t="str">
        <f>IF('Concrete Plant (CP-2)'!$D$4&gt;7,"Actual Storage Area (acres)","")</f>
        <v/>
      </c>
      <c r="L145" s="80" t="str">
        <f>IF('Concrete Plant (CP-2)'!$D$4&gt;7,"Actual Days in Existence (days)","")</f>
        <v/>
      </c>
      <c r="M145" s="146"/>
      <c r="N145" s="146"/>
    </row>
    <row r="146" spans="2:14" ht="14.25" customHeight="1" x14ac:dyDescent="0.2">
      <c r="B146" s="73"/>
      <c r="C146" s="163"/>
      <c r="D146" s="163"/>
      <c r="E146" s="163"/>
      <c r="F146" s="163"/>
      <c r="I146" s="65"/>
      <c r="J146" s="144"/>
      <c r="K146" s="66"/>
      <c r="L146" s="144"/>
      <c r="M146" s="146"/>
      <c r="N146" s="146"/>
    </row>
    <row r="147" spans="2:14" ht="32.25" customHeight="1" x14ac:dyDescent="0.2">
      <c r="B147" s="73"/>
      <c r="C147" s="163"/>
      <c r="D147" s="163"/>
      <c r="E147" s="163"/>
      <c r="F147" s="163"/>
    </row>
    <row r="148" spans="2:14" ht="27.75" customHeight="1" x14ac:dyDescent="0.25">
      <c r="B148" s="78" t="str">
        <f>IF('Concrete Plant (CP-2)'!$D$4&gt;8,"Batch Plant","")</f>
        <v/>
      </c>
      <c r="C148" s="71" t="str">
        <f>IF('Concrete Plant (CP-2)'!$D$4&gt;8,"Site 9","")</f>
        <v/>
      </c>
      <c r="D148" s="71"/>
      <c r="E148" s="71"/>
      <c r="F148" s="71"/>
      <c r="H148" s="310" t="str">
        <f>IF('Concrete Plant (CP-2)'!$D$4&gt;8,"Emission Point #","")</f>
        <v/>
      </c>
      <c r="I148" s="310" t="str">
        <f>IF('Concrete Plant (CP-2)'!$D$4&gt;8,"Emission     Unit #","")</f>
        <v/>
      </c>
      <c r="J148" s="310" t="str">
        <f>IF('Concrete Plant (CP-2)'!$D$4&gt;8,"Processes","")</f>
        <v/>
      </c>
      <c r="K148" s="311" t="str">
        <f>IF('Concrete Plant (CP-2)'!$D$4&gt;8,"Combined Maximum Hourly Design Rate for all Like Processes (cubic yard/hr)","")</f>
        <v/>
      </c>
      <c r="L148" s="310" t="str">
        <f>IF('Concrete Plant (CP-2)'!$D$4&gt;8,('Facility Information'!G5&amp;" Annual Throughput (cubic yards)"),"")</f>
        <v/>
      </c>
      <c r="M148" s="217"/>
      <c r="N148" s="217"/>
    </row>
    <row r="149" spans="2:14" ht="14.25" customHeight="1" x14ac:dyDescent="0.2">
      <c r="B149" s="79" t="str">
        <f>IF('Concrete Plant (CP-2)'!$D$4&gt;8,"Site Name:","")</f>
        <v/>
      </c>
      <c r="C149" s="339"/>
      <c r="D149" s="342"/>
      <c r="E149" s="343"/>
      <c r="F149" s="175"/>
      <c r="G149" s="45"/>
      <c r="H149" s="127" t="str">
        <f>IF(J149="cement delivery to silo","CP-1 EP-2",IF(J149="cement supplement delivery to silo","CP-1 EP-3",IF(J149="weigh hopper loading","CP-1 EP-4",IF(J149="truck mix loading","CP-1 EP-5",IF(J149="central mix loading","CP-1 EP-6",IF(J149="","","CP-1 EP-1"))))))</f>
        <v/>
      </c>
      <c r="I149" s="127" t="str">
        <f t="shared" ref="I149:I158" si="43">IF(J149="","",IF(J149="aggregate delivery to ground storage","CP-2 EU-1",IF(J149="sand delivery to ground storage","CP-2 EU-2",IF(J149="aggregate transfer to conveyor","CP-2 EU-3",IF(J149="sand transfer to conveyor","CP-2 EU-4",IF(J149="aggregate transfer to elevated storage","CP-2 EU-5",IF(J149="sand transfer to elevated storage","CP-2 EU-6",IF(J149="weigh hopper loading","CP-2 EU-7",IF(J149="central mix loading","CP-2 EU-8",IF(J149="truck mix loading","CP-2 EU-9",IF(J149="cement delivery to silo","CP-2 EU-10",IF(J149="cement supplement delivery to silo","CP-2 EU-11"))))))))))))</f>
        <v/>
      </c>
      <c r="J149" s="82"/>
      <c r="K149" s="61"/>
      <c r="L149" s="156"/>
      <c r="M149" s="219" t="str">
        <f>IF(J149="truck mix loading",IF($F$152="yes",L149*0.05/2000,L149/2000),"")</f>
        <v/>
      </c>
      <c r="N149" s="219" t="str">
        <f>IF(J149="central mix loading",IF($F$152="yes",L149*0.05/2000,L149/2000),"")</f>
        <v/>
      </c>
    </row>
    <row r="150" spans="2:14" ht="14.25" customHeight="1" x14ac:dyDescent="0.2">
      <c r="B150" s="79" t="str">
        <f>IF('Concrete Plant (CP-2)'!$D$4&gt;8,"County:","")</f>
        <v/>
      </c>
      <c r="C150" s="339"/>
      <c r="D150" s="342"/>
      <c r="E150" s="343"/>
      <c r="F150" s="175"/>
      <c r="G150" s="45"/>
      <c r="H150" s="127" t="str">
        <f t="shared" ref="H150:H158" si="44">IF(J150="cement delivery to silo","CP-1 EP-2",IF(J150="cement supplement delivery to silo","CP-1 EP-3",IF(J150="weigh hopper loading","CP-1 EP-4",IF(J150="truck mix loading","CP-1 EP-5",IF(J150="central mix loading","CP-1 EP-6",IF(J150="","","CP-1 EP-1"))))))</f>
        <v/>
      </c>
      <c r="I150" s="127" t="str">
        <f t="shared" si="43"/>
        <v/>
      </c>
      <c r="J150" s="82"/>
      <c r="K150" s="61"/>
      <c r="L150" s="156"/>
      <c r="M150" s="219" t="str">
        <f t="shared" ref="M150:M158" si="45">IF(J150="truck mix loading",IF($F$152="yes",L150*0.05/2000,L150/2000),"")</f>
        <v/>
      </c>
      <c r="N150" s="219" t="str">
        <f t="shared" ref="N150:N158" si="46">IF(J150="central mix loading",IF($F$152="yes",L150*0.05/2000,L150/2000),"")</f>
        <v/>
      </c>
    </row>
    <row r="151" spans="2:14" ht="14.25" customHeight="1" x14ac:dyDescent="0.2">
      <c r="B151" s="79" t="str">
        <f>IF('Concrete Plant (CP-2)'!$D$4&gt;8,"Batching Period (Dates):","")</f>
        <v/>
      </c>
      <c r="C151" s="339"/>
      <c r="D151" s="342"/>
      <c r="E151" s="343"/>
      <c r="F151" s="175"/>
      <c r="G151" s="45"/>
      <c r="H151" s="127" t="str">
        <f t="shared" si="44"/>
        <v/>
      </c>
      <c r="I151" s="127" t="str">
        <f t="shared" si="43"/>
        <v/>
      </c>
      <c r="J151" s="82"/>
      <c r="K151" s="61"/>
      <c r="L151" s="156"/>
      <c r="M151" s="219" t="str">
        <f t="shared" si="45"/>
        <v/>
      </c>
      <c r="N151" s="219" t="str">
        <f t="shared" si="46"/>
        <v/>
      </c>
    </row>
    <row r="152" spans="2:14" ht="14.25" customHeight="1" x14ac:dyDescent="0.2">
      <c r="B152" s="51" t="str">
        <f>IF(OR(COUNTIF(J149:J158,"Truck Mix Loading")&gt;0,(COUNTIF(J149:J158,"Central Mix Loading")&gt;0)),"Is the Central/Truck Mix Loading process controlled by a baghouse?","")</f>
        <v/>
      </c>
      <c r="C152" s="51"/>
      <c r="D152" s="51"/>
      <c r="E152" s="51"/>
      <c r="F152" s="221"/>
      <c r="G152" s="45"/>
      <c r="H152" s="127" t="str">
        <f t="shared" si="44"/>
        <v/>
      </c>
      <c r="I152" s="127" t="str">
        <f t="shared" si="43"/>
        <v/>
      </c>
      <c r="J152" s="82"/>
      <c r="K152" s="61"/>
      <c r="L152" s="156"/>
      <c r="M152" s="219" t="str">
        <f t="shared" si="45"/>
        <v/>
      </c>
      <c r="N152" s="219" t="str">
        <f t="shared" si="46"/>
        <v/>
      </c>
    </row>
    <row r="153" spans="2:14" ht="14.25" customHeight="1" x14ac:dyDescent="0.2">
      <c r="C153" s="163"/>
      <c r="D153" s="163"/>
      <c r="E153" s="163"/>
      <c r="F153" s="163"/>
      <c r="G153" s="45"/>
      <c r="H153" s="127" t="str">
        <f t="shared" si="44"/>
        <v/>
      </c>
      <c r="I153" s="127" t="str">
        <f t="shared" si="43"/>
        <v/>
      </c>
      <c r="J153" s="82"/>
      <c r="K153" s="61"/>
      <c r="L153" s="156"/>
      <c r="M153" s="219" t="str">
        <f t="shared" si="45"/>
        <v/>
      </c>
      <c r="N153" s="219" t="str">
        <f t="shared" si="46"/>
        <v/>
      </c>
    </row>
    <row r="154" spans="2:14" ht="27.75" customHeight="1" x14ac:dyDescent="0.2">
      <c r="B154" s="312" t="str">
        <f>IF(AND(B156="",B157="",B158="",B159="",B160=""),"","Process (complete stack information if applicable):")</f>
        <v/>
      </c>
      <c r="C154" s="312" t="str">
        <f>IF(AND(B156="",B157="",B158="",B159="",B160=""),"","Stack Height (ft):")</f>
        <v/>
      </c>
      <c r="D154" s="312" t="str">
        <f>IF(AND(B156="",B157="",B158="",B159="",B160=""),"","Stack Diameter (inches):")</f>
        <v/>
      </c>
      <c r="E154" s="312" t="str">
        <f>IF(AND(B156="",B157="",B158="",B159="",B160=""),"","Flow Rate (acfm):")</f>
        <v/>
      </c>
      <c r="F154" s="312" t="str">
        <f>IF(AND(B156="",B157="",B158="",B159="",B160=""),"","Temp (Deg F):")</f>
        <v/>
      </c>
      <c r="G154" s="45"/>
      <c r="H154" s="127" t="str">
        <f t="shared" si="44"/>
        <v/>
      </c>
      <c r="I154" s="127" t="str">
        <f t="shared" si="43"/>
        <v/>
      </c>
      <c r="J154" s="82"/>
      <c r="K154" s="61"/>
      <c r="L154" s="156"/>
      <c r="M154" s="219" t="str">
        <f t="shared" si="45"/>
        <v/>
      </c>
      <c r="N154" s="219" t="str">
        <f t="shared" si="46"/>
        <v/>
      </c>
    </row>
    <row r="155" spans="2:14" ht="14.25" customHeight="1" x14ac:dyDescent="0.2">
      <c r="B155" s="312"/>
      <c r="C155" s="312"/>
      <c r="D155" s="312"/>
      <c r="E155" s="312"/>
      <c r="F155" s="312"/>
      <c r="G155" s="45"/>
      <c r="H155" s="127" t="str">
        <f t="shared" si="44"/>
        <v/>
      </c>
      <c r="I155" s="127" t="str">
        <f t="shared" si="43"/>
        <v/>
      </c>
      <c r="J155" s="82"/>
      <c r="K155" s="61"/>
      <c r="L155" s="156"/>
      <c r="M155" s="219" t="str">
        <f t="shared" si="45"/>
        <v/>
      </c>
      <c r="N155" s="219" t="str">
        <f t="shared" si="46"/>
        <v/>
      </c>
    </row>
    <row r="156" spans="2:14" ht="14.25" customHeight="1" x14ac:dyDescent="0.2">
      <c r="B156" s="45" t="str">
        <f>IF(COUNTIF(J149:J158,"Cement Delivery to Silo")&gt;0,"EP-2 Cement Silo Stack:","")</f>
        <v/>
      </c>
      <c r="C156" s="221"/>
      <c r="D156" s="221"/>
      <c r="E156" s="221"/>
      <c r="F156" s="221"/>
      <c r="G156" s="45"/>
      <c r="H156" s="127" t="str">
        <f t="shared" si="44"/>
        <v/>
      </c>
      <c r="I156" s="127" t="str">
        <f t="shared" si="43"/>
        <v/>
      </c>
      <c r="J156" s="82"/>
      <c r="K156" s="61"/>
      <c r="L156" s="156"/>
      <c r="M156" s="219" t="str">
        <f t="shared" si="45"/>
        <v/>
      </c>
      <c r="N156" s="219" t="str">
        <f t="shared" si="46"/>
        <v/>
      </c>
    </row>
    <row r="157" spans="2:14" ht="14.25" customHeight="1" x14ac:dyDescent="0.2">
      <c r="B157" s="45" t="str">
        <f>IF(COUNTIF(J149:J158,"Cement Supplement Delivery to Silo")&gt;0,"EP-3 Cement Supplement Silo Stack:","")</f>
        <v/>
      </c>
      <c r="C157" s="221"/>
      <c r="D157" s="221"/>
      <c r="E157" s="221"/>
      <c r="F157" s="221"/>
      <c r="G157" s="45"/>
      <c r="H157" s="127" t="str">
        <f t="shared" si="44"/>
        <v/>
      </c>
      <c r="I157" s="127" t="str">
        <f t="shared" si="43"/>
        <v/>
      </c>
      <c r="J157" s="82"/>
      <c r="K157" s="61"/>
      <c r="L157" s="156"/>
      <c r="M157" s="219" t="str">
        <f t="shared" si="45"/>
        <v/>
      </c>
      <c r="N157" s="219" t="str">
        <f t="shared" si="46"/>
        <v/>
      </c>
    </row>
    <row r="158" spans="2:14" ht="14.25" customHeight="1" x14ac:dyDescent="0.2">
      <c r="B158" s="45" t="str">
        <f>IF(COUNTIF(J149:J158,"Weigh Hopper Loading")&gt;0,"EP-4 Weigh Hopper Loading Stack:","")</f>
        <v/>
      </c>
      <c r="C158" s="221"/>
      <c r="D158" s="221"/>
      <c r="E158" s="221"/>
      <c r="F158" s="221"/>
      <c r="H158" s="127" t="str">
        <f t="shared" si="44"/>
        <v/>
      </c>
      <c r="I158" s="127" t="str">
        <f t="shared" si="43"/>
        <v/>
      </c>
      <c r="J158" s="82"/>
      <c r="K158" s="61"/>
      <c r="L158" s="156"/>
      <c r="M158" s="219" t="str">
        <f t="shared" si="45"/>
        <v/>
      </c>
      <c r="N158" s="219" t="str">
        <f t="shared" si="46"/>
        <v/>
      </c>
    </row>
    <row r="159" spans="2:14" ht="14.25" customHeight="1" x14ac:dyDescent="0.2">
      <c r="B159" s="45" t="str">
        <f>IF(COUNTIF(J149:J158,"Truck Mix Loading")&gt;0,"EP-5 Truck Mix Loading Stack:","")</f>
        <v/>
      </c>
      <c r="C159" s="221"/>
      <c r="D159" s="221"/>
      <c r="E159" s="221"/>
      <c r="F159" s="221"/>
      <c r="G159" s="76"/>
      <c r="H159" s="45"/>
      <c r="I159" s="45"/>
    </row>
    <row r="160" spans="2:14" ht="14.25" customHeight="1" x14ac:dyDescent="0.2">
      <c r="B160" s="45" t="str">
        <f>IF(COUNTIF(J149:J158,"Central Mix Loading")&gt;0,"EP-6 Central Mix Loading Stack:","")</f>
        <v/>
      </c>
      <c r="C160" s="221"/>
      <c r="D160" s="221"/>
      <c r="E160" s="221"/>
      <c r="F160" s="221"/>
      <c r="H160" s="74" t="str">
        <f>IF('Concrete Plant (CP-2)'!$D$4&gt;8,"Stock Pile Area","")</f>
        <v/>
      </c>
      <c r="I160" s="74"/>
      <c r="J160" s="75"/>
    </row>
    <row r="161" spans="2:14" ht="14.25" customHeight="1" x14ac:dyDescent="0.2">
      <c r="B161" s="73"/>
      <c r="C161" s="163"/>
      <c r="D161" s="163"/>
      <c r="E161" s="163"/>
      <c r="F161" s="163"/>
      <c r="I161" s="51" t="str">
        <f>IF('Concrete Plant (CP-2)'!$D$4&gt;8,"Emission Unit #","")</f>
        <v/>
      </c>
      <c r="J161" s="80" t="str">
        <f>IF('Concrete Plant (CP-2)'!$D$4&gt;8,"Maximum Storage Area (acres)","")</f>
        <v/>
      </c>
      <c r="K161" s="81" t="str">
        <f>IF('Concrete Plant (CP-2)'!$D$4&gt;8,"Actual Storage Area (acres)","")</f>
        <v/>
      </c>
      <c r="L161" s="80" t="str">
        <f>IF('Concrete Plant (CP-2)'!$D$4&gt;8,"Actual Days in Existence (days)","")</f>
        <v/>
      </c>
      <c r="M161" s="146"/>
      <c r="N161" s="146"/>
    </row>
    <row r="162" spans="2:14" ht="14.25" customHeight="1" x14ac:dyDescent="0.2">
      <c r="B162" s="73"/>
      <c r="C162" s="163"/>
      <c r="D162" s="163"/>
      <c r="E162" s="163"/>
      <c r="F162" s="163"/>
      <c r="I162" s="65"/>
      <c r="J162" s="144"/>
      <c r="K162" s="66"/>
      <c r="L162" s="144"/>
      <c r="M162" s="146"/>
      <c r="N162" s="146"/>
    </row>
    <row r="163" spans="2:14" ht="14.25" customHeight="1" x14ac:dyDescent="0.2">
      <c r="B163" s="73"/>
      <c r="C163" s="163"/>
      <c r="D163" s="163"/>
      <c r="E163" s="163"/>
      <c r="F163" s="163"/>
    </row>
    <row r="164" spans="2:14" ht="28.5" customHeight="1" x14ac:dyDescent="0.25">
      <c r="B164" s="78" t="str">
        <f>IF('Concrete Plant (CP-2)'!$D$4&gt;9,"Batch Plant","")</f>
        <v/>
      </c>
      <c r="C164" s="71" t="str">
        <f>IF('Concrete Plant (CP-2)'!$D$4&gt;9,"Site 10","")</f>
        <v/>
      </c>
      <c r="D164" s="71"/>
      <c r="E164" s="71"/>
      <c r="F164" s="71"/>
      <c r="H164" s="310" t="str">
        <f>IF('Concrete Plant (CP-2)'!$D$4&gt;9,"Emission Point #","")</f>
        <v/>
      </c>
      <c r="I164" s="310" t="str">
        <f>IF('Concrete Plant (CP-2)'!$D$4&gt;9,"Emission     Unit #","")</f>
        <v/>
      </c>
      <c r="J164" s="310" t="str">
        <f>IF('Concrete Plant (CP-2)'!$D$4&gt;9,"Processes","")</f>
        <v/>
      </c>
      <c r="K164" s="311" t="str">
        <f>IF('Concrete Plant (CP-2)'!$D$4&gt;9,"Combined Maximum Hourly Design Rate for all Like Processes (cubic yard/hr)","")</f>
        <v/>
      </c>
      <c r="L164" s="310" t="str">
        <f>IF('Concrete Plant (CP-2)'!$D$4&gt;9,('Facility Information'!G5&amp;" Annual Throughput (cubic yards)"),"")</f>
        <v/>
      </c>
      <c r="M164" s="217"/>
      <c r="N164" s="217"/>
    </row>
    <row r="165" spans="2:14" ht="14.25" customHeight="1" x14ac:dyDescent="0.2">
      <c r="B165" s="79" t="str">
        <f>IF('Concrete Plant (CP-2)'!$D$4&gt;9,"Site Name:","")</f>
        <v/>
      </c>
      <c r="C165" s="339"/>
      <c r="D165" s="342"/>
      <c r="E165" s="343"/>
      <c r="F165" s="175"/>
      <c r="H165" s="127" t="str">
        <f>IF(J165="cement delivery to silo","CP-1 EP-2",IF(J165="cement supplement delivery to silo","CP-1 EP-3",IF(J165="weigh hopper loading","CP-1 EP-4",IF(J165="truck mix loading","CP-1 EP-5",IF(J165="central mix loading","CP-1 EP-6",IF(J165="","","CP-1 EP-1"))))))</f>
        <v/>
      </c>
      <c r="I165" s="127" t="str">
        <f t="shared" ref="I165:I174" si="47">IF(J165="","",IF(J165="aggregate delivery to ground storage","CP-2 EU-1",IF(J165="sand delivery to ground storage","CP-2 EU-2",IF(J165="aggregate transfer to conveyor","CP-2 EU-3",IF(J165="sand transfer to conveyor","CP-2 EU-4",IF(J165="aggregate transfer to elevated storage","CP-2 EU-5",IF(J165="sand transfer to elevated storage","CP-2 EU-6",IF(J165="weigh hopper loading","CP-2 EU-7",IF(J165="central mix loading","CP-2 EU-8",IF(J165="truck mix loading","CP-2 EU-9",IF(J165="cement delivery to silo","CP-2 EU-10",IF(J165="cement supplement delivery to silo","CP-2 EU-11"))))))))))))</f>
        <v/>
      </c>
      <c r="J165" s="82"/>
      <c r="K165" s="61"/>
      <c r="L165" s="156"/>
      <c r="M165" s="219" t="str">
        <f>IF(J165="truck mix loading",IF($F$168="yes",L165*0.05/2000,L165/2000),"")</f>
        <v/>
      </c>
      <c r="N165" s="219" t="str">
        <f>IF(J165="central mix loading",IF($F$168="yes",L165*0.05/2000,L165/2000),"")</f>
        <v/>
      </c>
    </row>
    <row r="166" spans="2:14" ht="14.25" customHeight="1" x14ac:dyDescent="0.2">
      <c r="B166" s="79" t="str">
        <f>IF('Concrete Plant (CP-2)'!$D$4&gt;9,"County:","")</f>
        <v/>
      </c>
      <c r="C166" s="339"/>
      <c r="D166" s="342"/>
      <c r="E166" s="343"/>
      <c r="F166" s="175"/>
      <c r="H166" s="127" t="str">
        <f t="shared" ref="H166:H174" si="48">IF(J166="cement delivery to silo","CP-1 EP-2",IF(J166="cement supplement delivery to silo","CP-1 EP-3",IF(J166="weigh hopper loading","CP-1 EP-4",IF(J166="truck mix loading","CP-1 EP-5",IF(J166="central mix loading","CP-1 EP-6",IF(J166="","","CP-1 EP-1"))))))</f>
        <v/>
      </c>
      <c r="I166" s="127" t="str">
        <f t="shared" si="47"/>
        <v/>
      </c>
      <c r="J166" s="82"/>
      <c r="K166" s="61"/>
      <c r="L166" s="156"/>
      <c r="M166" s="219" t="str">
        <f t="shared" ref="M166:M174" si="49">IF(J166="truck mix loading",IF($F$168="yes",L166*0.05/2000,L166/2000),"")</f>
        <v/>
      </c>
      <c r="N166" s="219" t="str">
        <f t="shared" ref="N166:N174" si="50">IF(J166="central mix loading",IF($F$168="yes",L166*0.05/2000,L166/2000),"")</f>
        <v/>
      </c>
    </row>
    <row r="167" spans="2:14" ht="14.25" customHeight="1" x14ac:dyDescent="0.2">
      <c r="B167" s="79" t="str">
        <f>IF('Concrete Plant (CP-2)'!$D$4&gt;9,"Batching Period (Dates):","")</f>
        <v/>
      </c>
      <c r="C167" s="339"/>
      <c r="D167" s="342"/>
      <c r="E167" s="343"/>
      <c r="F167" s="175"/>
      <c r="H167" s="127" t="str">
        <f t="shared" si="48"/>
        <v/>
      </c>
      <c r="I167" s="127" t="str">
        <f t="shared" si="47"/>
        <v/>
      </c>
      <c r="J167" s="82"/>
      <c r="K167" s="61"/>
      <c r="L167" s="156"/>
      <c r="M167" s="219" t="str">
        <f t="shared" si="49"/>
        <v/>
      </c>
      <c r="N167" s="219" t="str">
        <f t="shared" si="50"/>
        <v/>
      </c>
    </row>
    <row r="168" spans="2:14" ht="14.25" customHeight="1" x14ac:dyDescent="0.2">
      <c r="B168" s="51" t="str">
        <f>IF(OR(COUNTIF(J165:J174,"Truck Mix Loading")&gt;0,(COUNTIF(J165:J174,"Central Mix Loading")&gt;0)),"Is the Central/Truck Mix Loading process controlled by a baghouse?","")</f>
        <v/>
      </c>
      <c r="C168" s="51"/>
      <c r="D168" s="51"/>
      <c r="E168" s="51"/>
      <c r="F168" s="221"/>
      <c r="H168" s="127" t="str">
        <f t="shared" si="48"/>
        <v/>
      </c>
      <c r="I168" s="127" t="str">
        <f t="shared" si="47"/>
        <v/>
      </c>
      <c r="J168" s="82"/>
      <c r="K168" s="61"/>
      <c r="L168" s="156"/>
      <c r="M168" s="219" t="str">
        <f t="shared" si="49"/>
        <v/>
      </c>
      <c r="N168" s="219" t="str">
        <f t="shared" si="50"/>
        <v/>
      </c>
    </row>
    <row r="169" spans="2:14" ht="14.25" customHeight="1" x14ac:dyDescent="0.2">
      <c r="C169" s="163"/>
      <c r="D169" s="163"/>
      <c r="E169" s="163"/>
      <c r="F169" s="163"/>
      <c r="H169" s="127" t="str">
        <f t="shared" si="48"/>
        <v/>
      </c>
      <c r="I169" s="127" t="str">
        <f t="shared" si="47"/>
        <v/>
      </c>
      <c r="J169" s="82"/>
      <c r="K169" s="61"/>
      <c r="L169" s="156"/>
      <c r="M169" s="219" t="str">
        <f t="shared" si="49"/>
        <v/>
      </c>
      <c r="N169" s="219" t="str">
        <f t="shared" si="50"/>
        <v/>
      </c>
    </row>
    <row r="170" spans="2:14" ht="27.75" customHeight="1" x14ac:dyDescent="0.2">
      <c r="B170" s="312" t="str">
        <f>IF(AND(B172="",B173="",B174="",B175="",B176=""),"","Process (complete stack information if applicable):")</f>
        <v/>
      </c>
      <c r="C170" s="312" t="str">
        <f>IF(AND(B172="",B173="",B174="",B175="",B176=""),"","Stack Height (ft):")</f>
        <v/>
      </c>
      <c r="D170" s="312" t="str">
        <f>IF(AND(B172="",B173="",B174="",B175="",B176=""),"","Stack Diameter (inches):")</f>
        <v/>
      </c>
      <c r="E170" s="312" t="str">
        <f>IF(AND(B172="",B173="",B174="",B175="",B176=""),"","Flow Rate (acfm):")</f>
        <v/>
      </c>
      <c r="F170" s="312" t="str">
        <f>IF(AND(B172="",B173="",B174="",B175="",B176=""),"","Temp (Deg F):")</f>
        <v/>
      </c>
      <c r="H170" s="127" t="str">
        <f t="shared" si="48"/>
        <v/>
      </c>
      <c r="I170" s="127" t="str">
        <f t="shared" si="47"/>
        <v/>
      </c>
      <c r="J170" s="82"/>
      <c r="K170" s="61"/>
      <c r="L170" s="156"/>
      <c r="M170" s="219" t="str">
        <f t="shared" si="49"/>
        <v/>
      </c>
      <c r="N170" s="219" t="str">
        <f t="shared" si="50"/>
        <v/>
      </c>
    </row>
    <row r="171" spans="2:14" ht="14.25" customHeight="1" x14ac:dyDescent="0.2">
      <c r="B171" s="312"/>
      <c r="C171" s="312"/>
      <c r="D171" s="312"/>
      <c r="E171" s="312"/>
      <c r="F171" s="312"/>
      <c r="H171" s="127" t="str">
        <f t="shared" si="48"/>
        <v/>
      </c>
      <c r="I171" s="127" t="str">
        <f t="shared" si="47"/>
        <v/>
      </c>
      <c r="J171" s="82"/>
      <c r="K171" s="61"/>
      <c r="L171" s="156"/>
      <c r="M171" s="219" t="str">
        <f t="shared" si="49"/>
        <v/>
      </c>
      <c r="N171" s="219" t="str">
        <f t="shared" si="50"/>
        <v/>
      </c>
    </row>
    <row r="172" spans="2:14" ht="14.25" customHeight="1" x14ac:dyDescent="0.2">
      <c r="B172" s="45" t="str">
        <f>IF(COUNTIF(J165:J174,"Cement Delivery to Silo")&gt;0,"EP-2 Cement Silo Stack:","")</f>
        <v/>
      </c>
      <c r="C172" s="221"/>
      <c r="D172" s="221"/>
      <c r="E172" s="221"/>
      <c r="F172" s="221"/>
      <c r="H172" s="127" t="str">
        <f t="shared" si="48"/>
        <v/>
      </c>
      <c r="I172" s="127" t="str">
        <f t="shared" si="47"/>
        <v/>
      </c>
      <c r="J172" s="82"/>
      <c r="K172" s="61"/>
      <c r="L172" s="156"/>
      <c r="M172" s="219" t="str">
        <f t="shared" si="49"/>
        <v/>
      </c>
      <c r="N172" s="219" t="str">
        <f t="shared" si="50"/>
        <v/>
      </c>
    </row>
    <row r="173" spans="2:14" ht="14.25" customHeight="1" x14ac:dyDescent="0.2">
      <c r="B173" s="45" t="str">
        <f>IF(COUNTIF(J165:J174,"Cement Supplement Delivery to Silo")&gt;0,"EP-3 Cement Supplement Silo Stack:","")</f>
        <v/>
      </c>
      <c r="C173" s="221"/>
      <c r="D173" s="221"/>
      <c r="E173" s="221"/>
      <c r="F173" s="221"/>
      <c r="H173" s="127" t="str">
        <f t="shared" si="48"/>
        <v/>
      </c>
      <c r="I173" s="127" t="str">
        <f t="shared" si="47"/>
        <v/>
      </c>
      <c r="J173" s="82"/>
      <c r="K173" s="61"/>
      <c r="L173" s="156"/>
      <c r="M173" s="219" t="str">
        <f t="shared" si="49"/>
        <v/>
      </c>
      <c r="N173" s="219" t="str">
        <f t="shared" si="50"/>
        <v/>
      </c>
    </row>
    <row r="174" spans="2:14" ht="14.25" customHeight="1" x14ac:dyDescent="0.2">
      <c r="B174" s="45" t="str">
        <f>IF(COUNTIF(J165:J174,"Weigh Hopper Loading")&gt;0,"EP-4 Weigh Hopper Loading Stack:","")</f>
        <v/>
      </c>
      <c r="C174" s="221"/>
      <c r="D174" s="221"/>
      <c r="E174" s="221"/>
      <c r="F174" s="221"/>
      <c r="H174" s="127" t="str">
        <f t="shared" si="48"/>
        <v/>
      </c>
      <c r="I174" s="127" t="str">
        <f t="shared" si="47"/>
        <v/>
      </c>
      <c r="J174" s="82"/>
      <c r="K174" s="61"/>
      <c r="L174" s="156"/>
      <c r="M174" s="219" t="str">
        <f t="shared" si="49"/>
        <v/>
      </c>
      <c r="N174" s="219" t="str">
        <f t="shared" si="50"/>
        <v/>
      </c>
    </row>
    <row r="175" spans="2:14" ht="14.25" customHeight="1" x14ac:dyDescent="0.2">
      <c r="B175" s="45" t="str">
        <f>IF(COUNTIF(J165:J174,"Truck Mix Loading")&gt;0,"EP-5 Truck Mix Loading Stack:","")</f>
        <v/>
      </c>
      <c r="C175" s="221"/>
      <c r="D175" s="221"/>
      <c r="E175" s="221"/>
      <c r="F175" s="221"/>
      <c r="H175" s="45"/>
      <c r="I175" s="45"/>
    </row>
    <row r="176" spans="2:14" ht="14.25" customHeight="1" x14ac:dyDescent="0.2">
      <c r="B176" s="45" t="str">
        <f>IF(COUNTIF(J165:J174,"Central Mix Loading")&gt;0,"EP-6 Central Mix Loading Stack:","")</f>
        <v/>
      </c>
      <c r="C176" s="221"/>
      <c r="D176" s="221"/>
      <c r="E176" s="221"/>
      <c r="F176" s="221"/>
      <c r="H176" s="74" t="str">
        <f>IF('Concrete Plant (CP-2)'!$D$4&gt;9,"Stock Pile Area","")</f>
        <v/>
      </c>
      <c r="I176" s="74"/>
      <c r="J176" s="74"/>
      <c r="K176" s="76"/>
      <c r="L176" s="76"/>
      <c r="M176" s="71"/>
      <c r="N176" s="71"/>
    </row>
    <row r="177" spans="2:14" ht="14.25" customHeight="1" x14ac:dyDescent="0.2">
      <c r="B177" s="73"/>
      <c r="C177" s="163"/>
      <c r="D177" s="163"/>
      <c r="E177" s="163"/>
      <c r="F177" s="163"/>
      <c r="I177" s="51" t="str">
        <f>IF('Concrete Plant (CP-2)'!$D$4&gt;9,"Emission Unit #","")</f>
        <v/>
      </c>
      <c r="J177" s="140" t="str">
        <f>IF('Concrete Plant (CP-2)'!$D$4&gt;9,"Maximum Storage Area (acres)","")</f>
        <v/>
      </c>
      <c r="K177" s="81" t="str">
        <f>IF('Concrete Plant (CP-2)'!$D$4&gt;9,"Actual Storage Area (acres)","")</f>
        <v/>
      </c>
      <c r="L177" s="140" t="str">
        <f>IF('Concrete Plant (CP-2)'!$D$4&gt;9,"Actual Days in Existence (days)","")</f>
        <v/>
      </c>
      <c r="M177" s="146"/>
      <c r="N177" s="146"/>
    </row>
    <row r="178" spans="2:14" ht="14.25" customHeight="1" x14ac:dyDescent="0.2">
      <c r="B178" s="73"/>
      <c r="C178" s="163"/>
      <c r="D178" s="163"/>
      <c r="E178" s="163"/>
      <c r="F178" s="163"/>
      <c r="I178" s="65"/>
      <c r="J178" s="144"/>
      <c r="K178" s="66"/>
      <c r="L178" s="144"/>
      <c r="M178" s="146"/>
      <c r="N178" s="146"/>
    </row>
    <row r="179" spans="2:14" ht="14.25" customHeight="1" x14ac:dyDescent="0.2">
      <c r="B179" s="73"/>
      <c r="C179" s="163"/>
      <c r="D179" s="163"/>
      <c r="E179" s="163"/>
      <c r="F179" s="163"/>
    </row>
    <row r="180" spans="2:14" ht="14.25" customHeight="1" x14ac:dyDescent="0.2">
      <c r="M180" s="220">
        <f>SUM(M165:M174,M149:M158,M133:M142,M117:M126,M101:M110,M85:M94,M69:M78,M53:M62,M38:M47,M21:M30)</f>
        <v>0</v>
      </c>
      <c r="N180" s="220">
        <f>SUM(N165:N174,N149:N158,N133:N142,N117:N126,N101:N110,N85:N94,N69:N78,N53:N62,N38:N47,N21:N30)</f>
        <v>0</v>
      </c>
    </row>
  </sheetData>
  <sheetProtection algorithmName="SHA-512" hashValue="b3grhHYVRDWA0ZfFVUvGGchDSB4V3B9T3slcjRuceadqkR/M4zgTrkztz0Ix+2WVU75PzSXrikL9wpCsW4uvpQ==" saltValue="zB322YSXIYo9hFzLW7CNMA==" spinCount="100000" sheet="1" objects="1" scenarios="1"/>
  <conditionalFormatting sqref="I50:L50 B38:B40 B53:B55 B69:B71 B85:B87 B101:B103 B117:B119 B133:B135 B149:B151 B165:B167">
    <cfRule type="notContainsBlanks" dxfId="1877" priority="254" stopIfTrue="1">
      <formula>LEN(TRIM(B38))&gt;0</formula>
    </cfRule>
  </conditionalFormatting>
  <conditionalFormatting sqref="B37:F37">
    <cfRule type="notContainsBlanks" dxfId="1876" priority="255" stopIfTrue="1">
      <formula>LEN(TRIM(B37))&gt;0</formula>
    </cfRule>
  </conditionalFormatting>
  <conditionalFormatting sqref="I65:L65">
    <cfRule type="notContainsBlanks" dxfId="1875" priority="253" stopIfTrue="1">
      <formula>LEN(TRIM(I65))&gt;0</formula>
    </cfRule>
  </conditionalFormatting>
  <conditionalFormatting sqref="B52:F52">
    <cfRule type="notContainsBlanks" dxfId="1874" priority="256" stopIfTrue="1">
      <formula>LEN(TRIM(B52))&gt;0</formula>
    </cfRule>
  </conditionalFormatting>
  <conditionalFormatting sqref="I81:L81">
    <cfRule type="notContainsBlanks" dxfId="1873" priority="250" stopIfTrue="1">
      <formula>LEN(TRIM(I81))&gt;0</formula>
    </cfRule>
  </conditionalFormatting>
  <conditionalFormatting sqref="B68:F68">
    <cfRule type="notContainsBlanks" dxfId="1872" priority="251" stopIfTrue="1">
      <formula>LEN(TRIM(B68))&gt;0</formula>
    </cfRule>
  </conditionalFormatting>
  <conditionalFormatting sqref="I97:L97">
    <cfRule type="notContainsBlanks" dxfId="1871" priority="248" stopIfTrue="1">
      <formula>LEN(TRIM(I97))&gt;0</formula>
    </cfRule>
  </conditionalFormatting>
  <conditionalFormatting sqref="B84:F84">
    <cfRule type="notContainsBlanks" dxfId="1870" priority="249" stopIfTrue="1">
      <formula>LEN(TRIM(B84))&gt;0</formula>
    </cfRule>
  </conditionalFormatting>
  <conditionalFormatting sqref="I113:L113">
    <cfRule type="notContainsBlanks" dxfId="1869" priority="246" stopIfTrue="1">
      <formula>LEN(TRIM(I113))&gt;0</formula>
    </cfRule>
  </conditionalFormatting>
  <conditionalFormatting sqref="B100:F100">
    <cfRule type="notContainsBlanks" dxfId="1868" priority="247" stopIfTrue="1">
      <formula>LEN(TRIM(B100))&gt;0</formula>
    </cfRule>
  </conditionalFormatting>
  <conditionalFormatting sqref="I129:L129">
    <cfRule type="notContainsBlanks" dxfId="1867" priority="244" stopIfTrue="1">
      <formula>LEN(TRIM(I129))&gt;0</formula>
    </cfRule>
  </conditionalFormatting>
  <conditionalFormatting sqref="B116:F116">
    <cfRule type="notContainsBlanks" dxfId="1866" priority="245" stopIfTrue="1">
      <formula>LEN(TRIM(B116))&gt;0</formula>
    </cfRule>
  </conditionalFormatting>
  <conditionalFormatting sqref="I145:L145">
    <cfRule type="notContainsBlanks" dxfId="1865" priority="242" stopIfTrue="1">
      <formula>LEN(TRIM(I145))&gt;0</formula>
    </cfRule>
  </conditionalFormatting>
  <conditionalFormatting sqref="B132:F132">
    <cfRule type="notContainsBlanks" dxfId="1864" priority="243" stopIfTrue="1">
      <formula>LEN(TRIM(B132))&gt;0</formula>
    </cfRule>
  </conditionalFormatting>
  <conditionalFormatting sqref="I161:L161">
    <cfRule type="notContainsBlanks" dxfId="1863" priority="240" stopIfTrue="1">
      <formula>LEN(TRIM(I161))&gt;0</formula>
    </cfRule>
  </conditionalFormatting>
  <conditionalFormatting sqref="B148:F148">
    <cfRule type="notContainsBlanks" dxfId="1862" priority="241" stopIfTrue="1">
      <formula>LEN(TRIM(B148))&gt;0</formula>
    </cfRule>
  </conditionalFormatting>
  <conditionalFormatting sqref="I177:L177">
    <cfRule type="notContainsBlanks" dxfId="1861" priority="239" stopIfTrue="1">
      <formula>LEN(TRIM(I177))&gt;0</formula>
    </cfRule>
  </conditionalFormatting>
  <conditionalFormatting sqref="I65:L66 H52 H63:L64 K54:L60 J54:J62 B57:F57 G50:G60 J52:L53 B52:F55">
    <cfRule type="cellIs" dxfId="1860" priority="252" stopIfTrue="1" operator="equal">
      <formula>$B$52="batch plant"</formula>
    </cfRule>
  </conditionalFormatting>
  <conditionalFormatting sqref="I81:L82 H68 H79:L80 K70:L76 J70:J78 G63:G74 J68:L69 B68:F71">
    <cfRule type="cellIs" dxfId="1859" priority="257" stopIfTrue="1" operator="equal">
      <formula>$B$68="batch plant"</formula>
    </cfRule>
  </conditionalFormatting>
  <conditionalFormatting sqref="I97:L98 H84 H95:L96 K86:L92 J86:J94 G77:G88 J84:L85 B84:F87">
    <cfRule type="cellIs" dxfId="1858" priority="258" stopIfTrue="1" operator="equal">
      <formula>$B$84="batch plant"</formula>
    </cfRule>
  </conditionalFormatting>
  <conditionalFormatting sqref="I113:L114 H111:L112 G91:G99 G100:H100 H99 K102:L108 J102:J110 G101:G102 B105:F105 J100:L101 B100:F103">
    <cfRule type="cellIs" dxfId="1857" priority="259" stopIfTrue="1" operator="equal">
      <formula>$B$100="batch plant"</formula>
    </cfRule>
  </conditionalFormatting>
  <conditionalFormatting sqref="I129:L130 H116 G105:G116 H127:L128 K118:L124 J118:J126 J116:L117 B116:F119">
    <cfRule type="cellIs" dxfId="1856" priority="260" stopIfTrue="1" operator="equal">
      <formula>$B$116="batch plant"</formula>
    </cfRule>
  </conditionalFormatting>
  <conditionalFormatting sqref="I145:L146 H132 G119:G120 H143:L144 K134:L140 J134:J142 G131 J132:L133 B132:F135">
    <cfRule type="cellIs" dxfId="1855" priority="261" stopIfTrue="1" operator="equal">
      <formula>$B$132="batch plant"</formula>
    </cfRule>
  </conditionalFormatting>
  <conditionalFormatting sqref="I161:L162 H148 G133:G146 H159:L160 K150:L156 J150:J158 J148:L149 B148:F151">
    <cfRule type="cellIs" dxfId="1854" priority="262" stopIfTrue="1" operator="equal">
      <formula>$B$148="batch plant"</formula>
    </cfRule>
  </conditionalFormatting>
  <conditionalFormatting sqref="I37">
    <cfRule type="cellIs" dxfId="1853" priority="238" stopIfTrue="1" operator="equal">
      <formula>$B$37="crusher plant"</formula>
    </cfRule>
  </conditionalFormatting>
  <conditionalFormatting sqref="I52">
    <cfRule type="cellIs" dxfId="1852" priority="237" stopIfTrue="1" operator="equal">
      <formula>$B$37="crusher plant"</formula>
    </cfRule>
  </conditionalFormatting>
  <conditionalFormatting sqref="I68">
    <cfRule type="cellIs" dxfId="1851" priority="236" stopIfTrue="1" operator="equal">
      <formula>$B$37="crusher plant"</formula>
    </cfRule>
  </conditionalFormatting>
  <conditionalFormatting sqref="I84">
    <cfRule type="cellIs" dxfId="1850" priority="235" stopIfTrue="1" operator="equal">
      <formula>$B$37="crusher plant"</formula>
    </cfRule>
  </conditionalFormatting>
  <conditionalFormatting sqref="I100">
    <cfRule type="cellIs" dxfId="1849" priority="234" stopIfTrue="1" operator="equal">
      <formula>$B$37="crusher plant"</formula>
    </cfRule>
  </conditionalFormatting>
  <conditionalFormatting sqref="I116">
    <cfRule type="cellIs" dxfId="1848" priority="233" stopIfTrue="1" operator="equal">
      <formula>$B$37="crusher plant"</formula>
    </cfRule>
  </conditionalFormatting>
  <conditionalFormatting sqref="I132">
    <cfRule type="cellIs" dxfId="1847" priority="232" stopIfTrue="1" operator="equal">
      <formula>$B$37="crusher plant"</formula>
    </cfRule>
  </conditionalFormatting>
  <conditionalFormatting sqref="I148">
    <cfRule type="cellIs" dxfId="1846" priority="231" stopIfTrue="1" operator="equal">
      <formula>$B$37="crusher plant"</formula>
    </cfRule>
  </conditionalFormatting>
  <conditionalFormatting sqref="I164">
    <cfRule type="cellIs" dxfId="1845" priority="230" stopIfTrue="1" operator="equal">
      <formula>$B$37="crusher plant"</formula>
    </cfRule>
  </conditionalFormatting>
  <conditionalFormatting sqref="I21:I30">
    <cfRule type="notContainsBlanks" dxfId="1844" priority="229">
      <formula>LEN(TRIM(I21))&gt;0</formula>
    </cfRule>
  </conditionalFormatting>
  <conditionalFormatting sqref="I38:I47">
    <cfRule type="expression" dxfId="1843" priority="228">
      <formula>$B$37="batch plant"</formula>
    </cfRule>
  </conditionalFormatting>
  <conditionalFormatting sqref="I53:I62">
    <cfRule type="expression" dxfId="1842" priority="227">
      <formula>$B$52="batch plant"</formula>
    </cfRule>
  </conditionalFormatting>
  <conditionalFormatting sqref="I69:I78">
    <cfRule type="expression" dxfId="1841" priority="226">
      <formula>$B$68="batch plant"</formula>
    </cfRule>
  </conditionalFormatting>
  <conditionalFormatting sqref="I85:I94">
    <cfRule type="expression" dxfId="1840" priority="225">
      <formula>$B$84="batch plant"</formula>
    </cfRule>
  </conditionalFormatting>
  <conditionalFormatting sqref="I101:I110">
    <cfRule type="expression" dxfId="1839" priority="224">
      <formula>$B$100="batch plant"</formula>
    </cfRule>
  </conditionalFormatting>
  <conditionalFormatting sqref="I117:I126">
    <cfRule type="expression" dxfId="1838" priority="223">
      <formula>$B$116="batch plant"</formula>
    </cfRule>
  </conditionalFormatting>
  <conditionalFormatting sqref="I133:I142">
    <cfRule type="expression" dxfId="1837" priority="222">
      <formula>$B$132="batch plant"</formula>
    </cfRule>
  </conditionalFormatting>
  <conditionalFormatting sqref="I149:I158">
    <cfRule type="expression" dxfId="1836" priority="221">
      <formula>$B$148="batch plant"</formula>
    </cfRule>
  </conditionalFormatting>
  <conditionalFormatting sqref="I165:I174">
    <cfRule type="expression" dxfId="1835" priority="220">
      <formula>$B$164="batch plant"</formula>
    </cfRule>
  </conditionalFormatting>
  <conditionalFormatting sqref="B140">
    <cfRule type="notContainsBlanks" dxfId="1834" priority="108">
      <formula>LEN(TRIM(B140))&gt;0</formula>
    </cfRule>
  </conditionalFormatting>
  <conditionalFormatting sqref="C122:F123">
    <cfRule type="notContainsBlanks" dxfId="1833" priority="107">
      <formula>LEN(TRIM(C122))&gt;0</formula>
    </cfRule>
  </conditionalFormatting>
  <conditionalFormatting sqref="B122:B123">
    <cfRule type="notContainsBlanks" dxfId="1832" priority="106">
      <formula>LEN(TRIM(B122))&gt;0</formula>
    </cfRule>
  </conditionalFormatting>
  <conditionalFormatting sqref="B29:B32">
    <cfRule type="notContainsBlanks" dxfId="1831" priority="154">
      <formula>LEN(TRIM(B29))&gt;0</formula>
    </cfRule>
  </conditionalFormatting>
  <conditionalFormatting sqref="J38:L47 I51:L51 C38:F40">
    <cfRule type="cellIs" dxfId="1830" priority="212" operator="equal">
      <formula>$B$37="batch plant"</formula>
    </cfRule>
  </conditionalFormatting>
  <conditionalFormatting sqref="K61:L62">
    <cfRule type="cellIs" dxfId="1829" priority="211" stopIfTrue="1" operator="equal">
      <formula>$B$52="batch plant"</formula>
    </cfRule>
  </conditionalFormatting>
  <conditionalFormatting sqref="B124">
    <cfRule type="notContainsBlanks" dxfId="1828" priority="98">
      <formula>LEN(TRIM(B124))&gt;0</formula>
    </cfRule>
  </conditionalFormatting>
  <conditionalFormatting sqref="K77:L78">
    <cfRule type="cellIs" dxfId="1827" priority="205" stopIfTrue="1" operator="equal">
      <formula>$B$68="batch plant"</formula>
    </cfRule>
  </conditionalFormatting>
  <conditionalFormatting sqref="K93:L94">
    <cfRule type="cellIs" dxfId="1826" priority="199" stopIfTrue="1" operator="equal">
      <formula>$B$84="batch plant"</formula>
    </cfRule>
  </conditionalFormatting>
  <conditionalFormatting sqref="B109:B112">
    <cfRule type="notContainsBlanks" dxfId="1825" priority="89">
      <formula>LEN(TRIM(B109))&gt;0</formula>
    </cfRule>
  </conditionalFormatting>
  <conditionalFormatting sqref="B108">
    <cfRule type="notContainsBlanks" dxfId="1824" priority="88">
      <formula>LEN(TRIM(B108))&gt;0</formula>
    </cfRule>
  </conditionalFormatting>
  <conditionalFormatting sqref="C90:F91">
    <cfRule type="notContainsBlanks" dxfId="1823" priority="87">
      <formula>LEN(TRIM(C90))&gt;0</formula>
    </cfRule>
  </conditionalFormatting>
  <conditionalFormatting sqref="K109:L110">
    <cfRule type="cellIs" dxfId="1822" priority="193" stopIfTrue="1" operator="equal">
      <formula>$B$100="batch plant"</formula>
    </cfRule>
  </conditionalFormatting>
  <conditionalFormatting sqref="K125:L126">
    <cfRule type="cellIs" dxfId="1821" priority="188" stopIfTrue="1" operator="equal">
      <formula>$B$116="batch plant"</formula>
    </cfRule>
  </conditionalFormatting>
  <conditionalFormatting sqref="B74:B75">
    <cfRule type="notContainsBlanks" dxfId="1820" priority="76">
      <formula>LEN(TRIM(B74))&gt;0</formula>
    </cfRule>
  </conditionalFormatting>
  <conditionalFormatting sqref="K141:L142">
    <cfRule type="cellIs" dxfId="1819" priority="180" stopIfTrue="1" operator="equal">
      <formula>$B$132="batch plant"</formula>
    </cfRule>
  </conditionalFormatting>
  <conditionalFormatting sqref="B77:B80">
    <cfRule type="notContainsBlanks" dxfId="1818" priority="69">
      <formula>LEN(TRIM(B77))&gt;0</formula>
    </cfRule>
  </conditionalFormatting>
  <conditionalFormatting sqref="B76">
    <cfRule type="notContainsBlanks" dxfId="1817" priority="68">
      <formula>LEN(TRIM(B76))&gt;0</formula>
    </cfRule>
  </conditionalFormatting>
  <conditionalFormatting sqref="K157:L158">
    <cfRule type="cellIs" dxfId="1816" priority="174" stopIfTrue="1" operator="equal">
      <formula>$B$148="batch plant"</formula>
    </cfRule>
  </conditionalFormatting>
  <conditionalFormatting sqref="B61:B64">
    <cfRule type="notContainsBlanks" dxfId="1815" priority="59">
      <formula>LEN(TRIM(B61))&gt;0</formula>
    </cfRule>
  </conditionalFormatting>
  <conditionalFormatting sqref="B60">
    <cfRule type="notContainsBlanks" dxfId="1814" priority="58">
      <formula>LEN(TRIM(B60))&gt;0</formula>
    </cfRule>
  </conditionalFormatting>
  <conditionalFormatting sqref="B43:F44">
    <cfRule type="notContainsBlanks" dxfId="1813" priority="57">
      <formula>LEN(TRIM(B43))&gt;0</formula>
    </cfRule>
  </conditionalFormatting>
  <conditionalFormatting sqref="B164:F164">
    <cfRule type="notContainsBlanks" dxfId="1812" priority="264" stopIfTrue="1">
      <formula>LEN(TRIM(B164))&gt;0</formula>
    </cfRule>
  </conditionalFormatting>
  <conditionalFormatting sqref="B164:F164">
    <cfRule type="cellIs" dxfId="1811" priority="163" stopIfTrue="1" operator="equal">
      <formula>$B$148="batch plant"</formula>
    </cfRule>
  </conditionalFormatting>
  <conditionalFormatting sqref="J165:L165 J174:L174 K166:L172 J166:J173 F165:F167">
    <cfRule type="cellIs" dxfId="1810" priority="162" stopIfTrue="1" operator="equal">
      <formula>$B$164="batch plant"</formula>
    </cfRule>
  </conditionalFormatting>
  <conditionalFormatting sqref="K173:L173">
    <cfRule type="cellIs" dxfId="1809" priority="161" stopIfTrue="1" operator="equal">
      <formula>$B$164="batch plant"</formula>
    </cfRule>
  </conditionalFormatting>
  <conditionalFormatting sqref="I178:L178">
    <cfRule type="cellIs" dxfId="1808" priority="160" stopIfTrue="1" operator="equal">
      <formula>$B$164="batch plant"</formula>
    </cfRule>
  </conditionalFormatting>
  <conditionalFormatting sqref="C165:E167">
    <cfRule type="cellIs" dxfId="1807" priority="159" stopIfTrue="1" operator="equal">
      <formula>$B$164="batch plant"</formula>
    </cfRule>
  </conditionalFormatting>
  <conditionalFormatting sqref="B28">
    <cfRule type="notContainsBlanks" dxfId="1806" priority="153">
      <formula>LEN(TRIM(B28))&gt;0</formula>
    </cfRule>
  </conditionalFormatting>
  <conditionalFormatting sqref="C28:F28">
    <cfRule type="cellIs" dxfId="1805" priority="152" operator="equal">
      <formula>$B$28=""</formula>
    </cfRule>
  </conditionalFormatting>
  <conditionalFormatting sqref="C29:F29">
    <cfRule type="cellIs" dxfId="1804" priority="151" operator="equal">
      <formula>$B$29=""</formula>
    </cfRule>
  </conditionalFormatting>
  <conditionalFormatting sqref="C31:F31">
    <cfRule type="cellIs" dxfId="1803" priority="150" operator="equal">
      <formula>$B$31=""</formula>
    </cfRule>
  </conditionalFormatting>
  <conditionalFormatting sqref="C26:F27">
    <cfRule type="notContainsBlanks" dxfId="1802" priority="155">
      <formula>LEN(TRIM(C26))&gt;0</formula>
    </cfRule>
  </conditionalFormatting>
  <conditionalFormatting sqref="B26:B27">
    <cfRule type="notContainsBlanks" dxfId="1801" priority="149">
      <formula>LEN(TRIM(B26))&gt;0</formula>
    </cfRule>
  </conditionalFormatting>
  <conditionalFormatting sqref="C28:F32">
    <cfRule type="notContainsBlanks" dxfId="1800" priority="148">
      <formula>LEN(TRIM(C28))&gt;0</formula>
    </cfRule>
  </conditionalFormatting>
  <conditionalFormatting sqref="C32:F32">
    <cfRule type="cellIs" dxfId="1799" priority="156" operator="equal">
      <formula>$B$32=""</formula>
    </cfRule>
  </conditionalFormatting>
  <conditionalFormatting sqref="C30:F30">
    <cfRule type="cellIs" dxfId="1798" priority="157" operator="equal">
      <formula>$B$30=""</formula>
    </cfRule>
  </conditionalFormatting>
  <conditionalFormatting sqref="H21:H30">
    <cfRule type="notContainsBlanks" dxfId="1797" priority="147">
      <formula>LEN(TRIM(H21))&gt;0</formula>
    </cfRule>
  </conditionalFormatting>
  <conditionalFormatting sqref="H38:H47">
    <cfRule type="expression" dxfId="1796" priority="146">
      <formula>$B$37="batch plant"</formula>
    </cfRule>
  </conditionalFormatting>
  <conditionalFormatting sqref="H53:H62">
    <cfRule type="expression" dxfId="1795" priority="145">
      <formula>$B$52="batch plant"</formula>
    </cfRule>
  </conditionalFormatting>
  <conditionalFormatting sqref="H69:H78">
    <cfRule type="expression" dxfId="1794" priority="144">
      <formula>$B$68="batch plant"</formula>
    </cfRule>
  </conditionalFormatting>
  <conditionalFormatting sqref="H85:H94">
    <cfRule type="expression" dxfId="1793" priority="143">
      <formula>$B$84="batch plant"</formula>
    </cfRule>
  </conditionalFormatting>
  <conditionalFormatting sqref="H101:H110">
    <cfRule type="expression" dxfId="1792" priority="142">
      <formula>$B$100="batch plant"</formula>
    </cfRule>
  </conditionalFormatting>
  <conditionalFormatting sqref="H117:H126">
    <cfRule type="expression" dxfId="1791" priority="141">
      <formula>$B$116="batch plant"</formula>
    </cfRule>
  </conditionalFormatting>
  <conditionalFormatting sqref="H133:H142">
    <cfRule type="expression" dxfId="1790" priority="140">
      <formula>$B$132="batch plant"</formula>
    </cfRule>
  </conditionalFormatting>
  <conditionalFormatting sqref="H149:H158">
    <cfRule type="expression" dxfId="1789" priority="139">
      <formula>$B$148="batch plant"</formula>
    </cfRule>
  </conditionalFormatting>
  <conditionalFormatting sqref="H165:H174">
    <cfRule type="expression" dxfId="1788" priority="138">
      <formula>$B$164="batch plant"</formula>
    </cfRule>
  </conditionalFormatting>
  <conditionalFormatting sqref="C170:F171">
    <cfRule type="notContainsBlanks" dxfId="1787" priority="137">
      <formula>LEN(TRIM(C170))&gt;0</formula>
    </cfRule>
  </conditionalFormatting>
  <conditionalFormatting sqref="B170:B171">
    <cfRule type="notContainsBlanks" dxfId="1786" priority="136">
      <formula>LEN(TRIM(B170))&gt;0</formula>
    </cfRule>
  </conditionalFormatting>
  <conditionalFormatting sqref="C172:F172">
    <cfRule type="cellIs" dxfId="1785" priority="135" operator="equal">
      <formula>$B$172=""</formula>
    </cfRule>
  </conditionalFormatting>
  <conditionalFormatting sqref="C173:F173">
    <cfRule type="cellIs" dxfId="1784" priority="134" operator="equal">
      <formula>$B$173=""</formula>
    </cfRule>
  </conditionalFormatting>
  <conditionalFormatting sqref="C174:F174">
    <cfRule type="cellIs" dxfId="1783" priority="133" operator="equal">
      <formula>$B$174=""</formula>
    </cfRule>
  </conditionalFormatting>
  <conditionalFormatting sqref="C175:F175">
    <cfRule type="cellIs" dxfId="1782" priority="132" operator="equal">
      <formula>$B$175=""</formula>
    </cfRule>
  </conditionalFormatting>
  <conditionalFormatting sqref="C176:F176">
    <cfRule type="cellIs" dxfId="1781" priority="131" operator="equal">
      <formula>$B$176=""</formula>
    </cfRule>
  </conditionalFormatting>
  <conditionalFormatting sqref="C172:F176">
    <cfRule type="notContainsBlanks" dxfId="1780" priority="130">
      <formula>LEN(TRIM(C172))&gt;0</formula>
    </cfRule>
  </conditionalFormatting>
  <conditionalFormatting sqref="B173:B176">
    <cfRule type="notContainsBlanks" dxfId="1779" priority="129">
      <formula>LEN(TRIM(B173))&gt;0</formula>
    </cfRule>
  </conditionalFormatting>
  <conditionalFormatting sqref="B172">
    <cfRule type="notContainsBlanks" dxfId="1778" priority="128">
      <formula>LEN(TRIM(B172))&gt;0</formula>
    </cfRule>
  </conditionalFormatting>
  <conditionalFormatting sqref="C154:F155">
    <cfRule type="notContainsBlanks" dxfId="1777" priority="127">
      <formula>LEN(TRIM(C154))&gt;0</formula>
    </cfRule>
  </conditionalFormatting>
  <conditionalFormatting sqref="B154:B155">
    <cfRule type="notContainsBlanks" dxfId="1776" priority="126">
      <formula>LEN(TRIM(B154))&gt;0</formula>
    </cfRule>
  </conditionalFormatting>
  <conditionalFormatting sqref="C156:F156">
    <cfRule type="cellIs" dxfId="1775" priority="125" operator="equal">
      <formula>$B$156=""</formula>
    </cfRule>
  </conditionalFormatting>
  <conditionalFormatting sqref="C157:F157">
    <cfRule type="cellIs" dxfId="1774" priority="124" operator="equal">
      <formula>$B$157=""</formula>
    </cfRule>
  </conditionalFormatting>
  <conditionalFormatting sqref="C158:F158">
    <cfRule type="cellIs" dxfId="1773" priority="123" operator="equal">
      <formula>$B$158=""</formula>
    </cfRule>
  </conditionalFormatting>
  <conditionalFormatting sqref="C159:F159">
    <cfRule type="cellIs" dxfId="1772" priority="122" operator="equal">
      <formula>$B$159=""</formula>
    </cfRule>
  </conditionalFormatting>
  <conditionalFormatting sqref="C160:F160">
    <cfRule type="cellIs" dxfId="1771" priority="121" operator="equal">
      <formula>$B$160=""</formula>
    </cfRule>
  </conditionalFormatting>
  <conditionalFormatting sqref="C156:F160">
    <cfRule type="notContainsBlanks" dxfId="1770" priority="120">
      <formula>LEN(TRIM(C156))&gt;0</formula>
    </cfRule>
  </conditionalFormatting>
  <conditionalFormatting sqref="B157:B160">
    <cfRule type="notContainsBlanks" dxfId="1769" priority="119">
      <formula>LEN(TRIM(B157))&gt;0</formula>
    </cfRule>
  </conditionalFormatting>
  <conditionalFormatting sqref="B156">
    <cfRule type="notContainsBlanks" dxfId="1768" priority="118">
      <formula>LEN(TRIM(B156))&gt;0</formula>
    </cfRule>
  </conditionalFormatting>
  <conditionalFormatting sqref="C138:F139">
    <cfRule type="notContainsBlanks" dxfId="1767" priority="117">
      <formula>LEN(TRIM(C138))&gt;0</formula>
    </cfRule>
  </conditionalFormatting>
  <conditionalFormatting sqref="B138:B139">
    <cfRule type="notContainsBlanks" dxfId="1766" priority="116">
      <formula>LEN(TRIM(B138))&gt;0</formula>
    </cfRule>
  </conditionalFormatting>
  <conditionalFormatting sqref="C140:F140">
    <cfRule type="cellIs" dxfId="1765" priority="115" operator="equal">
      <formula>$B$140=""</formula>
    </cfRule>
  </conditionalFormatting>
  <conditionalFormatting sqref="C141:F141">
    <cfRule type="cellIs" dxfId="1764" priority="114" operator="equal">
      <formula>$B$141=""</formula>
    </cfRule>
  </conditionalFormatting>
  <conditionalFormatting sqref="C142:F142">
    <cfRule type="cellIs" dxfId="1763" priority="113" operator="equal">
      <formula>$B$142=""</formula>
    </cfRule>
  </conditionalFormatting>
  <conditionalFormatting sqref="C143:F143">
    <cfRule type="cellIs" dxfId="1762" priority="112" operator="equal">
      <formula>$B$143=""</formula>
    </cfRule>
  </conditionalFormatting>
  <conditionalFormatting sqref="C144:F144">
    <cfRule type="cellIs" dxfId="1761" priority="111" operator="equal">
      <formula>$B$144=""</formula>
    </cfRule>
  </conditionalFormatting>
  <conditionalFormatting sqref="C140:F144">
    <cfRule type="notContainsBlanks" dxfId="1760" priority="110">
      <formula>LEN(TRIM(C140))&gt;0</formula>
    </cfRule>
  </conditionalFormatting>
  <conditionalFormatting sqref="B141:B144">
    <cfRule type="notContainsBlanks" dxfId="1759" priority="109">
      <formula>LEN(TRIM(B141))&gt;0</formula>
    </cfRule>
  </conditionalFormatting>
  <conditionalFormatting sqref="C124:F124">
    <cfRule type="cellIs" dxfId="1758" priority="105" operator="equal">
      <formula>$B$124=""</formula>
    </cfRule>
  </conditionalFormatting>
  <conditionalFormatting sqref="C125:F125">
    <cfRule type="cellIs" dxfId="1757" priority="104" operator="equal">
      <formula>$B$125=""</formula>
    </cfRule>
  </conditionalFormatting>
  <conditionalFormatting sqref="C126:F126">
    <cfRule type="cellIs" dxfId="1756" priority="103" operator="equal">
      <formula>$B$126=""</formula>
    </cfRule>
  </conditionalFormatting>
  <conditionalFormatting sqref="C127:F127">
    <cfRule type="cellIs" dxfId="1755" priority="102" operator="equal">
      <formula>$B$127=""</formula>
    </cfRule>
  </conditionalFormatting>
  <conditionalFormatting sqref="C128:F128">
    <cfRule type="cellIs" dxfId="1754" priority="101" operator="equal">
      <formula>$B$128=""</formula>
    </cfRule>
  </conditionalFormatting>
  <conditionalFormatting sqref="C124:F128">
    <cfRule type="notContainsBlanks" dxfId="1753" priority="100">
      <formula>LEN(TRIM(C124))&gt;0</formula>
    </cfRule>
  </conditionalFormatting>
  <conditionalFormatting sqref="B125:B128">
    <cfRule type="notContainsBlanks" dxfId="1752" priority="99">
      <formula>LEN(TRIM(B125))&gt;0</formula>
    </cfRule>
  </conditionalFormatting>
  <conditionalFormatting sqref="C106:F107">
    <cfRule type="notContainsBlanks" dxfId="1751" priority="97">
      <formula>LEN(TRIM(C106))&gt;0</formula>
    </cfRule>
  </conditionalFormatting>
  <conditionalFormatting sqref="B106:B107">
    <cfRule type="notContainsBlanks" dxfId="1750" priority="96">
      <formula>LEN(TRIM(B106))&gt;0</formula>
    </cfRule>
  </conditionalFormatting>
  <conditionalFormatting sqref="C108:F108">
    <cfRule type="cellIs" dxfId="1749" priority="95" operator="equal">
      <formula>$B$108=""</formula>
    </cfRule>
  </conditionalFormatting>
  <conditionalFormatting sqref="C109:F109">
    <cfRule type="cellIs" dxfId="1748" priority="94" operator="equal">
      <formula>$B$109=""</formula>
    </cfRule>
  </conditionalFormatting>
  <conditionalFormatting sqref="C110:F110">
    <cfRule type="cellIs" dxfId="1747" priority="93" operator="equal">
      <formula>$B$110=""</formula>
    </cfRule>
  </conditionalFormatting>
  <conditionalFormatting sqref="C111:F111">
    <cfRule type="cellIs" dxfId="1746" priority="92" operator="equal">
      <formula>$B$111=""</formula>
    </cfRule>
  </conditionalFormatting>
  <conditionalFormatting sqref="C112:F112">
    <cfRule type="cellIs" dxfId="1745" priority="91" operator="equal">
      <formula>$B$112=""</formula>
    </cfRule>
  </conditionalFormatting>
  <conditionalFormatting sqref="C108:F112">
    <cfRule type="notContainsBlanks" dxfId="1744" priority="90">
      <formula>LEN(TRIM(C108))&gt;0</formula>
    </cfRule>
  </conditionalFormatting>
  <conditionalFormatting sqref="B90:B91">
    <cfRule type="notContainsBlanks" dxfId="1743" priority="86">
      <formula>LEN(TRIM(B90))&gt;0</formula>
    </cfRule>
  </conditionalFormatting>
  <conditionalFormatting sqref="C92:F92">
    <cfRule type="cellIs" dxfId="1742" priority="85" operator="equal">
      <formula>$B$92=""</formula>
    </cfRule>
  </conditionalFormatting>
  <conditionalFormatting sqref="C93:F93">
    <cfRule type="cellIs" dxfId="1741" priority="84" operator="equal">
      <formula>$B$93=""</formula>
    </cfRule>
  </conditionalFormatting>
  <conditionalFormatting sqref="C94:F94">
    <cfRule type="cellIs" dxfId="1740" priority="83" operator="equal">
      <formula>$B$94=""</formula>
    </cfRule>
  </conditionalFormatting>
  <conditionalFormatting sqref="C95:F95">
    <cfRule type="cellIs" dxfId="1739" priority="82" operator="equal">
      <formula>$B$95=""</formula>
    </cfRule>
  </conditionalFormatting>
  <conditionalFormatting sqref="C96:F96">
    <cfRule type="cellIs" dxfId="1738" priority="81" operator="equal">
      <formula>$B$96=""</formula>
    </cfRule>
  </conditionalFormatting>
  <conditionalFormatting sqref="C92:F96">
    <cfRule type="notContainsBlanks" dxfId="1737" priority="80">
      <formula>LEN(TRIM(C92))&gt;0</formula>
    </cfRule>
  </conditionalFormatting>
  <conditionalFormatting sqref="B93:B96">
    <cfRule type="notContainsBlanks" dxfId="1736" priority="79">
      <formula>LEN(TRIM(B93))&gt;0</formula>
    </cfRule>
  </conditionalFormatting>
  <conditionalFormatting sqref="B92">
    <cfRule type="notContainsBlanks" dxfId="1735" priority="78">
      <formula>LEN(TRIM(B92))&gt;0</formula>
    </cfRule>
  </conditionalFormatting>
  <conditionalFormatting sqref="C74:F75">
    <cfRule type="notContainsBlanks" dxfId="1734" priority="77">
      <formula>LEN(TRIM(C74))&gt;0</formula>
    </cfRule>
  </conditionalFormatting>
  <conditionalFormatting sqref="C76:F76">
    <cfRule type="cellIs" dxfId="1733" priority="75" operator="equal">
      <formula>$B$76=""</formula>
    </cfRule>
  </conditionalFormatting>
  <conditionalFormatting sqref="C77:F77">
    <cfRule type="cellIs" dxfId="1732" priority="74" operator="equal">
      <formula>$B$77=""</formula>
    </cfRule>
  </conditionalFormatting>
  <conditionalFormatting sqref="C78:F78">
    <cfRule type="cellIs" dxfId="1731" priority="73" operator="equal">
      <formula>$B$78=""</formula>
    </cfRule>
  </conditionalFormatting>
  <conditionalFormatting sqref="C79:F79">
    <cfRule type="cellIs" dxfId="1730" priority="72" operator="equal">
      <formula>$B$79=""</formula>
    </cfRule>
  </conditionalFormatting>
  <conditionalFormatting sqref="C80:F80">
    <cfRule type="cellIs" dxfId="1729" priority="71" operator="equal">
      <formula>$B$80=""</formula>
    </cfRule>
  </conditionalFormatting>
  <conditionalFormatting sqref="C76:F80">
    <cfRule type="notContainsBlanks" dxfId="1728" priority="70">
      <formula>LEN(TRIM(C76))&gt;0</formula>
    </cfRule>
  </conditionalFormatting>
  <conditionalFormatting sqref="C58:F59">
    <cfRule type="notContainsBlanks" dxfId="1727" priority="67">
      <formula>LEN(TRIM(C58))&gt;0</formula>
    </cfRule>
  </conditionalFormatting>
  <conditionalFormatting sqref="B58:B59">
    <cfRule type="notContainsBlanks" dxfId="1726" priority="66">
      <formula>LEN(TRIM(B58))&gt;0</formula>
    </cfRule>
  </conditionalFormatting>
  <conditionalFormatting sqref="C60:F60">
    <cfRule type="cellIs" dxfId="1725" priority="65" operator="equal">
      <formula>$B$60=""</formula>
    </cfRule>
  </conditionalFormatting>
  <conditionalFormatting sqref="C61:F61">
    <cfRule type="cellIs" dxfId="1724" priority="64" operator="equal">
      <formula>$B$61=""</formula>
    </cfRule>
  </conditionalFormatting>
  <conditionalFormatting sqref="C62:F62">
    <cfRule type="cellIs" dxfId="1723" priority="63" operator="equal">
      <formula>$B$62=""</formula>
    </cfRule>
  </conditionalFormatting>
  <conditionalFormatting sqref="C63:F63">
    <cfRule type="cellIs" dxfId="1722" priority="62" operator="equal">
      <formula>$B$63=""</formula>
    </cfRule>
  </conditionalFormatting>
  <conditionalFormatting sqref="C64:F64">
    <cfRule type="cellIs" dxfId="1721" priority="61" operator="equal">
      <formula>$B$64=""</formula>
    </cfRule>
  </conditionalFormatting>
  <conditionalFormatting sqref="C60:F64">
    <cfRule type="notContainsBlanks" dxfId="1720" priority="60">
      <formula>LEN(TRIM(C60))&gt;0</formula>
    </cfRule>
  </conditionalFormatting>
  <conditionalFormatting sqref="C45:F45">
    <cfRule type="cellIs" dxfId="1719" priority="56" operator="equal">
      <formula>$B$45=""</formula>
    </cfRule>
  </conditionalFormatting>
  <conditionalFormatting sqref="C46:F46">
    <cfRule type="cellIs" dxfId="1718" priority="55" operator="equal">
      <formula>$B$46=""</formula>
    </cfRule>
  </conditionalFormatting>
  <conditionalFormatting sqref="C47:F47">
    <cfRule type="cellIs" dxfId="1717" priority="54" operator="equal">
      <formula>$B$47=""</formula>
    </cfRule>
  </conditionalFormatting>
  <conditionalFormatting sqref="C48:F48">
    <cfRule type="cellIs" dxfId="1716" priority="53" operator="equal">
      <formula>$B$48=""</formula>
    </cfRule>
  </conditionalFormatting>
  <conditionalFormatting sqref="C49:F49">
    <cfRule type="cellIs" dxfId="1715" priority="52" operator="equal">
      <formula>$B$49=""</formula>
    </cfRule>
  </conditionalFormatting>
  <conditionalFormatting sqref="C45:F49">
    <cfRule type="notContainsBlanks" dxfId="1714" priority="51">
      <formula>LEN(TRIM(C45))&gt;0</formula>
    </cfRule>
  </conditionalFormatting>
  <conditionalFormatting sqref="B46:B49">
    <cfRule type="notContainsBlanks" dxfId="1713" priority="50">
      <formula>LEN(TRIM(B46))&gt;0</formula>
    </cfRule>
  </conditionalFormatting>
  <conditionalFormatting sqref="B45">
    <cfRule type="notContainsBlanks" dxfId="1712" priority="49">
      <formula>LEN(TRIM(B45))&gt;0</formula>
    </cfRule>
  </conditionalFormatting>
  <conditionalFormatting sqref="F24">
    <cfRule type="notContainsBlanks" dxfId="1711" priority="46">
      <formula>LEN(TRIM(F24))&gt;0</formula>
    </cfRule>
    <cfRule type="cellIs" dxfId="1710" priority="266" operator="equal">
      <formula>$B$24=""</formula>
    </cfRule>
  </conditionalFormatting>
  <conditionalFormatting sqref="B24:E24">
    <cfRule type="notContainsBlanks" dxfId="1709" priority="265">
      <formula>LEN(TRIM(B24))&gt;0</formula>
    </cfRule>
  </conditionalFormatting>
  <conditionalFormatting sqref="F41">
    <cfRule type="notContainsBlanks" dxfId="1708" priority="43">
      <formula>LEN(TRIM(F41))&gt;0</formula>
    </cfRule>
    <cfRule type="cellIs" dxfId="1707" priority="45" operator="equal">
      <formula>$B$41=""</formula>
    </cfRule>
  </conditionalFormatting>
  <conditionalFormatting sqref="B41:E41">
    <cfRule type="notContainsBlanks" dxfId="1706" priority="44">
      <formula>LEN(TRIM(B41))&gt;0</formula>
    </cfRule>
  </conditionalFormatting>
  <conditionalFormatting sqref="F56">
    <cfRule type="notContainsBlanks" dxfId="1705" priority="40">
      <formula>LEN(TRIM(F56))&gt;0</formula>
    </cfRule>
    <cfRule type="cellIs" dxfId="1704" priority="42" operator="equal">
      <formula>$B$56=""</formula>
    </cfRule>
  </conditionalFormatting>
  <conditionalFormatting sqref="B56:E56">
    <cfRule type="notContainsBlanks" dxfId="1703" priority="41">
      <formula>LEN(TRIM(B56))&gt;0</formula>
    </cfRule>
  </conditionalFormatting>
  <conditionalFormatting sqref="F72">
    <cfRule type="notContainsBlanks" dxfId="1702" priority="37">
      <formula>LEN(TRIM(F72))&gt;0</formula>
    </cfRule>
    <cfRule type="cellIs" dxfId="1701" priority="39" operator="equal">
      <formula>$B$72=""</formula>
    </cfRule>
  </conditionalFormatting>
  <conditionalFormatting sqref="B72:E72">
    <cfRule type="notContainsBlanks" dxfId="1700" priority="38">
      <formula>LEN(TRIM(B72))&gt;0</formula>
    </cfRule>
  </conditionalFormatting>
  <conditionalFormatting sqref="F88">
    <cfRule type="notContainsBlanks" dxfId="1699" priority="34">
      <formula>LEN(TRIM(F88))&gt;0</formula>
    </cfRule>
    <cfRule type="cellIs" dxfId="1698" priority="36" operator="equal">
      <formula>$B$88=""</formula>
    </cfRule>
  </conditionalFormatting>
  <conditionalFormatting sqref="B88:E88">
    <cfRule type="notContainsBlanks" dxfId="1697" priority="35">
      <formula>LEN(TRIM(B88))&gt;0</formula>
    </cfRule>
  </conditionalFormatting>
  <conditionalFormatting sqref="F104">
    <cfRule type="notContainsBlanks" dxfId="1696" priority="31">
      <formula>LEN(TRIM(F104))&gt;0</formula>
    </cfRule>
    <cfRule type="cellIs" dxfId="1695" priority="33" operator="equal">
      <formula>$B$104=""</formula>
    </cfRule>
  </conditionalFormatting>
  <conditionalFormatting sqref="B104:E104">
    <cfRule type="notContainsBlanks" dxfId="1694" priority="32">
      <formula>LEN(TRIM(B104))&gt;0</formula>
    </cfRule>
  </conditionalFormatting>
  <conditionalFormatting sqref="F120">
    <cfRule type="notContainsBlanks" dxfId="1693" priority="28">
      <formula>LEN(TRIM(F120))&gt;0</formula>
    </cfRule>
    <cfRule type="cellIs" dxfId="1692" priority="30" operator="equal">
      <formula>$B$120=""</formula>
    </cfRule>
  </conditionalFormatting>
  <conditionalFormatting sqref="B120:E120">
    <cfRule type="notContainsBlanks" dxfId="1691" priority="29">
      <formula>LEN(TRIM(B120))&gt;0</formula>
    </cfRule>
  </conditionalFormatting>
  <conditionalFormatting sqref="F136">
    <cfRule type="notContainsBlanks" dxfId="1690" priority="25">
      <formula>LEN(TRIM(F136))&gt;0</formula>
    </cfRule>
    <cfRule type="cellIs" dxfId="1689" priority="27" operator="equal">
      <formula>$B$136=""</formula>
    </cfRule>
  </conditionalFormatting>
  <conditionalFormatting sqref="B136:E136">
    <cfRule type="notContainsBlanks" dxfId="1688" priority="26">
      <formula>LEN(TRIM(B136))&gt;0</formula>
    </cfRule>
  </conditionalFormatting>
  <conditionalFormatting sqref="F152">
    <cfRule type="notContainsBlanks" dxfId="1687" priority="22">
      <formula>LEN(TRIM(F152))&gt;0</formula>
    </cfRule>
    <cfRule type="cellIs" dxfId="1686" priority="24" operator="equal">
      <formula>$B$152=""</formula>
    </cfRule>
  </conditionalFormatting>
  <conditionalFormatting sqref="B152:E152">
    <cfRule type="notContainsBlanks" dxfId="1685" priority="23">
      <formula>LEN(TRIM(B152))&gt;0</formula>
    </cfRule>
  </conditionalFormatting>
  <conditionalFormatting sqref="F168">
    <cfRule type="notContainsBlanks" dxfId="1684" priority="19">
      <formula>LEN(TRIM(F168))&gt;0</formula>
    </cfRule>
    <cfRule type="cellIs" dxfId="1683" priority="21" operator="equal">
      <formula>$B$168=""</formula>
    </cfRule>
  </conditionalFormatting>
  <conditionalFormatting sqref="B168:E168">
    <cfRule type="notContainsBlanks" dxfId="1682" priority="20">
      <formula>LEN(TRIM(B168))&gt;0</formula>
    </cfRule>
  </conditionalFormatting>
  <dataValidations count="3">
    <dataValidation type="list" allowBlank="1" showInputMessage="1" showErrorMessage="1" sqref="J21:J30 J38:J47 J53:J62 J69:J78 J85:J94 J101:J110 J117:J126 J133:J142 J149:J158 J165:J174" xr:uid="{00000000-0002-0000-0200-000000000000}">
      <formula1>ConcreteProcesses</formula1>
    </dataValidation>
    <dataValidation type="whole" allowBlank="1" showInputMessage="1" showErrorMessage="1" sqref="C18:F18 D4 G5" xr:uid="{00000000-0002-0000-0200-000001000000}">
      <formula1>0</formula1>
      <formula2>100</formula2>
    </dataValidation>
    <dataValidation type="list" allowBlank="1" showInputMessage="1" showErrorMessage="1" sqref="F24 F41 F56 F72 F88 F104 F120 F136 F152 F168" xr:uid="{00000000-0002-0000-0200-000002000000}">
      <formula1>CHECK</formula1>
    </dataValidation>
  </dataValidations>
  <pageMargins left="0.25" right="0.25" top="0.75" bottom="0.75" header="0.3" footer="0.3"/>
  <pageSetup scale="64" fitToHeight="0" orientation="landscape" verticalDpi="300" r:id="rId1"/>
  <legacyDrawing r:id="rId2"/>
  <extLst>
    <ext xmlns:x14="http://schemas.microsoft.com/office/spreadsheetml/2009/9/main" uri="{78C0D931-6437-407d-A8EE-F0AAD7539E65}">
      <x14:conditionalFormattings>
        <x14:conditionalFormatting xmlns:xm="http://schemas.microsoft.com/office/excel/2006/main">
          <x14:cfRule type="notContainsBlanks" priority="12" stopIfTrue="1" id="{E71F4DCB-323B-45B8-AB9B-C767DAA1729E}">
            <xm:f>LEN(TRIM('Concrete Plant (CP-1)'!M177))&gt;0</xm:f>
            <x14:dxf>
              <border>
                <left style="thin">
                  <color indexed="64"/>
                </left>
                <right style="thin">
                  <color indexed="64"/>
                </right>
                <top style="thin">
                  <color indexed="64"/>
                </top>
                <bottom style="thin">
                  <color indexed="64"/>
                </bottom>
              </border>
            </x14:dxf>
          </x14:cfRule>
          <xm:sqref>M177:N177</xm:sqref>
        </x14:conditionalFormatting>
        <x14:conditionalFormatting xmlns:xm="http://schemas.microsoft.com/office/excel/2006/main">
          <x14:cfRule type="cellIs" priority="10" stopIfTrue="1" operator="equal" id="{BAF9B9FE-7BF2-4499-B562-8A8469A46D90}">
            <xm:f>'Concrete Plant (CP-1)'!$B$51="batch plant"</xm:f>
            <x14:dxf>
              <fill>
                <patternFill patternType="none">
                  <bgColor indexed="65"/>
                </patternFill>
              </fill>
              <border>
                <left/>
                <right/>
                <top/>
                <bottom/>
              </border>
            </x14:dxf>
          </x14:cfRule>
          <xm:sqref>M63:N66 M52:N52</xm:sqref>
        </x14:conditionalFormatting>
        <x14:conditionalFormatting xmlns:xm="http://schemas.microsoft.com/office/excel/2006/main">
          <x14:cfRule type="cellIs" priority="13" stopIfTrue="1" operator="equal" id="{8D62E7EB-ECF6-4A49-8261-0F4F8ADAC03A}">
            <xm:f>'Concrete Plant (CP-1)'!$B$67="batch plant"</xm:f>
            <x14:dxf>
              <fill>
                <patternFill patternType="none">
                  <bgColor indexed="65"/>
                </patternFill>
              </fill>
              <border>
                <left/>
                <right/>
                <top/>
                <bottom/>
              </border>
            </x14:dxf>
          </x14:cfRule>
          <xm:sqref>M79:N82 M68:N68</xm:sqref>
        </x14:conditionalFormatting>
        <x14:conditionalFormatting xmlns:xm="http://schemas.microsoft.com/office/excel/2006/main">
          <x14:cfRule type="cellIs" priority="14" stopIfTrue="1" operator="equal" id="{A240871A-7673-4598-B696-4F904FBB32FE}">
            <xm:f>'Concrete Plant (CP-1)'!$B$83="batch plant"</xm:f>
            <x14:dxf>
              <fill>
                <patternFill patternType="none">
                  <bgColor indexed="65"/>
                </patternFill>
              </fill>
              <border>
                <left/>
                <right/>
                <top/>
                <bottom/>
              </border>
            </x14:dxf>
          </x14:cfRule>
          <xm:sqref>M95:N98 M84:N84</xm:sqref>
        </x14:conditionalFormatting>
        <x14:conditionalFormatting xmlns:xm="http://schemas.microsoft.com/office/excel/2006/main">
          <x14:cfRule type="cellIs" priority="15" stopIfTrue="1" operator="equal" id="{5BD00E26-617E-4D31-A53B-4C4184D6C01B}">
            <xm:f>'Concrete Plant (CP-1)'!$B$99="batch plant"</xm:f>
            <x14:dxf>
              <fill>
                <patternFill patternType="none">
                  <bgColor indexed="65"/>
                </patternFill>
              </fill>
              <border>
                <left/>
                <right/>
                <top/>
                <bottom/>
              </border>
            </x14:dxf>
          </x14:cfRule>
          <xm:sqref>M111:N114 M100:N100</xm:sqref>
        </x14:conditionalFormatting>
        <x14:conditionalFormatting xmlns:xm="http://schemas.microsoft.com/office/excel/2006/main">
          <x14:cfRule type="cellIs" priority="16" stopIfTrue="1" operator="equal" id="{E2A8468D-2A1D-4350-950A-62EE77DFD25D}">
            <xm:f>'Concrete Plant (CP-1)'!$B$115="batch plant"</xm:f>
            <x14:dxf>
              <fill>
                <patternFill patternType="none">
                  <bgColor indexed="65"/>
                </patternFill>
              </fill>
              <border>
                <left/>
                <right/>
                <top/>
                <bottom/>
              </border>
            </x14:dxf>
          </x14:cfRule>
          <xm:sqref>M127:N130 M116:N116</xm:sqref>
        </x14:conditionalFormatting>
        <x14:conditionalFormatting xmlns:xm="http://schemas.microsoft.com/office/excel/2006/main">
          <x14:cfRule type="cellIs" priority="17" stopIfTrue="1" operator="equal" id="{E229B3D5-7DA1-4570-AABD-C3C895FD02CF}">
            <xm:f>'Concrete Plant (CP-1)'!$B$131="batch plant"</xm:f>
            <x14:dxf>
              <fill>
                <patternFill patternType="none">
                  <bgColor indexed="65"/>
                </patternFill>
              </fill>
              <border>
                <left/>
                <right/>
                <top/>
                <bottom/>
              </border>
            </x14:dxf>
          </x14:cfRule>
          <xm:sqref>M143:N146 M132:N132</xm:sqref>
        </x14:conditionalFormatting>
        <x14:conditionalFormatting xmlns:xm="http://schemas.microsoft.com/office/excel/2006/main">
          <x14:cfRule type="cellIs" priority="18" stopIfTrue="1" operator="equal" id="{33D48E5D-0096-4A59-9870-CDB86A40F148}">
            <xm:f>'Concrete Plant (CP-1)'!$B$147="batch plant"</xm:f>
            <x14:dxf>
              <fill>
                <patternFill patternType="none">
                  <bgColor indexed="65"/>
                </patternFill>
              </fill>
              <border>
                <left/>
                <right/>
                <top/>
                <bottom/>
              </border>
            </x14:dxf>
          </x14:cfRule>
          <xm:sqref>M159:N162 M148:N148</xm:sqref>
        </x14:conditionalFormatting>
        <x14:conditionalFormatting xmlns:xm="http://schemas.microsoft.com/office/excel/2006/main">
          <x14:cfRule type="cellIs" priority="2" operator="equal" id="{0D3A15E5-4BDA-459D-B502-4F368AE1FE00}">
            <xm:f>'Concrete Plant (CP-1)'!$B$36="batch plant"</xm:f>
            <x14:dxf>
              <fill>
                <patternFill patternType="none">
                  <bgColor auto="1"/>
                </patternFill>
              </fill>
              <border>
                <left/>
                <right/>
                <top/>
                <bottom/>
                <vertical/>
                <horizontal/>
              </border>
            </x14:dxf>
          </x14:cfRule>
          <xm:sqref>M51:N51</xm:sqref>
        </x14:conditionalFormatting>
        <x14:conditionalFormatting xmlns:xm="http://schemas.microsoft.com/office/excel/2006/main">
          <x14:cfRule type="cellIs" priority="1" stopIfTrue="1" operator="equal" id="{D2D7F831-1D24-4303-85BF-94756871883D}">
            <xm:f>'Concrete Plant (CP-1)'!$B$164="batch plant"</xm:f>
            <x14:dxf>
              <fill>
                <patternFill patternType="none">
                  <bgColor indexed="65"/>
                </patternFill>
              </fill>
              <border>
                <left/>
                <right/>
                <top/>
                <bottom/>
              </border>
            </x14:dxf>
          </x14:cfRule>
          <xm:sqref>M178:N178</xm:sqref>
        </x14:conditionalFormatting>
        <x14:conditionalFormatting xmlns:xm="http://schemas.microsoft.com/office/excel/2006/main">
          <x14:cfRule type="notContainsBlanks" priority="1165" stopIfTrue="1" id="{E71F4DCB-323B-45B8-AB9B-C767DAA1729E}">
            <xm:f>LEN(TRIM('Concrete Plant (CP-1)'!#REF!))&gt;0</xm:f>
            <x14:dxf>
              <border>
                <left style="thin">
                  <color indexed="64"/>
                </left>
                <right style="thin">
                  <color indexed="64"/>
                </right>
                <top style="thin">
                  <color indexed="64"/>
                </top>
                <bottom style="thin">
                  <color indexed="64"/>
                </bottom>
              </border>
            </x14:dxf>
          </x14:cfRule>
          <xm:sqref>M50:N50</xm:sqref>
        </x14:conditionalFormatting>
        <x14:conditionalFormatting xmlns:xm="http://schemas.microsoft.com/office/excel/2006/main">
          <x14:cfRule type="notContainsBlanks" priority="7140" stopIfTrue="1" id="{E71F4DCB-323B-45B8-AB9B-C767DAA1729E}">
            <xm:f>LEN(TRIM('Concrete Plant (CP-1)'!M64))&gt;0</xm:f>
            <x14:dxf>
              <border>
                <left style="thin">
                  <color indexed="64"/>
                </left>
                <right style="thin">
                  <color indexed="64"/>
                </right>
                <top style="thin">
                  <color indexed="64"/>
                </top>
                <bottom style="thin">
                  <color indexed="64"/>
                </bottom>
              </border>
            </x14:dxf>
          </x14:cfRule>
          <xm:sqref>M161:N161 M145:N145 M97:N97 M113:N113 M129:N129 M65:N65 M81:N81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W181"/>
  <sheetViews>
    <sheetView topLeftCell="B1" workbookViewId="0">
      <selection activeCell="B1" sqref="B1"/>
    </sheetView>
  </sheetViews>
  <sheetFormatPr defaultColWidth="8.85546875" defaultRowHeight="14.25" customHeight="1" x14ac:dyDescent="0.2"/>
  <cols>
    <col min="1" max="1" width="13" style="67" hidden="1" customWidth="1"/>
    <col min="2" max="2" width="31.85546875" style="67" customWidth="1"/>
    <col min="3" max="3" width="9.42578125" style="67" customWidth="1"/>
    <col min="4" max="4" width="11.5703125" style="67" customWidth="1"/>
    <col min="5" max="5" width="9.42578125" style="67" customWidth="1"/>
    <col min="6" max="6" width="11.140625" style="67" customWidth="1"/>
    <col min="7" max="7" width="2.85546875" style="67" customWidth="1"/>
    <col min="8" max="8" width="13.85546875" style="67" customWidth="1"/>
    <col min="9" max="9" width="14" style="67" customWidth="1"/>
    <col min="10" max="10" width="31.140625" style="67" customWidth="1"/>
    <col min="11" max="11" width="37.42578125" style="67" customWidth="1"/>
    <col min="12" max="12" width="27.140625" style="67" customWidth="1"/>
    <col min="13" max="13" width="6.28515625" style="177" hidden="1" customWidth="1"/>
    <col min="14" max="14" width="7.42578125" style="177" hidden="1" customWidth="1"/>
    <col min="15" max="15" width="7" style="67" customWidth="1"/>
    <col min="16" max="16" width="31.28515625" style="67" customWidth="1"/>
    <col min="17" max="17" width="18.28515625" style="67" customWidth="1"/>
    <col min="18" max="18" width="17.140625" style="67" customWidth="1"/>
    <col min="19" max="19" width="18.140625" style="67" hidden="1" customWidth="1"/>
    <col min="20" max="20" width="16.42578125" style="67" hidden="1" customWidth="1"/>
    <col min="21" max="21" width="16.28515625" style="67" hidden="1" customWidth="1"/>
    <col min="22" max="22" width="16.140625" style="67" customWidth="1"/>
    <col min="23" max="23" width="0" style="67" hidden="1" customWidth="1"/>
    <col min="24" max="16384" width="8.85546875" style="67"/>
  </cols>
  <sheetData>
    <row r="1" spans="2:21" ht="14.25" customHeight="1" x14ac:dyDescent="0.2">
      <c r="B1" s="322" t="s">
        <v>222</v>
      </c>
      <c r="C1" s="322"/>
      <c r="D1" s="313"/>
      <c r="E1" s="313"/>
      <c r="F1" s="167"/>
    </row>
    <row r="2" spans="2:21" ht="14.25" customHeight="1" x14ac:dyDescent="0.25">
      <c r="B2" s="325" t="s">
        <v>37</v>
      </c>
      <c r="C2" s="326"/>
      <c r="D2" s="326"/>
      <c r="E2" s="326"/>
      <c r="F2" s="178"/>
      <c r="J2" s="31"/>
      <c r="L2" s="323" t="s">
        <v>144</v>
      </c>
      <c r="M2" s="216"/>
      <c r="N2" s="216"/>
      <c r="P2" s="68" t="s">
        <v>255</v>
      </c>
      <c r="Q2" s="68"/>
      <c r="R2" s="68"/>
      <c r="S2" s="68"/>
    </row>
    <row r="3" spans="2:21" ht="27.75" customHeight="1" x14ac:dyDescent="0.2">
      <c r="P3" s="317" t="s">
        <v>0</v>
      </c>
      <c r="Q3" s="309" t="s">
        <v>242</v>
      </c>
      <c r="R3" s="309" t="s">
        <v>243</v>
      </c>
    </row>
    <row r="4" spans="2:21" ht="14.25" customHeight="1" x14ac:dyDescent="0.2">
      <c r="B4" s="315" t="str">
        <f>"Number of Sites this Plant operated at in "&amp;'Facility Information'!G5&amp;":"</f>
        <v>Number of Sites this Plant operated at in :</v>
      </c>
      <c r="C4" s="181"/>
      <c r="D4" s="166"/>
      <c r="E4" s="173"/>
      <c r="F4" s="173"/>
      <c r="H4" s="173"/>
      <c r="I4" s="146"/>
      <c r="P4" s="90" t="s">
        <v>191</v>
      </c>
      <c r="Q4" s="110">
        <f ca="1">MAX((IFERROR(OFFSET($J$20,MATCH("Aggregate Delivery to Ground Storage",$J$21:$J$30,0),1),0)),((IFERROR((OFFSET($J$37,MATCH("Aggregate Delivery to Ground Storage",$J$38:$J$47,0),1)),0))),((IFERROR((OFFSET($J$53,MATCH("Aggregate Delivery to Ground Storage",$J$54:$J$63,0),1)),0))),((IFERROR((OFFSET($J$69,MATCH("Aggregate Delivery to Ground Storage",$J$70:$J$79,0),1)),0))),((IFERROR((OFFSET($J$85,MATCH("Aggregate Delivery to Ground Storage",$J$86:$J$95,0),1)),0))),((IFERROR((OFFSET($J$101,MATCH("Aggregate Delivery to Ground Storage",$J$102:$J$111,0),1)),0))),((IFERROR((OFFSET($J$117,MATCH("Aggregate Delivery to Ground Storage",$J$118:$J$127,0),1)),0))),((IFERROR((OFFSET($J$133,MATCH("Aggregate Delivery to Ground Storage",$J$134:$J$143,0),1)),0))),((IFERROR((OFFSET($J$149,MATCH("Aggregate Delivery to Ground Storage",$J$150:$J$159,0),1)),0))),((IFERROR((OFFSET($J$165,MATCH("Aggregate Delivery to Ground Storage",$J$166:$J$175,0),1)),0))),)</f>
        <v>0</v>
      </c>
      <c r="R4" s="110">
        <f ca="1">SUM((IFERROR(OFFSET($J$20,MATCH("Aggregate Delivery to Ground Storage",$J$21:$J$30,0),2),0)),((IFERROR((OFFSET($J$37,MATCH("Aggregate Delivery to Ground Storage",$J$38:$J$47,0),2)),0))),((IFERROR((OFFSET($J$53,MATCH("Aggregate Delivery to Ground Storage",$J$54:$J$63,0),2)),0))),((IFERROR((OFFSET($J$69,MATCH("Aggregate Delivery to Ground Storage",$J$70:$J$79,0),2)),0))),((IFERROR((OFFSET($J$85,MATCH("Aggregate Delivery to Ground Storage",$J$86:$J$95,0),2)),0))),((IFERROR((OFFSET($J$101,MATCH("Aggregate Delivery to Ground Storage",$J$102:$J$111,0),2)),0))),((IFERROR((OFFSET($J$117,MATCH("Aggregate Delivery to Ground Storage",$J$118:$J$127,0),2)),0))),((IFERROR((OFFSET($J$133,MATCH("Aggregate Delivery to Ground Storage",$J$134:$J$143,0),2)),0))),((IFERROR((OFFSET($J$149,MATCH("Aggregate Delivery to Ground Storage",$J$150:$J$159,0),2)),0))),((IFERROR((OFFSET($J$165,MATCH("Aggregate Delivery to Ground Storage",$J$166:$J$175,0),2)),0))),)</f>
        <v>0</v>
      </c>
      <c r="S4" s="386" t="s">
        <v>252</v>
      </c>
      <c r="T4" s="386"/>
      <c r="U4" s="386"/>
    </row>
    <row r="5" spans="2:21" ht="14.25" customHeight="1" x14ac:dyDescent="0.2">
      <c r="B5" s="83"/>
      <c r="C5" s="83"/>
      <c r="D5" s="83"/>
      <c r="E5" s="83"/>
      <c r="F5" s="83"/>
      <c r="G5" s="146"/>
      <c r="H5" s="146"/>
      <c r="I5" s="146"/>
      <c r="P5" s="90" t="s">
        <v>192</v>
      </c>
      <c r="Q5" s="110">
        <f ca="1">MAX((IFERROR(OFFSET($J$20,MATCH("Sand Delivery to Ground Storage",$J$21:$J$30,0),1),0)),((IFERROR((OFFSET($J$37,MATCH("Sand Delivery to Ground Storage",$J$38:$J$47,0),1)),0))),((IFERROR((OFFSET($J$53,MATCH("Sand Delivery to Ground Storage",$J$54:$J$63,0),1)),0))),((IFERROR((OFFSET($J$69,MATCH("Sand Delivery to Ground Storage",$J$70:$J$79,0),1)),0))),((IFERROR((OFFSET($J$85,MATCH("Sand Delivery to Ground Storage",$J$86:$J$95,0),1)),0))),((IFERROR((OFFSET($J$101,MATCH("Sand Delivery to Ground Storage",$J$102:$J$111,0),1)),0))),((IFERROR((OFFSET($J$117,MATCH("Sand Delivery to Ground Storage",$J$118:$J$127,0),1)),0))),((IFERROR((OFFSET($J$133,MATCH("Sand Delivery to Ground Storage",$J$134:$J$143,0),1)),0))),((IFERROR((OFFSET($J$149,MATCH("Sand Delivery to Ground Storage",$J$150:$J$159,0),1)),0))),((IFERROR((OFFSET($J$165,MATCH("Sand Delivery to Ground Storage",$J$166:$J$175,0),1)),0))),)</f>
        <v>0</v>
      </c>
      <c r="R5" s="110">
        <f ca="1">SUM((IFERROR(OFFSET($J$20,MATCH("Sand Delivery to Ground Storage",$J$21:$J$30,0),2),0)),((IFERROR((OFFSET($J$37,MATCH("Sand Delivery to Ground Storage",$J$38:$J$47,0),2)),0))),((IFERROR((OFFSET($J$53,MATCH("Sand Delivery to Ground Storage",$J$54:$J$63,0),2)),0))),((IFERROR((OFFSET($J$69,MATCH("Sand Delivery to Ground Storage",$J$70:$J$79,0),2)),0))),((IFERROR((OFFSET($J$85,MATCH("Sand Delivery to Ground Storage",$J$86:$J$95,0),2)),0))),((IFERROR((OFFSET($J$101,MATCH("Sand Delivery to Ground Storage",$J$102:$J$111,0),2)),0))),((IFERROR((OFFSET($J$117,MATCH("Sand Delivery to Ground Storage",$J$118:$J$127,0),2)),0))),((IFERROR((OFFSET($J$133,MATCH("Sand Delivery to Ground Storage",$J$134:$J$143,0),2)),0))),((IFERROR((OFFSET($J$149,MATCH("Sand Delivery to Ground Storage",$J$150:$J$159,0),2)),0))),((IFERROR((OFFSET($J$165,MATCH("Sand Delivery to Ground Storage",$J$166:$J$175,0),2)),0))),)</f>
        <v>0</v>
      </c>
      <c r="S5" s="386"/>
      <c r="T5" s="386"/>
      <c r="U5" s="386"/>
    </row>
    <row r="6" spans="2:21" ht="14.25" customHeight="1" x14ac:dyDescent="0.2">
      <c r="B6" s="327" t="s">
        <v>156</v>
      </c>
      <c r="C6" s="328"/>
      <c r="D6" s="338"/>
      <c r="E6" s="125"/>
      <c r="F6" s="125"/>
      <c r="G6" s="45"/>
      <c r="H6" s="45"/>
      <c r="I6" s="45"/>
      <c r="J6" s="45"/>
      <c r="K6" s="45"/>
      <c r="L6" s="45"/>
      <c r="M6" s="182"/>
      <c r="N6" s="182"/>
      <c r="P6" s="90" t="s">
        <v>193</v>
      </c>
      <c r="Q6" s="110">
        <f ca="1">MAX((IFERROR(OFFSET($J$20,MATCH("Aggregate Transfer to Conveyor",$J$21:$J$30,0),1),0)),((IFERROR((OFFSET($J$37,MATCH("Aggregate Transfer to Conveyor",$J$38:$J$47,0),1)),0))),((IFERROR((OFFSET($J$53,MATCH("Aggregate Transfer to Conveyor",$J$54:$J$63,0),1)),0))),((IFERROR((OFFSET($J$69,MATCH("Aggregate Transfer to Conveyor",$J$70:$J$79,0),1)),0))),((IFERROR((OFFSET($J$85,MATCH("Aggregate Transfer to Conveyor",$J$86:$J$95,0),1)),0))),((IFERROR((OFFSET($J$101,MATCH("Aggregate Transfer to Conveyor",$J$102:$J$111,0),1)),0))),((IFERROR((OFFSET($J$117,MATCH("Aggregate Transfer to Conveyor",$J$118:$J$127,0),1)),0))),((IFERROR((OFFSET($J$133,MATCH("Aggregate Transfer to Conveyor",$J$134:$J$143,0),1)),0))),((IFERROR((OFFSET($J$149,MATCH("Aggregate Transfer to Conveyor",$J$150:$J$159,0),1)),0))),((IFERROR((OFFSET($J$165,MATCH("Aggregate Transfer to Conveyor",$J$166:$J$175,0),1)),0))),)</f>
        <v>0</v>
      </c>
      <c r="R6" s="110">
        <f ca="1">SUM((IFERROR(OFFSET($J$20,MATCH("Aggregate Transfer to Conveyor",$J$21:$J$30,0),2),0)),((IFERROR((OFFSET($J$37,MATCH("Aggregate Transfer to Conveyor",$J$38:$J$47,0),2)),0))),((IFERROR((OFFSET($J$53,MATCH("Aggregate Transfer to Conveyor",$J$54:$J$63,0),2)),0))),((IFERROR((OFFSET($J$69,MATCH("Aggregate Transfer to Conveyor",$J$70:$J$79,0),2)),0))),((IFERROR((OFFSET($J$85,MATCH("Aggregate Transfer to Conveyor",$J$86:$J$95,0),2)),0))),((IFERROR((OFFSET($J$101,MATCH("Aggregate Transfer to Conveyor",$J$102:$J$111,0),2)),0))),((IFERROR((OFFSET($J$117,MATCH("Aggregate Transfer to Conveyor",$J$118:$J$127,0),2)),0))),((IFERROR((OFFSET($J$133,MATCH("Aggregate Transfer to Conveyor",$J$134:$J$143,0),2)),0))),((IFERROR((OFFSET($J$149,MATCH("Aggregate Transfer to Conveyor",$J$150:$J$159,0),2)),0))),((IFERROR((OFFSET($J$165,MATCH("Aggregate Transfer to Conveyor",$J$166:$J$175,0),2)),0))),)</f>
        <v>0</v>
      </c>
    </row>
    <row r="7" spans="2:21" ht="14.25" customHeight="1" x14ac:dyDescent="0.2">
      <c r="B7" s="52"/>
      <c r="C7" s="50"/>
      <c r="D7" s="50"/>
      <c r="E7" s="50"/>
      <c r="F7" s="50"/>
      <c r="G7" s="45"/>
      <c r="H7" s="45"/>
      <c r="I7" s="45"/>
      <c r="J7" s="45"/>
      <c r="K7" s="45"/>
      <c r="L7" s="45"/>
      <c r="M7" s="182"/>
      <c r="N7" s="182"/>
      <c r="P7" s="90" t="s">
        <v>194</v>
      </c>
      <c r="Q7" s="110">
        <f ca="1">MAX((IFERROR(OFFSET($J$20,MATCH("Sand Transfer to Conveyor",$J$21:$J$30,0),1),0)),((IFERROR((OFFSET($J$37,MATCH("Sand Transfer to Conveyor",$J$38:$J$47,0),1)),0))),((IFERROR((OFFSET($J$53,MATCH("Sand Transfer to Conveyor",$J$54:$J$63,0),1)),0))),((IFERROR((OFFSET($J$69,MATCH("Sand Transfer to Conveyor",$J$70:$J$79,0),1)),0))),((IFERROR((OFFSET($J$85,MATCH("Sand Transfer to Conveyor",$J$86:$J$95,0),1)),0))),((IFERROR((OFFSET($J$101,MATCH("Sand Transfer to Conveyor",$J$102:$J$111,0),1)),0))),((IFERROR((OFFSET($J$117,MATCH("Sand Transfer to Conveyor",$J$118:$J$127,0),1)),0))),((IFERROR((OFFSET($J$133,MATCH("Sand Transfer to Conveyor",$J$134:$J$143,0),1)),0))),((IFERROR((OFFSET($J$149,MATCH("Sand Transfer to Conveyor",$J$150:$J$159,0),1)),0))),((IFERROR((OFFSET($J$165,MATCH("Sand Transfer to Conveyor",$J$166:$J$175,0),1)),0))),)</f>
        <v>0</v>
      </c>
      <c r="R7" s="110">
        <f ca="1">SUM((IFERROR(OFFSET($J$20,MATCH("Sand Transfer to Conveyor",$J$21:$J$30,0),2),0)),((IFERROR((OFFSET($J$37,MATCH("Sand Transfer to Conveyor",$J$38:$J$47,0),2)),0))),((IFERROR((OFFSET($J$53,MATCH("Sand Transfer to Conveyor",$J$54:$J$63,0),2)),0))),((IFERROR((OFFSET($J$69,MATCH("Sand Transfer to Conveyor",$J$70:$J$79,0),2)),0))),((IFERROR((OFFSET($J$85,MATCH("Sand Transfer to Conveyor",$J$86:$J$95,0),2)),0))),((IFERROR((OFFSET($J$101,MATCH("Sand Transfer to Conveyor",$J$102:$J$111,0),2)),0))),((IFERROR((OFFSET($J$117,MATCH("Sand Transfer to Conveyor",$J$118:$J$127,0),2)),0))),((IFERROR((OFFSET($J$133,MATCH("Sand Transfer to Conveyor",$J$134:$J$143,0),2)),0))),((IFERROR((OFFSET($J$149,MATCH("Sand Transfer to Conveyor",$J$150:$J$159,0),2)),0))),((IFERROR((OFFSET($J$165,MATCH("Sand Transfer to Conveyor",$J$166:$J$175,0),2)),0))),)</f>
        <v>0</v>
      </c>
    </row>
    <row r="8" spans="2:21" ht="14.25" customHeight="1" x14ac:dyDescent="0.2">
      <c r="B8" s="52" t="s">
        <v>149</v>
      </c>
      <c r="C8" s="45"/>
      <c r="D8" s="45"/>
      <c r="E8" s="45"/>
      <c r="F8" s="45"/>
      <c r="G8" s="50"/>
      <c r="H8" s="56" t="s">
        <v>150</v>
      </c>
      <c r="I8" s="56"/>
      <c r="J8" s="50"/>
      <c r="K8" s="50"/>
      <c r="P8" s="90" t="s">
        <v>195</v>
      </c>
      <c r="Q8" s="110">
        <f ca="1">MAX((IFERROR(OFFSET($J$20,MATCH("Aggregate Transfer to Elevated Storage",$J$21:$J$30,0),1),0)),((IFERROR((OFFSET($J$37,MATCH("Aggregate Transfer to Elevated Storage",$J$38:$J$47,0),1)),0))),((IFERROR((OFFSET($J$53,MATCH("Aggregate Transfer to Elevated Storage",$J$54:$J$63,0),1)),0))),((IFERROR((OFFSET($J$69,MATCH("Aggregate Transfer to Elevated Storage",$J$70:$J$79,0),1)),0))),((IFERROR((OFFSET($J$85,MATCH("Aggregate Transfer to Elevated Storage",$J$86:$J$95,0),1)),0))),((IFERROR((OFFSET($J$101,MATCH("Aggregate Transfer to Elevated Storage",$J$102:$J$111,0),1)),0))),((IFERROR((OFFSET($J$117,MATCH("Aggregate Transfer to Elevated Storage",$J$118:$J$127,0),1)),0))),((IFERROR((OFFSET($J$133,MATCH("Aggregate Transfer to Elevated Storage",$J$134:$J$143,0),1)),0))),((IFERROR((OFFSET($J$149,MATCH("Aggregate Transfer to Elevated Storage",$J$150:$J$159,0),1)),0))),((IFERROR((OFFSET($J$165,MATCH("Aggregate Transfer to Elevated Storage",$J$166:$J$175,0),1)),0))),)</f>
        <v>0</v>
      </c>
      <c r="R8" s="110">
        <f ca="1">SUM((IFERROR(OFFSET($J$20,MATCH("Aggregate Transfer to Elevated Storage",$J$21:$J$30,0),2),0)),((IFERROR((OFFSET($J$37,MATCH("Aggregate Transfer to Elevated Storage",$J$38:$J$47,0),2)),0))),((IFERROR((OFFSET($J$53,MATCH("Aggregate Transfer to Elevated Storage",$J$54:$J$63,0),2)),0))),((IFERROR((OFFSET($J$69,MATCH("Aggregate Transfer to Elevated Storage",$J$70:$J$79,0),2)),0))),((IFERROR((OFFSET($J$85,MATCH("Aggregate Transfer to Elevated Storage",$J$86:$J$95,0),2)),0))),((IFERROR((OFFSET($J$101,MATCH("Aggregate Transfer to Elevated Storage",$J$102:$J$111,0),2)),0))),((IFERROR((OFFSET($J$117,MATCH("Aggregate Transfer to Elevated Storage",$J$118:$J$127,0),2)),0))),((IFERROR((OFFSET($J$133,MATCH("Aggregate Transfer to Elevated Storage",$J$134:$J$143,0),2)),0))),((IFERROR((OFFSET($J$149,MATCH("Aggregate Transfer to Elevated Storage",$J$150:$J$159,0),2)),0))),((IFERROR((OFFSET($J$165,MATCH("Aggregate Transfer to Elevated Storage",$J$166:$J$175,0),2)),0))),)</f>
        <v>0</v>
      </c>
    </row>
    <row r="9" spans="2:21" ht="14.25" customHeight="1" x14ac:dyDescent="0.2">
      <c r="B9" s="332" t="s">
        <v>204</v>
      </c>
      <c r="C9" s="333"/>
      <c r="D9" s="400"/>
      <c r="E9" s="337"/>
      <c r="F9" s="174"/>
      <c r="H9" s="57" t="s">
        <v>141</v>
      </c>
      <c r="I9" s="60" t="s">
        <v>139</v>
      </c>
      <c r="J9" s="60" t="s">
        <v>140</v>
      </c>
      <c r="P9" s="90" t="s">
        <v>196</v>
      </c>
      <c r="Q9" s="110">
        <f ca="1">MAX((IFERROR(OFFSET($J$20,MATCH("Sand Transfer to Elevated Storage",$J$21:$J$30,0),1),0)),((IFERROR((OFFSET($J$37,MATCH("Sand Transfer to Elevated Storage",$J$38:$J$47,0),1)),0))),((IFERROR((OFFSET($J$53,MATCH("Sand Transfer to Elevated Storage",$J$54:$J$63,0),1)),0))),((IFERROR((OFFSET($J$69,MATCH("Sand Transfer to Elevated Storage",$J$70:$J$79,0),1)),0))),((IFERROR((OFFSET($J$85,MATCH("Sand Transfer to Elevated Storage",$J$86:$J$95,0),1)),0))),((IFERROR((OFFSET($J$101,MATCH("Sand Transfer to Elevated Storage",$J$102:$J$111,0),1)),0))),((IFERROR((OFFSET($J$117,MATCH("Sand Transfer to Elevated Storage",$J$118:$J$127,0),1)),0))),((IFERROR((OFFSET($J$133,MATCH("Sand Transfer to Elevated Storage",$J$134:$J$143,0),1)),0))),((IFERROR((OFFSET($J$149,MATCH("Sand Transfer to Elevated Storage",$J$150:$J$159,0),1)),0))),((IFERROR((OFFSET($J$165,MATCH("Sand Transfer to Elevated Storage",$J$166:$J$175,0),1)),0))),)</f>
        <v>0</v>
      </c>
      <c r="R9" s="110">
        <f ca="1">SUM((IFERROR(OFFSET($J$20,MATCH("Sand Transfer to Elevated Storage",$J$21:$J$30,0),2),0)),((IFERROR((OFFSET($J$37,MATCH("Sand Transfer to Elevated Storage",$J$38:$J$47,0),2)),0))),((IFERROR((OFFSET($J$53,MATCH("Sand Transfer to Elevated Storage",$J$54:$J$63,0),2)),0))),((IFERROR((OFFSET($J$69,MATCH("Sand Transfer to Elevated Storage",$J$70:$J$79,0),2)),0))),((IFERROR((OFFSET($J$85,MATCH("Sand Transfer to Elevated Storage",$J$86:$J$95,0),2)),0))),((IFERROR((OFFSET($J$101,MATCH("Sand Transfer to Elevated Storage",$J$102:$J$111,0),2)),0))),((IFERROR((OFFSET($J$117,MATCH("Sand Transfer to Elevated Storage",$J$118:$J$127,0),2)),0))),((IFERROR((OFFSET($J$133,MATCH("Sand Transfer to Elevated Storage",$J$134:$J$143,0),2)),0))),((IFERROR((OFFSET($J$149,MATCH("Sand Transfer to Elevated Storage",$J$150:$J$159,0),2)),0))),((IFERROR((OFFSET($J$165,MATCH("Sand Transfer to Elevated Storage",$J$166:$J$175,0),2)),0))),)</f>
        <v>0</v>
      </c>
    </row>
    <row r="10" spans="2:21" ht="14.25" customHeight="1" x14ac:dyDescent="0.2">
      <c r="B10" s="388" t="s">
        <v>205</v>
      </c>
      <c r="C10" s="387"/>
      <c r="D10" s="399"/>
      <c r="E10" s="337"/>
      <c r="F10" s="174"/>
      <c r="H10" s="59" t="s">
        <v>110</v>
      </c>
      <c r="I10" s="144"/>
      <c r="J10" s="144"/>
      <c r="P10" s="90" t="s">
        <v>203</v>
      </c>
      <c r="Q10" s="110">
        <f ca="1">MAX((IFERROR(OFFSET($J$20,MATCH("Weigh Hopper Loading",$J$21:$J$30,0),1),0)),((IFERROR((OFFSET($J$37,MATCH("Weigh Hopper Loading",$J$38:$J$47,0),1)),0))),((IFERROR((OFFSET($J$53,MATCH("Weigh Hopper Loading",$J$54:$J$63,0),1)),0))),((IFERROR((OFFSET($J$69,MATCH("Weigh Hopper Loading",$J$70:$J$79,0),1)),0))),((IFERROR((OFFSET($J$85,MATCH("Weigh Hopper Loading",$J$86:$J$95,0),1)),0))),((IFERROR((OFFSET($J$101,MATCH("Weigh Hopper Loading",$J$102:$J$111,0),1)),0))),((IFERROR((OFFSET($J$117,MATCH("Weigh Hopper Loading",$J$118:$J$127,0),1)),0))),((IFERROR((OFFSET($J$133,MATCH("Weigh Hopper Loading",$J$134:$J$143,0),1)),0))),((IFERROR((OFFSET($J$149,MATCH("Weigh Hopper Loading",$J$150:$J$159,0),1)),0))),((IFERROR((OFFSET($J$165,MATCH("Weigh Hopper Loading",$J$166:$J$175,0),1)),0))),)</f>
        <v>0</v>
      </c>
      <c r="R10" s="110">
        <f ca="1">SUM((IFERROR(OFFSET($J$20,MATCH("Weigh Hopper Loading",$J$21:$J$30,0),2),0)),((IFERROR((OFFSET($J$37,MATCH("Weigh Hopper Loading",$J$38:$J$47,0),2)),0))),((IFERROR((OFFSET($J$53,MATCH("Weigh Hopper Loading",$J$54:$J$63,0),2)),0))),((IFERROR((OFFSET($J$69,MATCH("Weigh Hopper Loading",$J$70:$J$79,0),2)),0))),((IFERROR((OFFSET($J$85,MATCH("Weigh Hopper Loading",$J$86:$J$95,0),2)),0))),((IFERROR((OFFSET($J$101,MATCH("Weigh Hopper Loading",$J$102:$J$111,0),2)),0))),((IFERROR((OFFSET($J$117,MATCH("Weigh Hopper Loading",$J$118:$J$127,0),2)),0))),((IFERROR((OFFSET($J$133,MATCH("Weigh Hopper Loading",$J$134:$J$143,0),2)),0))),((IFERROR((OFFSET($J$149,MATCH("Weigh Hopper Loading",$J$150:$J$159,0),2)),0))),((IFERROR((OFFSET($J$165,MATCH("Weigh Hopper Loading",$J$166:$J$175,0),2)),0))),)</f>
        <v>0</v>
      </c>
    </row>
    <row r="11" spans="2:21" ht="14.25" customHeight="1" x14ac:dyDescent="0.2">
      <c r="B11" s="332" t="s">
        <v>146</v>
      </c>
      <c r="C11" s="333"/>
      <c r="D11" s="400"/>
      <c r="E11" s="337"/>
      <c r="F11" s="174"/>
      <c r="H11" s="58" t="s">
        <v>17</v>
      </c>
      <c r="I11" s="144"/>
      <c r="J11" s="144"/>
      <c r="P11" s="90" t="s">
        <v>197</v>
      </c>
      <c r="Q11" s="110">
        <f ca="1">MAX((IFERROR(OFFSET($J$20,MATCH("Central Mix Loading",$J$21:$J$30,0),1),0)),((IFERROR((OFFSET($J$37,MATCH("Central Mix Loading",$J$38:$J$47,0),1)),0))),((IFERROR((OFFSET($J$53,MATCH("Central Mix Loading",$J$54:$J$63,0),1)),0))),((IFERROR((OFFSET($J$69,MATCH("Central Mix Loading",$J$70:$J$79,0),1)),0))),((IFERROR((OFFSET($J$85,MATCH("Central Mix Loading",$J$86:$J$95,0),1)),0))),((IFERROR((OFFSET($J$101,MATCH("Central Mix Loading",$J$102:$J$111,0),1)),0))),((IFERROR((OFFSET($J$117,MATCH("Central Mix Loading",$J$118:$J$127,0),1)),0))),((IFERROR((OFFSET($J$133,MATCH("Central Mix Loading",$J$134:$J$143,0),1)),0))),((IFERROR((OFFSET($J$149,MATCH("Central Mix Loading",$J$150:$J$159,0),1)),0))),((IFERROR((OFFSET($J$165,MATCH("Central Mix Loading",$J$166:$J$175,0),1)),0))),)</f>
        <v>0</v>
      </c>
      <c r="R11" s="110">
        <f ca="1">SUM((IFERROR(OFFSET($J$20,MATCH("Central Mix Loading",$J$21:$J$30,0),2),0)),((IFERROR((OFFSET($J$37,MATCH("Central Mix Loading",$J$38:$J$47,0),2)),0))),((IFERROR((OFFSET($J$53,MATCH("Central Mix Loading",$J$54:$J$63,0),2)),0))),((IFERROR((OFFSET($J$69,MATCH("Central Mix Loading",$J$70:$J$79,0),2)),0))),((IFERROR((OFFSET($J$85,MATCH("Central Mix Loading",$J$86:$J$95,0),2)),0))),((IFERROR((OFFSET($J$101,MATCH("Central Mix Loading",$J$102:$J$111,0),2)),0))),((IFERROR((OFFSET($J$117,MATCH("Central Mix Loading",$J$118:$J$127,0),2)),0))),((IFERROR((OFFSET($J$133,MATCH("Central Mix Loading",$J$134:$J$143,0),2)),0))),((IFERROR((OFFSET($J$149,MATCH("Central Mix Loading",$J$150:$J$159,0),2)),0))),((IFERROR((OFFSET($J$165,MATCH("Central Mix Loading",$J$166:$J$175,0),2)),0))),)</f>
        <v>0</v>
      </c>
    </row>
    <row r="12" spans="2:21" ht="14.25" customHeight="1" x14ac:dyDescent="0.25">
      <c r="B12" s="320" t="s">
        <v>269</v>
      </c>
      <c r="C12" s="319"/>
      <c r="D12" s="319"/>
      <c r="E12" s="319"/>
      <c r="F12" s="165"/>
      <c r="G12" s="30"/>
      <c r="H12" s="58" t="s">
        <v>3</v>
      </c>
      <c r="I12" s="144"/>
      <c r="J12" s="144"/>
      <c r="P12" s="90" t="s">
        <v>198</v>
      </c>
      <c r="Q12" s="110">
        <f ca="1">MAX((IFERROR(OFFSET($J$20,MATCH("Truck Mix Loading",$J$21:$J$30,0),1),0)),((IFERROR((OFFSET($J$37,MATCH("Truck Mix Loading",$J$38:$J$47,0),1)),0))),((IFERROR((OFFSET($J$53,MATCH("Truck Mix Loading",$J$54:$J$63,0),1)),0))),((IFERROR((OFFSET($J$69,MATCH("Truck Mix Loading",$J$70:$J$79,0),1)),0))),((IFERROR((OFFSET($J$85,MATCH("Truck Mix Loading",$J$86:$J$95,0),1)),0))),((IFERROR((OFFSET($J$101,MATCH("Truck Mix Loading",$J$102:$J$111,0),1)),0))),((IFERROR((OFFSET($J$117,MATCH("Truck Mix Loading",$J$118:$J$127,0),1)),0))),((IFERROR((OFFSET($J$133,MATCH("Truck Mix Loading",$J$134:$J$143,0),1)),0))),((IFERROR((OFFSET($J$149,MATCH("Truck Mix Loading",$J$150:$J$159,0),1)),0))),((IFERROR((OFFSET($J$165,MATCH("Truck Mix Loading",$J$166:$J$175,0),1)),0))),)</f>
        <v>0</v>
      </c>
      <c r="R12" s="110">
        <f ca="1">SUM((IFERROR(OFFSET($J$20,MATCH("Truck Mix Loading",$J$21:$J$30,0),2),0)),((IFERROR((OFFSET($J$37,MATCH("Truck Mix Loading",$J$38:$J$47,0),2)),0))),((IFERROR((OFFSET($J$53,MATCH("Truck Mix Loading",$J$54:$J$63,0),2)),0))),((IFERROR((OFFSET($J$69,MATCH("Truck Mix Loading",$J$70:$J$79,0),2)),0))),((IFERROR((OFFSET($J$85,MATCH("Truck Mix Loading",$J$86:$J$95,0),2)),0))),((IFERROR((OFFSET($J$101,MATCH("Truck Mix Loading",$J$102:$J$111,0),2)),0))),((IFERROR((OFFSET($J$117,MATCH("Truck Mix Loading",$J$118:$J$127,0),2)),0))),((IFERROR((OFFSET($J$133,MATCH("Truck Mix Loading",$J$134:$J$143,0),2)),0))),((IFERROR((OFFSET($J$149,MATCH("Truck Mix Loading",$J$150:$J$159,0),2)),0))),((IFERROR((OFFSET($J$165,MATCH("Truck Mix Loading",$J$166:$J$175,0),2)),0))),)</f>
        <v>0</v>
      </c>
    </row>
    <row r="13" spans="2:21" ht="14.25" customHeight="1" x14ac:dyDescent="0.25">
      <c r="B13" s="320" t="s">
        <v>271</v>
      </c>
      <c r="C13" s="319"/>
      <c r="D13" s="319"/>
      <c r="E13" s="319"/>
      <c r="F13" s="165"/>
      <c r="G13" s="30"/>
      <c r="H13" s="58" t="s">
        <v>27</v>
      </c>
      <c r="I13" s="144"/>
      <c r="J13" s="144"/>
      <c r="P13" s="90" t="s">
        <v>199</v>
      </c>
      <c r="Q13" s="110">
        <f ca="1">MAX((IFERROR(OFFSET($J$20,MATCH("Cement Delivery to Silo",$J$21:$J$30,0),1),0)),((IFERROR((OFFSET($J$37,MATCH("Cement Delivery to Silo",$J$38:$J$47,0),1)),0))),((IFERROR((OFFSET($J$53,MATCH("Cement Delivery to Silo",$J$54:$J$63,0),1)),0))),((IFERROR((OFFSET($J$69,MATCH("Cement Delivery to Silo",$J$70:$J$79,0),1)),0))),((IFERROR((OFFSET($J$85,MATCH("Cement Delivery to Silo",$J$86:$J$95,0),1)),0))),((IFERROR((OFFSET($J$101,MATCH("Cement Delivery to Silo",$J$102:$J$111,0),1)),0))),((IFERROR((OFFSET($J$117,MATCH("Cement Delivery to Silo",$J$118:$J$127,0),1)),0))),((IFERROR((OFFSET($J$133,MATCH("Cement Delivery to Silo",$J$134:$J$143,0),1)),0))),((IFERROR((OFFSET($J$149,MATCH("Cement Delivery to Silo",$J$150:$J$159,0),1)),0))),((IFERROR((OFFSET($J$165,MATCH("Cement Delivery to Silo",$J$166:$J$175,0),1)),0))),)</f>
        <v>0</v>
      </c>
      <c r="R13" s="110">
        <f ca="1">SUM((IFERROR(OFFSET($J$20,MATCH("Cement Delivery to Silo",$J$21:$J$30,0),2),0)),((IFERROR((OFFSET($J$37,MATCH("Cement Delivery to Silo",$J$38:$J$47,0),2)),0))),((IFERROR((OFFSET($J$53,MATCH("Cement Delivery to Silo",$J$54:$J$63,0),2)),0))),((IFERROR((OFFSET($J$69,MATCH("Cement Delivery to Silo",$J$70:$J$79,0),2)),0))),((IFERROR((OFFSET($J$85,MATCH("Cement Delivery to Silo",$J$86:$J$95,0),2)),0))),((IFERROR((OFFSET($J$101,MATCH("Cement Delivery to Silo",$J$102:$J$111,0),2)),0))),((IFERROR((OFFSET($J$117,MATCH("Cement Delivery to Silo",$J$118:$J$127,0),2)),0))),((IFERROR((OFFSET($J$133,MATCH("Cement Delivery to Silo",$J$134:$J$143,0),2)),0))),((IFERROR((OFFSET($J$149,MATCH("Cement Delivery to Silo",$J$150:$J$159,0),2)),0))),((IFERROR((OFFSET($J$165,MATCH("Cement Delivery to Silo",$J$166:$J$175,0),2)),0))),)</f>
        <v>0</v>
      </c>
    </row>
    <row r="14" spans="2:21" ht="14.25" customHeight="1" x14ac:dyDescent="0.25">
      <c r="B14" s="324" t="s">
        <v>270</v>
      </c>
      <c r="C14" s="319"/>
      <c r="D14" s="319"/>
      <c r="E14" s="319"/>
      <c r="F14" s="165"/>
      <c r="G14" s="30"/>
      <c r="H14" s="58" t="s">
        <v>5</v>
      </c>
      <c r="I14" s="144"/>
      <c r="J14" s="144"/>
      <c r="P14" s="90" t="s">
        <v>200</v>
      </c>
      <c r="Q14" s="110">
        <f ca="1">MAX((IFERROR(OFFSET($J$20,MATCH("Cement Supplement Delivery to Silo",$J$21:$J$30,0),1),0)),((IFERROR((OFFSET($J$37,MATCH("Cement Supplement Delivery to Silo",$J$38:$J$47,0),1)),0))),((IFERROR((OFFSET($J$53,MATCH("Cement Supplement Delivery to Silo",$J$54:$J$63,0),1)),0))),((IFERROR((OFFSET($J$69,MATCH("Cement Supplement Delivery to Silo",$J$70:$J$79,0),1)),0))),((IFERROR((OFFSET($J$85,MATCH("Cement Supplement Delivery to Silo",$J$86:$J$95,0),1)),0))),((IFERROR((OFFSET($J$101,MATCH("Cement Supplement Delivery to Silo",$J$102:$J$111,0),1)),0))),((IFERROR((OFFSET($J$117,MATCH("Cement Supplement Delivery to Silo",$J$118:$J$127,0),1)),0))),((IFERROR((OFFSET($J$133,MATCH("Cement Supplement Delivery to Silo",$J$134:$J$143,0),1)),0))),((IFERROR((OFFSET($J$149,MATCH("Cement Supplement Delivery to Silo",$J$150:$J$159,0),1)),0))),((IFERROR((OFFSET($J$165,MATCH("Cement Supplement Delivery to Silo",$J$166:$J$175,0),1)),0))),)</f>
        <v>0</v>
      </c>
      <c r="R14" s="110">
        <f ca="1">SUM((IFERROR(OFFSET($J$20,MATCH("Cement Supplement Delivery to Silo",$J$21:$J$30,0),2),0)),((IFERROR((OFFSET($J$37,MATCH("Cement Supplement Delivery to Silo",$J$38:$J$47,0),2)),0))),((IFERROR((OFFSET($J$53,MATCH("Cement Supplement Delivery to Silo",$J$54:$J$63,0),2)),0))),((IFERROR((OFFSET($J$69,MATCH("Cement Supplement Delivery to Silo",$J$70:$J$79,0),2)),0))),((IFERROR((OFFSET($J$85,MATCH("Cement Supplement Delivery to Silo",$J$86:$J$95,0),2)),0))),((IFERROR((OFFSET($J$101,MATCH("Cement Supplement Delivery to Silo",$J$102:$J$111,0),2)),0))),((IFERROR((OFFSET($J$117,MATCH("Cement Supplement Delivery to Silo",$J$118:$J$127,0),2)),0))),((IFERROR((OFFSET($J$133,MATCH("Cement Supplement Delivery to Silo",$J$134:$J$143,0),2)),0))),((IFERROR((OFFSET($J$149,MATCH("Cement Supplement Delivery to Silo",$J$150:$J$159,0),2)),0))),((IFERROR((OFFSET($J$165,MATCH("Cement Supplement Delivery to Silo",$J$166:$J$175,0),2)),0))),)</f>
        <v>0</v>
      </c>
    </row>
    <row r="15" spans="2:21" ht="14.25" customHeight="1" x14ac:dyDescent="0.25">
      <c r="B15" s="12"/>
      <c r="C15" s="12"/>
      <c r="D15" s="12"/>
      <c r="E15" s="12"/>
      <c r="F15" s="12"/>
      <c r="G15" s="12"/>
      <c r="H15" s="58" t="s">
        <v>6</v>
      </c>
      <c r="I15" s="144"/>
      <c r="J15" s="144"/>
    </row>
    <row r="16" spans="2:21" ht="15" customHeight="1" thickBot="1" x14ac:dyDescent="0.3">
      <c r="B16" s="85"/>
      <c r="C16" s="85"/>
      <c r="D16" s="85"/>
      <c r="E16" s="85"/>
      <c r="F16" s="85"/>
      <c r="G16" s="85"/>
      <c r="H16" s="86"/>
      <c r="I16" s="86"/>
      <c r="J16" s="124"/>
      <c r="K16" s="124"/>
      <c r="L16" s="87"/>
      <c r="M16" s="71"/>
      <c r="N16" s="71"/>
      <c r="P16" s="68"/>
      <c r="Q16" s="188" t="s">
        <v>155</v>
      </c>
      <c r="R16" s="189" t="s">
        <v>154</v>
      </c>
      <c r="S16" s="88"/>
    </row>
    <row r="17" spans="1:23" ht="14.25" customHeight="1" x14ac:dyDescent="0.25">
      <c r="B17" s="12"/>
      <c r="C17" s="12"/>
      <c r="D17" s="12"/>
      <c r="E17" s="12"/>
      <c r="F17" s="12"/>
      <c r="G17" s="12"/>
      <c r="H17" s="84"/>
      <c r="I17" s="84"/>
      <c r="J17" s="50"/>
      <c r="K17" s="50"/>
      <c r="P17" s="90" t="s">
        <v>40</v>
      </c>
      <c r="Q17" s="143">
        <f>SUM(J34,J50,J67,J83,J99,J115,J131,J147,J163,J179)</f>
        <v>0</v>
      </c>
      <c r="R17" s="143">
        <f>SUM(K34*L34,K50*L50,K67*L67,K83*L83,K99*L99,K115*L115,K131*L131,K147*L147,K163*L163,K179*L179)</f>
        <v>0</v>
      </c>
      <c r="S17" s="68"/>
    </row>
    <row r="18" spans="1:23" ht="7.5" customHeight="1" x14ac:dyDescent="0.2">
      <c r="A18" s="71"/>
      <c r="B18" s="345"/>
      <c r="C18" s="50"/>
      <c r="D18" s="50"/>
      <c r="E18" s="50"/>
      <c r="F18" s="50"/>
    </row>
    <row r="19" spans="1:23" ht="13.5" customHeight="1" x14ac:dyDescent="0.2">
      <c r="D19" s="71"/>
      <c r="E19" s="71"/>
      <c r="F19" s="71"/>
      <c r="M19" s="217"/>
      <c r="N19" s="217"/>
      <c r="P19" s="45" t="s">
        <v>254</v>
      </c>
    </row>
    <row r="20" spans="1:23" ht="27.75" customHeight="1" x14ac:dyDescent="0.25">
      <c r="B20" s="69" t="s">
        <v>201</v>
      </c>
      <c r="C20" s="70" t="s">
        <v>145</v>
      </c>
      <c r="G20" s="45"/>
      <c r="H20" s="310" t="s">
        <v>1</v>
      </c>
      <c r="I20" s="310" t="s">
        <v>181</v>
      </c>
      <c r="J20" s="310" t="s">
        <v>142</v>
      </c>
      <c r="K20" s="311" t="s">
        <v>241</v>
      </c>
      <c r="L20" s="310" t="str">
        <f>('Facility Information'!G5&amp;" Annual Throughput (cubic yards)")</f>
        <v xml:space="preserve"> Annual Throughput (cubic yards)</v>
      </c>
      <c r="M20" s="218" t="s">
        <v>250</v>
      </c>
      <c r="N20" s="218" t="s">
        <v>251</v>
      </c>
      <c r="P20" s="89" t="s">
        <v>110</v>
      </c>
      <c r="Q20" s="308" t="s">
        <v>242</v>
      </c>
      <c r="R20" s="308" t="s">
        <v>240</v>
      </c>
      <c r="S20" s="308" t="s">
        <v>147</v>
      </c>
      <c r="T20" s="308" t="s">
        <v>130</v>
      </c>
      <c r="U20" s="308" t="s">
        <v>14</v>
      </c>
      <c r="V20" s="308" t="s">
        <v>148</v>
      </c>
    </row>
    <row r="21" spans="1:23" ht="14.25" customHeight="1" x14ac:dyDescent="0.2">
      <c r="A21" s="67" t="s">
        <v>38</v>
      </c>
      <c r="B21" s="72" t="s">
        <v>89</v>
      </c>
      <c r="C21" s="339"/>
      <c r="D21" s="342"/>
      <c r="E21" s="343"/>
      <c r="F21" s="175"/>
      <c r="G21" s="45"/>
      <c r="H21" s="126" t="str">
        <f>IF(J21="cement delivery to silo","CP-1 EP-2",IF(J21="cement supplement delivery to silo","CP-1 EP-3",IF(J21="weigh hopper loading","CP-1 EP-4",IF(J21="truck mix loading","CP-1 EP-5",IF(J21="central mix loading","CP-1 EP-6",IF(J21="","","CP-1 EP-1"))))))</f>
        <v/>
      </c>
      <c r="I21" s="126" t="str">
        <f t="shared" ref="I21:I30" si="0">IF(J21="","",IF(J21="aggregate delivery to ground storage","CP-3 EU-1",IF(J21="sand delivery to ground storage","CP-3 EU-2",IF(J21="aggregate transfer to conveyor","CP-3 EU-3",IF(J21="sand transfer to conveyor","CP-3 EU-4",IF(J21="aggregate transfer to elevated storage","CP-3 EU-5",IF(J21="sand transfer to elevated storage","CP-3 EU-6",IF(J21="weigh hopper loading","CP-3 EU-7",IF(J21="central mix loading","CP-3 EU-8",IF(J21="truck mix loading","CP-3 EU-9",IF(J21="cement delivery to silo","CP-3 EU-10",IF(J21="cement supplement delivery to silo","CP-3 EU-11"))))))))))))</f>
        <v/>
      </c>
      <c r="J21" s="82"/>
      <c r="K21" s="61"/>
      <c r="L21" s="156"/>
      <c r="M21" s="219" t="str">
        <f>IF(J21="truck mix loading",IF($F$24="yes",L21*0.05/2000,L21/2000),"")</f>
        <v/>
      </c>
      <c r="N21" s="219" t="str">
        <f>IF(J21="central mix loading",IF($F$24="yes",L21*0.05/2000,L21/2000),"")</f>
        <v/>
      </c>
      <c r="P21" s="90" t="s">
        <v>191</v>
      </c>
      <c r="Q21" s="105">
        <f t="shared" ref="Q21:Q31" ca="1" si="1">Q4</f>
        <v>0</v>
      </c>
      <c r="R21" s="111">
        <f ca="1">IF(Q21=0,0,LOOKUP(P21,'Emission Factors'!$A$5:$A$16,'Emission Factors'!$D$5:$D$16))</f>
        <v>0</v>
      </c>
      <c r="S21" s="105">
        <f t="shared" ref="S21:S29" ca="1" si="2">Q21*R21</f>
        <v>0</v>
      </c>
      <c r="T21" s="105" t="str">
        <f ca="1">IF(Q21=0,"",IF($I$10&gt;0,$I$10,""))</f>
        <v/>
      </c>
      <c r="U21" s="105">
        <f ca="1">IF($J$10&gt;0,$J$10,IF($D$9&gt;0,$D$9*R21/2000,IF($D$10&gt;0,$D$10*365*R21/2000,IF($D$11&gt;0,$D$11*365*R21*Q21/2000,IF(T21="",S21*8760/2000,T21*8760/2000)))))</f>
        <v>0</v>
      </c>
      <c r="V21" s="113">
        <f t="shared" ref="V21:V27" ca="1" si="3">(R4*R21/2000)</f>
        <v>0</v>
      </c>
    </row>
    <row r="22" spans="1:23" ht="14.25" customHeight="1" x14ac:dyDescent="0.2">
      <c r="A22" s="67" t="s">
        <v>39</v>
      </c>
      <c r="B22" s="72" t="s">
        <v>90</v>
      </c>
      <c r="C22" s="339"/>
      <c r="D22" s="342"/>
      <c r="E22" s="343"/>
      <c r="F22" s="175"/>
      <c r="G22" s="45"/>
      <c r="H22" s="126" t="str">
        <f t="shared" ref="H22:H30" si="4">IF(J22="cement delivery to silo","CP-1 EP-2",IF(J22="cement supplement delivery to silo","CP-1 EP-3",IF(J22="weigh hopper loading","CP-1 EP-4",IF(J22="truck mix loading","CP-1 EP-5",IF(J22="central mix loading","CP-1 EP-6",IF(J22="","","CP-1 EP-1"))))))</f>
        <v/>
      </c>
      <c r="I22" s="126" t="str">
        <f t="shared" si="0"/>
        <v/>
      </c>
      <c r="J22" s="82"/>
      <c r="K22" s="61"/>
      <c r="L22" s="156"/>
      <c r="M22" s="219" t="str">
        <f t="shared" ref="M22:M30" si="5">IF(J22="truck mix loading",IF($F$24="yes",L22*0.05/2000,L22/2000),"")</f>
        <v/>
      </c>
      <c r="N22" s="219" t="str">
        <f t="shared" ref="N22:N30" si="6">IF(J22="central mix loading",IF($F$24="yes",L22*0.05/2000,L22/2000),"")</f>
        <v/>
      </c>
      <c r="P22" s="90" t="s">
        <v>192</v>
      </c>
      <c r="Q22" s="105">
        <f t="shared" ca="1" si="1"/>
        <v>0</v>
      </c>
      <c r="R22" s="111">
        <f ca="1">IF(Q22=0,0,LOOKUP(P22,'Emission Factors'!$A$5:$A$16,'Emission Factors'!$D$5:$D$16))</f>
        <v>0</v>
      </c>
      <c r="S22" s="105">
        <f t="shared" ca="1" si="2"/>
        <v>0</v>
      </c>
      <c r="T22" s="105" t="str">
        <f t="shared" ref="T22:T27" ca="1" si="7">IF(Q22=0,"",IF($I$10&gt;0,$I$10,""))</f>
        <v/>
      </c>
      <c r="U22" s="105">
        <f t="shared" ref="U22:U27" ca="1" si="8">IF($J$10&gt;0,"",IF($D$9&gt;0,$D$9*R22/2000,IF($D$10&gt;0,$D$10*365*R22/2000,IF($D$11&gt;0,$D$11*365*R22*Q22/2000,IF(T22="",S22*8760/2000,T22*8760/2000)))))</f>
        <v>0</v>
      </c>
      <c r="V22" s="113">
        <f t="shared" ca="1" si="3"/>
        <v>0</v>
      </c>
    </row>
    <row r="23" spans="1:23" ht="14.25" customHeight="1" x14ac:dyDescent="0.2">
      <c r="B23" s="72" t="s">
        <v>202</v>
      </c>
      <c r="C23" s="339"/>
      <c r="D23" s="342"/>
      <c r="E23" s="343"/>
      <c r="F23" s="175"/>
      <c r="G23" s="45"/>
      <c r="H23" s="126" t="str">
        <f t="shared" si="4"/>
        <v/>
      </c>
      <c r="I23" s="126" t="str">
        <f t="shared" si="0"/>
        <v/>
      </c>
      <c r="J23" s="82"/>
      <c r="K23" s="61"/>
      <c r="L23" s="156"/>
      <c r="M23" s="219" t="str">
        <f t="shared" si="5"/>
        <v/>
      </c>
      <c r="N23" s="219" t="str">
        <f t="shared" si="6"/>
        <v/>
      </c>
      <c r="P23" s="90" t="s">
        <v>193</v>
      </c>
      <c r="Q23" s="105">
        <f t="shared" ca="1" si="1"/>
        <v>0</v>
      </c>
      <c r="R23" s="111">
        <f ca="1">IF(Q23=0,0,LOOKUP(P23,'Emission Factors'!$A$5:$A$16,'Emission Factors'!$D$5:$D$16))</f>
        <v>0</v>
      </c>
      <c r="S23" s="105">
        <f t="shared" ca="1" si="2"/>
        <v>0</v>
      </c>
      <c r="T23" s="105" t="str">
        <f t="shared" ca="1" si="7"/>
        <v/>
      </c>
      <c r="U23" s="105">
        <f t="shared" ca="1" si="8"/>
        <v>0</v>
      </c>
      <c r="V23" s="113">
        <f t="shared" ca="1" si="3"/>
        <v>0</v>
      </c>
    </row>
    <row r="24" spans="1:23" ht="14.25" customHeight="1" x14ac:dyDescent="0.25">
      <c r="A24" s="6" t="s">
        <v>191</v>
      </c>
      <c r="B24" s="51" t="str">
        <f>IF(OR(COUNTIF(J21:J30,"Truck Mix Loading")&gt;0,(COUNTIF(J21:J30,"Central Mix Loading")&gt;0)),"Is the Central/Truck Mix Loading process controlled by a baghouse?","")</f>
        <v/>
      </c>
      <c r="C24" s="51"/>
      <c r="D24" s="51"/>
      <c r="E24" s="51"/>
      <c r="F24" s="221"/>
      <c r="G24" s="45"/>
      <c r="H24" s="126" t="str">
        <f t="shared" si="4"/>
        <v/>
      </c>
      <c r="I24" s="126" t="str">
        <f t="shared" si="0"/>
        <v/>
      </c>
      <c r="J24" s="82"/>
      <c r="K24" s="61"/>
      <c r="L24" s="156"/>
      <c r="M24" s="219" t="str">
        <f t="shared" si="5"/>
        <v/>
      </c>
      <c r="N24" s="219" t="str">
        <f t="shared" si="6"/>
        <v/>
      </c>
      <c r="P24" s="90" t="s">
        <v>194</v>
      </c>
      <c r="Q24" s="105">
        <f t="shared" ca="1" si="1"/>
        <v>0</v>
      </c>
      <c r="R24" s="111">
        <f ca="1">IF(Q24=0,0,LOOKUP(P24,'Emission Factors'!$A$5:$A$16,'Emission Factors'!$D$5:$D$16))</f>
        <v>0</v>
      </c>
      <c r="S24" s="105">
        <f t="shared" ca="1" si="2"/>
        <v>0</v>
      </c>
      <c r="T24" s="105" t="str">
        <f t="shared" ca="1" si="7"/>
        <v/>
      </c>
      <c r="U24" s="105">
        <f t="shared" ca="1" si="8"/>
        <v>0</v>
      </c>
      <c r="V24" s="113">
        <f t="shared" ca="1" si="3"/>
        <v>0</v>
      </c>
    </row>
    <row r="25" spans="1:23" ht="14.25" customHeight="1" x14ac:dyDescent="0.25">
      <c r="A25" s="6" t="s">
        <v>192</v>
      </c>
      <c r="B25" s="45"/>
      <c r="C25" s="45"/>
      <c r="D25" s="45"/>
      <c r="E25" s="45"/>
      <c r="F25" s="182"/>
      <c r="G25" s="45"/>
      <c r="H25" s="126" t="str">
        <f t="shared" si="4"/>
        <v/>
      </c>
      <c r="I25" s="126" t="str">
        <f t="shared" si="0"/>
        <v/>
      </c>
      <c r="J25" s="82"/>
      <c r="K25" s="61"/>
      <c r="L25" s="156"/>
      <c r="M25" s="219" t="str">
        <f t="shared" si="5"/>
        <v/>
      </c>
      <c r="N25" s="219" t="str">
        <f t="shared" si="6"/>
        <v/>
      </c>
      <c r="P25" s="90" t="s">
        <v>195</v>
      </c>
      <c r="Q25" s="105">
        <f t="shared" ca="1" si="1"/>
        <v>0</v>
      </c>
      <c r="R25" s="111">
        <f ca="1">IF(Q25=0,0,LOOKUP(P25,'Emission Factors'!$A$5:$A$16,'Emission Factors'!$D$5:$D$16))</f>
        <v>0</v>
      </c>
      <c r="S25" s="105">
        <f t="shared" ca="1" si="2"/>
        <v>0</v>
      </c>
      <c r="T25" s="105" t="str">
        <f t="shared" ca="1" si="7"/>
        <v/>
      </c>
      <c r="U25" s="105">
        <f t="shared" ca="1" si="8"/>
        <v>0</v>
      </c>
      <c r="V25" s="113">
        <f t="shared" ca="1" si="3"/>
        <v>0</v>
      </c>
    </row>
    <row r="26" spans="1:23" ht="27.75" customHeight="1" x14ac:dyDescent="0.25">
      <c r="A26" s="6" t="s">
        <v>193</v>
      </c>
      <c r="B26" s="312" t="str">
        <f>IF(AND(B28="",B29="",B32="",B31="",B30=""),"","Process (complete stack information if applicable):")</f>
        <v/>
      </c>
      <c r="C26" s="312" t="str">
        <f>IF(AND(B28="",B29="",B32="",B31="",B30=""),"","Stack Height (ft):")</f>
        <v/>
      </c>
      <c r="D26" s="312" t="str">
        <f>IF(AND(B28="",B29="",B32="",B31="",B30=""),"","Stack Diameter (inches):")</f>
        <v/>
      </c>
      <c r="E26" s="312" t="str">
        <f>IF(AND(B28="",B29="",B32="",B31="",B30=""),"","Flow Rate (acfm):")</f>
        <v/>
      </c>
      <c r="F26" s="312" t="str">
        <f>IF(AND(B28="",B29="",B32="",B31="",B30=""),"","Temp (Deg F):")</f>
        <v/>
      </c>
      <c r="G26" s="45"/>
      <c r="H26" s="126" t="str">
        <f t="shared" si="4"/>
        <v/>
      </c>
      <c r="I26" s="126" t="str">
        <f t="shared" si="0"/>
        <v/>
      </c>
      <c r="J26" s="82"/>
      <c r="K26" s="61"/>
      <c r="L26" s="156"/>
      <c r="M26" s="219" t="str">
        <f t="shared" si="5"/>
        <v/>
      </c>
      <c r="N26" s="219" t="str">
        <f t="shared" si="6"/>
        <v/>
      </c>
      <c r="P26" s="90" t="s">
        <v>196</v>
      </c>
      <c r="Q26" s="105">
        <f t="shared" ca="1" si="1"/>
        <v>0</v>
      </c>
      <c r="R26" s="111">
        <f ca="1">IF(Q26=0,0,LOOKUP(P26,'Emission Factors'!$A$5:$A$16,'Emission Factors'!$D$5:$D$16))</f>
        <v>0</v>
      </c>
      <c r="S26" s="105">
        <f t="shared" ca="1" si="2"/>
        <v>0</v>
      </c>
      <c r="T26" s="105" t="str">
        <f t="shared" ca="1" si="7"/>
        <v/>
      </c>
      <c r="U26" s="105">
        <f t="shared" ca="1" si="8"/>
        <v>0</v>
      </c>
      <c r="V26" s="113">
        <f t="shared" ca="1" si="3"/>
        <v>0</v>
      </c>
    </row>
    <row r="27" spans="1:23" ht="14.25" customHeight="1" x14ac:dyDescent="0.25">
      <c r="A27" s="6" t="s">
        <v>194</v>
      </c>
      <c r="B27" s="312"/>
      <c r="C27" s="312"/>
      <c r="D27" s="312"/>
      <c r="E27" s="312"/>
      <c r="F27" s="312"/>
      <c r="G27" s="45"/>
      <c r="H27" s="126" t="str">
        <f t="shared" si="4"/>
        <v/>
      </c>
      <c r="I27" s="126" t="str">
        <f t="shared" si="0"/>
        <v/>
      </c>
      <c r="J27" s="82"/>
      <c r="K27" s="61"/>
      <c r="L27" s="156"/>
      <c r="M27" s="219" t="str">
        <f t="shared" si="5"/>
        <v/>
      </c>
      <c r="N27" s="219" t="str">
        <f t="shared" si="6"/>
        <v/>
      </c>
      <c r="P27" s="90" t="s">
        <v>203</v>
      </c>
      <c r="Q27" s="105">
        <f t="shared" ca="1" si="1"/>
        <v>0</v>
      </c>
      <c r="R27" s="111">
        <f ca="1">IF(Q27=0,0,LOOKUP(P27,'Emission Factors'!$A$5:$A$16,'Emission Factors'!$D$5:$D$16))</f>
        <v>0</v>
      </c>
      <c r="S27" s="105">
        <f t="shared" ca="1" si="2"/>
        <v>0</v>
      </c>
      <c r="T27" s="105" t="str">
        <f t="shared" ca="1" si="7"/>
        <v/>
      </c>
      <c r="U27" s="105">
        <f t="shared" ca="1" si="8"/>
        <v>0</v>
      </c>
      <c r="V27" s="113">
        <f t="shared" ca="1" si="3"/>
        <v>0</v>
      </c>
    </row>
    <row r="28" spans="1:23" ht="14.25" customHeight="1" x14ac:dyDescent="0.25">
      <c r="A28" s="6" t="s">
        <v>195</v>
      </c>
      <c r="B28" s="45" t="str">
        <f>IF(COUNTIF(J21:J30,"Cement Delivery to Silo")&gt;0,"EP-2 Cement Silo Stack:","")</f>
        <v/>
      </c>
      <c r="C28" s="221"/>
      <c r="D28" s="221"/>
      <c r="E28" s="221"/>
      <c r="F28" s="221"/>
      <c r="G28" s="45"/>
      <c r="H28" s="126" t="str">
        <f t="shared" si="4"/>
        <v/>
      </c>
      <c r="I28" s="126" t="str">
        <f t="shared" si="0"/>
        <v/>
      </c>
      <c r="J28" s="82"/>
      <c r="K28" s="61"/>
      <c r="L28" s="156"/>
      <c r="M28" s="219" t="str">
        <f t="shared" si="5"/>
        <v/>
      </c>
      <c r="N28" s="219" t="str">
        <f t="shared" si="6"/>
        <v/>
      </c>
      <c r="P28" s="90" t="s">
        <v>197</v>
      </c>
      <c r="Q28" s="105">
        <f t="shared" ca="1" si="1"/>
        <v>0</v>
      </c>
      <c r="R28" s="111">
        <f ca="1">IF(Q28=0,0,LOOKUP(P28,'Emission Factors'!$A$5:$A$16,'Emission Factors'!$D$5:$D$16))</f>
        <v>0</v>
      </c>
      <c r="S28" s="105">
        <f t="shared" ca="1" si="2"/>
        <v>0</v>
      </c>
      <c r="T28" s="105" t="str">
        <f ca="1">IF(Q28=0,"",IF($I$10&gt;0,$I$10,IF(COUNTIF($F$24:$F$169,"no")&gt;0,"",S28*(1-0.95))))</f>
        <v/>
      </c>
      <c r="U28" s="105">
        <f ca="1">IF($J$10&gt;0,"",IF($D$9&gt;0,$D$9*R28*((100-$W$30)/100)/2000,IF($D$10&gt;0,$D$10*365*R28*((100-$W$30)/100)/2000,IF($D$11&gt;0,$D$11*365*R28*((100-$W$30)/100)*Q28/2000,IF(T28="",S28*8760/2000,T28*8760/2000)))))</f>
        <v>0</v>
      </c>
      <c r="V28" s="113">
        <f ca="1">(R28*N181)</f>
        <v>0</v>
      </c>
    </row>
    <row r="29" spans="1:23" ht="14.25" customHeight="1" x14ac:dyDescent="0.25">
      <c r="A29" s="138" t="s">
        <v>196</v>
      </c>
      <c r="B29" s="45" t="str">
        <f>IF(COUNTIF(J21:J30,"Cement Supplement Delivery to Silo")&gt;0,"EP-3 Cement Supplement Silo Stack:","")</f>
        <v/>
      </c>
      <c r="C29" s="221"/>
      <c r="D29" s="221"/>
      <c r="E29" s="221"/>
      <c r="F29" s="221"/>
      <c r="G29" s="45"/>
      <c r="H29" s="126" t="str">
        <f t="shared" si="4"/>
        <v/>
      </c>
      <c r="I29" s="126" t="str">
        <f t="shared" si="0"/>
        <v/>
      </c>
      <c r="J29" s="82"/>
      <c r="K29" s="61"/>
      <c r="L29" s="156"/>
      <c r="M29" s="219" t="str">
        <f t="shared" si="5"/>
        <v/>
      </c>
      <c r="N29" s="219" t="str">
        <f t="shared" si="6"/>
        <v/>
      </c>
      <c r="P29" s="90" t="s">
        <v>198</v>
      </c>
      <c r="Q29" s="105">
        <f t="shared" ca="1" si="1"/>
        <v>0</v>
      </c>
      <c r="R29" s="111">
        <f ca="1">IF(Q29=0,0,LOOKUP(P29,'Emission Factors'!$A$5:$A$16,'Emission Factors'!$D$5:$D$16))</f>
        <v>0</v>
      </c>
      <c r="S29" s="105">
        <f t="shared" ca="1" si="2"/>
        <v>0</v>
      </c>
      <c r="T29" s="105" t="str">
        <f ca="1">IF(Q29=0,"",IF($I$10&gt;0,$I$10,IF(COUNTIF($F$24:$F$169,"no")&gt;0,"",S29*(1-0.95))))</f>
        <v/>
      </c>
      <c r="U29" s="105">
        <f ca="1">IF($J$10&gt;0,"",IF($D$9&gt;0,$D$9*R29*((100-$W$30)/100)/2000,IF($D$10&gt;0,$D$10*365*R29*((100-$W$30)/100)/2000,IF($D$11&gt;0,$D$11*365*R29*((100-$W$30)/100)*Q29/2000,IF(T29="",S29*8760/2000,T29*8760/2000)))))</f>
        <v>0</v>
      </c>
      <c r="V29" s="113">
        <f ca="1">(R29*M181)</f>
        <v>0</v>
      </c>
    </row>
    <row r="30" spans="1:23" ht="14.25" customHeight="1" x14ac:dyDescent="0.25">
      <c r="A30" s="138" t="s">
        <v>203</v>
      </c>
      <c r="B30" s="45" t="str">
        <f>IF(COUNTIF(J21:J30,"Weigh Hopper Loading")&gt;0,"EP-4 Weigh Hopper Loading Stack:","")</f>
        <v/>
      </c>
      <c r="C30" s="221"/>
      <c r="D30" s="221"/>
      <c r="E30" s="221"/>
      <c r="F30" s="221"/>
      <c r="H30" s="126" t="str">
        <f t="shared" si="4"/>
        <v/>
      </c>
      <c r="I30" s="126" t="str">
        <f t="shared" si="0"/>
        <v/>
      </c>
      <c r="J30" s="82"/>
      <c r="K30" s="61"/>
      <c r="L30" s="156"/>
      <c r="M30" s="219" t="str">
        <f t="shared" si="5"/>
        <v/>
      </c>
      <c r="N30" s="219" t="str">
        <f t="shared" si="6"/>
        <v/>
      </c>
      <c r="P30" s="90" t="s">
        <v>199</v>
      </c>
      <c r="Q30" s="105">
        <f t="shared" ca="1" si="1"/>
        <v>0</v>
      </c>
      <c r="R30" s="111">
        <f ca="1">IF(Q30=0,0,LOOKUP(P30,'Emission Factors'!$A$5:$A$16,'Emission Factors'!$D$5:$D$16))</f>
        <v>0</v>
      </c>
      <c r="S30" s="148"/>
      <c r="T30" s="105">
        <f ca="1">IF(Q30=0,0,IF($I$10&gt;0,$I$10,Q30*R30))</f>
        <v>0</v>
      </c>
      <c r="U30" s="105">
        <f ca="1">IF($J$10&gt;0,"",IF($D$9&gt;0,$D$9*R30/2000,IF($D$10&gt;0,$D$10*365*R30/2000,IF($D$11&gt;0,$D$11*365*R30*Q30/2000,IF($I$10&gt;0,0,T30*8760/2000)))))</f>
        <v>0</v>
      </c>
      <c r="V30" s="113">
        <f ca="1">(R13*R30/2000)</f>
        <v>0</v>
      </c>
      <c r="W30" s="67">
        <f>IF(COUNTIF($F$24:$F$169,"no")&gt;0,0,95)</f>
        <v>95</v>
      </c>
    </row>
    <row r="31" spans="1:23" ht="14.25" customHeight="1" x14ac:dyDescent="0.25">
      <c r="A31" s="138" t="s">
        <v>197</v>
      </c>
      <c r="B31" s="45" t="str">
        <f>IF(COUNTIF(J21:J30,"Truck Mix Loading")&gt;0,"EP-5 Truck Mix Loading Stack:","")</f>
        <v/>
      </c>
      <c r="C31" s="221"/>
      <c r="D31" s="221"/>
      <c r="E31" s="221"/>
      <c r="F31" s="221"/>
      <c r="G31" s="76"/>
      <c r="H31" s="45"/>
      <c r="I31" s="45"/>
      <c r="P31" s="90" t="s">
        <v>200</v>
      </c>
      <c r="Q31" s="105">
        <f t="shared" ca="1" si="1"/>
        <v>0</v>
      </c>
      <c r="R31" s="111">
        <f ca="1">IF(Q31=0,0,LOOKUP(P31,'Emission Factors'!$A$5:$A$16,'Emission Factors'!$D$5:$D$16))</f>
        <v>0</v>
      </c>
      <c r="S31" s="148"/>
      <c r="T31" s="105">
        <f ca="1">IF(Q31=0,0,IF($I$10&gt;0,$I$10,Q31*R31))</f>
        <v>0</v>
      </c>
      <c r="U31" s="105">
        <f ca="1">IF($J$10&gt;0,"",IF($D$9&gt;0,$D$9*R31/2000,IF($D$10&gt;0,$D$10*365*R31/2000,IF($D$11&gt;0,$D$11*365*R31*Q31/2000,IF($I$10&gt;0,0,T31*8760/2000)))))</f>
        <v>0</v>
      </c>
      <c r="V31" s="113">
        <f ca="1">(R14*R31/2000)</f>
        <v>0</v>
      </c>
    </row>
    <row r="32" spans="1:23" ht="14.25" customHeight="1" x14ac:dyDescent="0.25">
      <c r="A32" s="138" t="s">
        <v>198</v>
      </c>
      <c r="B32" s="45" t="str">
        <f>IF(COUNTIF(J21:J30,"Central Mix Loading")&gt;0,"EP-6 Central Mix Loading Stack:","")</f>
        <v/>
      </c>
      <c r="C32" s="221"/>
      <c r="D32" s="221"/>
      <c r="E32" s="221"/>
      <c r="F32" s="221"/>
      <c r="H32" s="74" t="s">
        <v>85</v>
      </c>
      <c r="I32" s="74"/>
      <c r="J32" s="75"/>
    </row>
    <row r="33" spans="1:23" ht="14.25" customHeight="1" x14ac:dyDescent="0.25">
      <c r="A33" s="138" t="s">
        <v>199</v>
      </c>
      <c r="B33" s="73"/>
      <c r="C33" s="163"/>
      <c r="D33" s="163"/>
      <c r="E33" s="163"/>
      <c r="F33" s="176"/>
      <c r="I33" s="77" t="s">
        <v>61</v>
      </c>
      <c r="J33" s="43" t="s">
        <v>86</v>
      </c>
      <c r="K33" s="142" t="s">
        <v>87</v>
      </c>
      <c r="L33" s="43" t="s">
        <v>88</v>
      </c>
      <c r="M33" s="146"/>
      <c r="N33" s="146"/>
    </row>
    <row r="34" spans="1:23" ht="14.25" customHeight="1" x14ac:dyDescent="0.25">
      <c r="A34" s="138" t="s">
        <v>200</v>
      </c>
      <c r="B34" s="73"/>
      <c r="C34" s="163"/>
      <c r="D34" s="163"/>
      <c r="E34" s="163"/>
      <c r="F34" s="176"/>
      <c r="I34" s="63"/>
      <c r="J34" s="144"/>
      <c r="K34" s="64"/>
      <c r="L34" s="144"/>
      <c r="M34" s="146"/>
      <c r="N34" s="146"/>
      <c r="P34" s="89" t="s">
        <v>17</v>
      </c>
      <c r="Q34" s="107"/>
      <c r="R34" s="112"/>
      <c r="S34" s="108"/>
      <c r="T34" s="108"/>
      <c r="U34" s="108"/>
      <c r="V34" s="114"/>
    </row>
    <row r="35" spans="1:23" ht="14.25" customHeight="1" x14ac:dyDescent="0.2">
      <c r="B35" s="73"/>
      <c r="C35" s="163"/>
      <c r="D35" s="163"/>
      <c r="E35" s="163"/>
      <c r="F35" s="176"/>
      <c r="P35" s="90" t="s">
        <v>191</v>
      </c>
      <c r="Q35" s="105">
        <f t="shared" ref="Q35:Q45" ca="1" si="9">Q4</f>
        <v>0</v>
      </c>
      <c r="R35" s="111">
        <f ca="1">IF(Q35=0,0,LOOKUP(P35,'Emission Factors'!$A$5:$A$16,'Emission Factors'!$H$5:$H$16))</f>
        <v>0</v>
      </c>
      <c r="S35" s="105">
        <f t="shared" ref="S35:S37" ca="1" si="10">Q35*R35</f>
        <v>0</v>
      </c>
      <c r="T35" s="105" t="str">
        <f ca="1">IF(Q35=0,"",IF($I$11&gt;0,$I$11,""))</f>
        <v/>
      </c>
      <c r="U35" s="105">
        <f ca="1">IF($J$11&gt;0,$J$11,IF($D$9&gt;0,$D$9*R35/2000,IF($D$10&gt;0,$D$10*365*R35/2000,IF($D$11&gt;0,$D$11*365*R35*Q35/2000,IF(T35="",S35*8760/2000,T35*8760/2000)))))</f>
        <v>0</v>
      </c>
      <c r="V35" s="113">
        <f t="shared" ref="V35:V41" ca="1" si="11">(R4*R35/2000)</f>
        <v>0</v>
      </c>
    </row>
    <row r="36" spans="1:23" ht="9" customHeight="1" x14ac:dyDescent="0.2">
      <c r="B36" s="45"/>
      <c r="F36" s="177"/>
      <c r="G36" s="45"/>
      <c r="P36" s="90" t="s">
        <v>192</v>
      </c>
      <c r="Q36" s="105">
        <f t="shared" ca="1" si="9"/>
        <v>0</v>
      </c>
      <c r="R36" s="111">
        <f ca="1">IF(Q36=0,0,LOOKUP(P36,'Emission Factors'!$A$5:$A$16,'Emission Factors'!$H$5:$H$16))</f>
        <v>0</v>
      </c>
      <c r="S36" s="109">
        <f t="shared" ca="1" si="10"/>
        <v>0</v>
      </c>
      <c r="T36" s="105" t="str">
        <f t="shared" ref="T36:T37" ca="1" si="12">IF(Q36=0,"",IF($I$11&gt;0,$I$11,""))</f>
        <v/>
      </c>
      <c r="U36" s="105">
        <f t="shared" ref="U36:U37" ca="1" si="13">IF($J$11&gt;0,"",IF($D$9&gt;0,$D$9*R36/2000,IF($D$10&gt;0,$D$10*365*R36/2000,IF($D$11&gt;0,$D$11*365*R36*Q36/2000,IF(T36="",S36*8760/2000,T36*8760/2000)))))</f>
        <v>0</v>
      </c>
      <c r="V36" s="113">
        <f t="shared" ca="1" si="11"/>
        <v>0</v>
      </c>
    </row>
    <row r="37" spans="1:23" ht="28.5" customHeight="1" x14ac:dyDescent="0.25">
      <c r="B37" s="78" t="str">
        <f>IF('Concrete Plant (CP-3)'!$D$4&gt;1,"Batch Plant","")</f>
        <v/>
      </c>
      <c r="C37" s="71" t="str">
        <f>IF('Concrete Plant (CP-3)'!$D$4&gt;1,"Site 2","")</f>
        <v/>
      </c>
      <c r="D37" s="71"/>
      <c r="E37" s="71"/>
      <c r="F37" s="71"/>
      <c r="G37" s="45"/>
      <c r="H37" s="310" t="str">
        <f>IF('Concrete Plant (CP-3)'!$D$4&gt;1,"Emission Point #","")</f>
        <v/>
      </c>
      <c r="I37" s="310" t="str">
        <f>IF('Concrete Plant (CP-3)'!$D$4&gt;1,"Emission     Unit #","")</f>
        <v/>
      </c>
      <c r="J37" s="310" t="str">
        <f>IF('Concrete Plant (CP-3)'!$D$4&gt;1,"Processes","")</f>
        <v/>
      </c>
      <c r="K37" s="311" t="str">
        <f>IF('Concrete Plant (CP-3)'!$D$4&gt;1,"Combined Maximum Hourly Design Rate for all Like Processes (cubic yard/hr)","")</f>
        <v/>
      </c>
      <c r="L37" s="310" t="str">
        <f>IF('Concrete Plant (CP-3)'!$D$4&gt;1,('Facility Information'!G5&amp;" Annual Throughput (cubic yards)"),"")</f>
        <v/>
      </c>
      <c r="M37" s="217"/>
      <c r="N37" s="217"/>
      <c r="P37" s="90" t="s">
        <v>193</v>
      </c>
      <c r="Q37" s="105">
        <f t="shared" ca="1" si="9"/>
        <v>0</v>
      </c>
      <c r="R37" s="111">
        <f ca="1">IF(Q37=0,0,LOOKUP(P37,'Emission Factors'!$A$5:$A$16,'Emission Factors'!$H$5:$H$16))</f>
        <v>0</v>
      </c>
      <c r="S37" s="105">
        <f t="shared" ca="1" si="10"/>
        <v>0</v>
      </c>
      <c r="T37" s="105" t="str">
        <f t="shared" ca="1" si="12"/>
        <v/>
      </c>
      <c r="U37" s="105">
        <f t="shared" ca="1" si="13"/>
        <v>0</v>
      </c>
      <c r="V37" s="113">
        <f t="shared" ca="1" si="11"/>
        <v>0</v>
      </c>
    </row>
    <row r="38" spans="1:23" ht="14.25" customHeight="1" x14ac:dyDescent="0.2">
      <c r="B38" s="79" t="str">
        <f>IF('Concrete Plant (CP-3)'!$D$4&gt;1,"Site Name:","")</f>
        <v/>
      </c>
      <c r="C38" s="339"/>
      <c r="D38" s="342"/>
      <c r="E38" s="343"/>
      <c r="F38" s="175"/>
      <c r="G38" s="45"/>
      <c r="H38" s="127" t="str">
        <f>IF(J38="cement delivery to silo","CP-1 EP-2",IF(J38="cement supplement delivery to silo","CP-1 EP-3",IF(J38="weigh hopper loading","CP-1 EP-4",IF(J38="truck mix loading","CP-1 EP-5",IF(J38="central mix loading","CP-1 EP-6",IF(J38="","","CP-1 EP-1"))))))</f>
        <v/>
      </c>
      <c r="I38" s="127" t="str">
        <f t="shared" ref="I38:I47" si="14">IF(J38="","",IF(J38="aggregate delivery to ground storage","CP-3 EU-1",IF(J38="sand delivery to ground storage","CP-3 EU-2",IF(J38="aggregate transfer to conveyor","CP-3 EU-3",IF(J38="sand transfer to conveyor","CP-3 EU-4",IF(J38="aggregate transfer to elevated storage","CP-3 EU-5",IF(J38="sand transfer to elevated storage","CP-3 EU-6",IF(J38="weigh hopper loading","CP-3 EU-7",IF(J38="central mix loading","CP-3 EU-8",IF(J38="truck mix loading","CP-3 EU-9",IF(J38="cement delivery to silo","CP-3 EU-10",IF(J38="cement supplement delivery to silo","CP-3 EU-11"))))))))))))</f>
        <v/>
      </c>
      <c r="J38" s="82"/>
      <c r="K38" s="61"/>
      <c r="L38" s="156"/>
      <c r="M38" s="219" t="str">
        <f>IF(J38="truck mix loading",IF($F$41="yes",L38*0.05/2000,L38/2000),"")</f>
        <v/>
      </c>
      <c r="N38" s="219" t="str">
        <f>IF(J38="central mix loading",IF($F$41="yes",L38*0.05/2000,L38/2000),"")</f>
        <v/>
      </c>
      <c r="P38" s="90" t="s">
        <v>194</v>
      </c>
      <c r="Q38" s="105">
        <f t="shared" ca="1" si="9"/>
        <v>0</v>
      </c>
      <c r="R38" s="111">
        <f ca="1">IF(Q38=0,0,LOOKUP(P38,'Emission Factors'!$A$5:$A$16,'Emission Factors'!$H$5:$H$16))</f>
        <v>0</v>
      </c>
      <c r="S38" s="105">
        <f t="shared" ref="S38:S43" ca="1" si="15">Q38*R38</f>
        <v>0</v>
      </c>
      <c r="T38" s="105" t="str">
        <f ca="1">IF(Q38=0,"",IF($I$11&gt;0,$I$11,""))</f>
        <v/>
      </c>
      <c r="U38" s="105">
        <f ca="1">IF($J$11&gt;0,"",IF($D$9&gt;0,$D$9*R38/2000,IF($D$10&gt;0,$D$10*365*R38/2000,IF($D$11&gt;0,$D$11*365*R38*Q38/2000,IF(T38="",S38*8760/2000,T38*8760/2000)))))</f>
        <v>0</v>
      </c>
      <c r="V38" s="113">
        <f t="shared" ca="1" si="11"/>
        <v>0</v>
      </c>
    </row>
    <row r="39" spans="1:23" ht="14.25" customHeight="1" x14ac:dyDescent="0.2">
      <c r="B39" s="79" t="str">
        <f>IF('Concrete Plant (CP-3)'!$D$4&gt;1,"County:","")</f>
        <v/>
      </c>
      <c r="C39" s="339"/>
      <c r="D39" s="342"/>
      <c r="E39" s="343"/>
      <c r="F39" s="175"/>
      <c r="G39" s="45"/>
      <c r="H39" s="127" t="str">
        <f t="shared" ref="H39:H47" si="16">IF(J39="cement delivery to silo","CP-1 EP-2",IF(J39="cement supplement delivery to silo","CP-1 EP-3",IF(J39="weigh hopper loading","CP-1 EP-4",IF(J39="truck mix loading","CP-1 EP-5",IF(J39="central mix loading","CP-1 EP-6",IF(J39="","","CP-1 EP-1"))))))</f>
        <v/>
      </c>
      <c r="I39" s="127" t="str">
        <f t="shared" si="14"/>
        <v/>
      </c>
      <c r="J39" s="82"/>
      <c r="K39" s="61"/>
      <c r="L39" s="156"/>
      <c r="M39" s="219" t="str">
        <f t="shared" ref="M39:M47" si="17">IF(J39="truck mix loading",IF($F$41="yes",L39*0.05/2000,L39/2000),"")</f>
        <v/>
      </c>
      <c r="N39" s="219" t="str">
        <f t="shared" ref="N39:N47" si="18">IF(J39="central mix loading",IF($F$41="yes",L39*0.05/2000,L39/2000),"")</f>
        <v/>
      </c>
      <c r="P39" s="90" t="s">
        <v>195</v>
      </c>
      <c r="Q39" s="105">
        <f t="shared" ca="1" si="9"/>
        <v>0</v>
      </c>
      <c r="R39" s="111">
        <f ca="1">IF(Q39=0,0,LOOKUP(P39,'Emission Factors'!$A$5:$A$16,'Emission Factors'!$H$5:$H$16))</f>
        <v>0</v>
      </c>
      <c r="S39" s="105">
        <f t="shared" ca="1" si="15"/>
        <v>0</v>
      </c>
      <c r="T39" s="105" t="str">
        <f ca="1">IF(Q39=0,"",IF($I$11&gt;0,$I$11,""))</f>
        <v/>
      </c>
      <c r="U39" s="105">
        <f ca="1">IF($J$11&gt;0,"",IF($D$9&gt;0,$D$9*R39/2000,IF($D$10&gt;0,$D$10*365*R39/2000,IF($D$11&gt;0,$D$11*365*R39*Q39/2000,IF(T39="",S39*8760/2000,T39*8760/2000)))))</f>
        <v>0</v>
      </c>
      <c r="V39" s="113">
        <f t="shared" ca="1" si="11"/>
        <v>0</v>
      </c>
    </row>
    <row r="40" spans="1:23" ht="14.25" customHeight="1" x14ac:dyDescent="0.2">
      <c r="B40" s="79" t="str">
        <f>IF('Concrete Plant (CP-3)'!$D$4&gt;1,"Batching Period (Dates):","")</f>
        <v/>
      </c>
      <c r="C40" s="339"/>
      <c r="D40" s="342"/>
      <c r="E40" s="343"/>
      <c r="F40" s="175"/>
      <c r="G40" s="45"/>
      <c r="H40" s="127" t="str">
        <f t="shared" si="16"/>
        <v/>
      </c>
      <c r="I40" s="127" t="str">
        <f t="shared" si="14"/>
        <v/>
      </c>
      <c r="J40" s="82"/>
      <c r="K40" s="61"/>
      <c r="L40" s="156"/>
      <c r="M40" s="219" t="str">
        <f t="shared" si="17"/>
        <v/>
      </c>
      <c r="N40" s="219" t="str">
        <f t="shared" si="18"/>
        <v/>
      </c>
      <c r="P40" s="90" t="s">
        <v>196</v>
      </c>
      <c r="Q40" s="105">
        <f t="shared" ca="1" si="9"/>
        <v>0</v>
      </c>
      <c r="R40" s="111">
        <f ca="1">IF(Q40=0,0,LOOKUP(P40,'Emission Factors'!$A$5:$A$16,'Emission Factors'!$H$5:$H$16))</f>
        <v>0</v>
      </c>
      <c r="S40" s="105">
        <f t="shared" ca="1" si="15"/>
        <v>0</v>
      </c>
      <c r="T40" s="105" t="str">
        <f ca="1">IF(Q40=0,"",IF($I$11&gt;0,$I$11,""))</f>
        <v/>
      </c>
      <c r="U40" s="105">
        <f ca="1">IF($J$11&gt;0,"",IF($D$9&gt;0,$D$9*R40/2000,IF($D$10&gt;0,$D$10*365*R40/2000,IF($D$11&gt;0,$D$11*365*R40*Q40/2000,IF(T40="",S40*8760/2000,T40*8760/2000)))))</f>
        <v>0</v>
      </c>
      <c r="V40" s="113">
        <f t="shared" ca="1" si="11"/>
        <v>0</v>
      </c>
    </row>
    <row r="41" spans="1:23" ht="14.25" customHeight="1" x14ac:dyDescent="0.2">
      <c r="B41" s="51" t="str">
        <f>IF(OR(COUNTIF(J38:J47,"Truck Mix Loading")&gt;0,(COUNTIF(J38:J47,"Central Mix Loading")&gt;0)),"Is the Central/Truck Mix Loading process controlled by a baghouse?","")</f>
        <v/>
      </c>
      <c r="C41" s="51"/>
      <c r="D41" s="51"/>
      <c r="E41" s="51"/>
      <c r="F41" s="221"/>
      <c r="G41" s="45"/>
      <c r="H41" s="127" t="str">
        <f t="shared" si="16"/>
        <v/>
      </c>
      <c r="I41" s="127" t="str">
        <f t="shared" si="14"/>
        <v/>
      </c>
      <c r="J41" s="82"/>
      <c r="K41" s="61"/>
      <c r="L41" s="156"/>
      <c r="M41" s="219" t="str">
        <f t="shared" si="17"/>
        <v/>
      </c>
      <c r="N41" s="219" t="str">
        <f t="shared" si="18"/>
        <v/>
      </c>
      <c r="P41" s="90" t="s">
        <v>203</v>
      </c>
      <c r="Q41" s="105">
        <f t="shared" ca="1" si="9"/>
        <v>0</v>
      </c>
      <c r="R41" s="111">
        <f ca="1">IF(Q41=0,0,LOOKUP(P41,'Emission Factors'!$A$5:$A$16,'Emission Factors'!$H$5:$H$16))</f>
        <v>0</v>
      </c>
      <c r="S41" s="105">
        <f t="shared" ca="1" si="15"/>
        <v>0</v>
      </c>
      <c r="T41" s="105" t="str">
        <f ca="1">IF(Q41=0,"",IF($I$11&gt;0,$I$11,""))</f>
        <v/>
      </c>
      <c r="U41" s="105">
        <f ca="1">IF($J$11&gt;0,"",IF($D$9&gt;0,$D$9*R41/2000,IF($D$10&gt;0,$D$10*365*R41/2000,IF($D$11&gt;0,$D$11*365*R41*Q41/2000,IF(T41="",S41*8760/2000,T41*8760/2000)))))</f>
        <v>0</v>
      </c>
      <c r="V41" s="113">
        <f t="shared" ca="1" si="11"/>
        <v>0</v>
      </c>
      <c r="W41" s="67">
        <f>IF(COUNTIF($F$24:$F$169,"no")&gt;0,0,95)</f>
        <v>95</v>
      </c>
    </row>
    <row r="42" spans="1:23" ht="14.25" customHeight="1" x14ac:dyDescent="0.2">
      <c r="F42" s="177"/>
      <c r="G42" s="45"/>
      <c r="H42" s="127" t="str">
        <f t="shared" si="16"/>
        <v/>
      </c>
      <c r="I42" s="127" t="str">
        <f t="shared" si="14"/>
        <v/>
      </c>
      <c r="J42" s="82"/>
      <c r="K42" s="61"/>
      <c r="L42" s="156"/>
      <c r="M42" s="219" t="str">
        <f t="shared" si="17"/>
        <v/>
      </c>
      <c r="N42" s="219" t="str">
        <f t="shared" si="18"/>
        <v/>
      </c>
      <c r="P42" s="90" t="s">
        <v>197</v>
      </c>
      <c r="Q42" s="105">
        <f t="shared" ca="1" si="9"/>
        <v>0</v>
      </c>
      <c r="R42" s="111">
        <f ca="1">IF(Q42=0,0,LOOKUP(P42,'Emission Factors'!$A$5:$A$16,'Emission Factors'!$H$5:$H$16))</f>
        <v>0</v>
      </c>
      <c r="S42" s="105">
        <f t="shared" ca="1" si="15"/>
        <v>0</v>
      </c>
      <c r="T42" s="105" t="str">
        <f ca="1">IF(Q42=0,"",IF($I$11&gt;0,$I$11,IF(COUNTIF($F$24:$F$169,"no")&gt;0,"",S42*(1-0.95))))</f>
        <v/>
      </c>
      <c r="U42" s="105">
        <f ca="1">IF($J$11&gt;0,"",IF($D$9&gt;0,$D$9*R42*((100-$W$30)/100)/2000,IF($D$10&gt;0,$D$10*365*R42*((100-$W$30)/100)/2000,IF($D$11&gt;0,$D$11*365*R42*((100-$W$30)/100)*Q42/2000,IF(T42="",S42*8760/2000,T42*8760/2000)))))</f>
        <v>0</v>
      </c>
      <c r="V42" s="113">
        <f ca="1">(N181*R42)</f>
        <v>0</v>
      </c>
    </row>
    <row r="43" spans="1:23" ht="28.5" customHeight="1" x14ac:dyDescent="0.2">
      <c r="B43" s="312" t="str">
        <f>IF(AND(B45="",B46="",B47="",B48="",B49=""),"","Process (complete stack information if applicable):")</f>
        <v/>
      </c>
      <c r="C43" s="312" t="str">
        <f>IF(AND(B45="",B46="",B47="",B48="",B49=""),"","Stack Height (ft):")</f>
        <v/>
      </c>
      <c r="D43" s="312" t="str">
        <f>IF(AND(B45="",B46="",B47="",B48="",B49=""),"","Stack Diameter (inches):")</f>
        <v/>
      </c>
      <c r="E43" s="312" t="str">
        <f>IF(AND(B45="",B46="",B47="",B48="",B49=""),"","Flow Rate (acfm):")</f>
        <v/>
      </c>
      <c r="F43" s="312" t="str">
        <f>IF(AND(B45="",B46="",B47="",B48="",B49=""),"","Temp (Deg F):")</f>
        <v/>
      </c>
      <c r="G43" s="45"/>
      <c r="H43" s="127" t="str">
        <f t="shared" si="16"/>
        <v/>
      </c>
      <c r="I43" s="127" t="str">
        <f t="shared" si="14"/>
        <v/>
      </c>
      <c r="J43" s="82"/>
      <c r="K43" s="61"/>
      <c r="L43" s="156"/>
      <c r="M43" s="219" t="str">
        <f t="shared" si="17"/>
        <v/>
      </c>
      <c r="N43" s="219" t="str">
        <f t="shared" si="18"/>
        <v/>
      </c>
      <c r="P43" s="90" t="s">
        <v>198</v>
      </c>
      <c r="Q43" s="105">
        <f t="shared" ca="1" si="9"/>
        <v>0</v>
      </c>
      <c r="R43" s="111">
        <f ca="1">IF(Q43=0,0,LOOKUP(P43,'Emission Factors'!$A$5:$A$16,'Emission Factors'!$H$5:$H$16))</f>
        <v>0</v>
      </c>
      <c r="S43" s="105">
        <f t="shared" ca="1" si="15"/>
        <v>0</v>
      </c>
      <c r="T43" s="105" t="str">
        <f ca="1">IF(Q43=0,"",IF($I$11&gt;0,$I$11,IF(COUNTIF($F$24:$F$169,"no")&gt;0,"",S43*(1-0.95))))</f>
        <v/>
      </c>
      <c r="U43" s="105">
        <f ca="1">IF($J$11&gt;0,"",IF($D$9&gt;0,$D$9*R43*((100-$W$30)/100)/2000,IF($D$10&gt;0,$D$10*365*R43*((100-$W$30)/100)/2000,IF($D$11&gt;0,$D$11*365*R43*((100-$W$30)/100)*Q43/2000,IF(T43="",S43*8760/2000,T43*8760/2000)))))</f>
        <v>0</v>
      </c>
      <c r="V43" s="113">
        <f ca="1">(M181*R43)</f>
        <v>0</v>
      </c>
    </row>
    <row r="44" spans="1:23" ht="14.25" customHeight="1" x14ac:dyDescent="0.2">
      <c r="B44" s="312"/>
      <c r="C44" s="312"/>
      <c r="D44" s="312"/>
      <c r="E44" s="312"/>
      <c r="F44" s="312"/>
      <c r="G44" s="45"/>
      <c r="H44" s="127" t="str">
        <f t="shared" si="16"/>
        <v/>
      </c>
      <c r="I44" s="127" t="str">
        <f t="shared" si="14"/>
        <v/>
      </c>
      <c r="J44" s="82"/>
      <c r="K44" s="61"/>
      <c r="L44" s="156"/>
      <c r="M44" s="219" t="str">
        <f t="shared" si="17"/>
        <v/>
      </c>
      <c r="N44" s="219" t="str">
        <f t="shared" si="18"/>
        <v/>
      </c>
      <c r="P44" s="90" t="s">
        <v>199</v>
      </c>
      <c r="Q44" s="105">
        <f t="shared" ca="1" si="9"/>
        <v>0</v>
      </c>
      <c r="R44" s="111">
        <f ca="1">IF(Q44=0,0,LOOKUP(P44,'Emission Factors'!$A$5:$A$16,'Emission Factors'!$H$5:$H$16))</f>
        <v>0</v>
      </c>
      <c r="S44" s="148"/>
      <c r="T44" s="105">
        <f ca="1">IF(Q44=0,0,IF($I$10&gt;0,$I$10,Q44*R44))</f>
        <v>0</v>
      </c>
      <c r="U44" s="105">
        <f ca="1">IF($J$11&gt;0,"",IF($D$9&gt;0,$D$9*R44/2000,IF($D$10&gt;0,$D$10*365*R44/2000,IF($D$11&gt;0,$D$11*365*R44*Q44/2000,IF($I$11&gt;0,0,T44*8760/2000)))))</f>
        <v>0</v>
      </c>
      <c r="V44" s="113">
        <f ca="1">(R13*R44/2000)</f>
        <v>0</v>
      </c>
    </row>
    <row r="45" spans="1:23" ht="14.25" customHeight="1" x14ac:dyDescent="0.2">
      <c r="B45" s="45" t="str">
        <f>IF(COUNTIF(J38:J47,"Cement Delivery to Silo")&gt;0,"EP-2 Cement Silo Stack:","")</f>
        <v/>
      </c>
      <c r="C45" s="221"/>
      <c r="D45" s="221"/>
      <c r="E45" s="221"/>
      <c r="F45" s="221"/>
      <c r="H45" s="127" t="str">
        <f t="shared" si="16"/>
        <v/>
      </c>
      <c r="I45" s="127" t="str">
        <f t="shared" si="14"/>
        <v/>
      </c>
      <c r="J45" s="82"/>
      <c r="K45" s="61"/>
      <c r="L45" s="156"/>
      <c r="M45" s="219" t="str">
        <f t="shared" si="17"/>
        <v/>
      </c>
      <c r="N45" s="219" t="str">
        <f t="shared" si="18"/>
        <v/>
      </c>
      <c r="P45" s="90" t="s">
        <v>200</v>
      </c>
      <c r="Q45" s="105">
        <f t="shared" ca="1" si="9"/>
        <v>0</v>
      </c>
      <c r="R45" s="111">
        <f ca="1">IF(Q45=0,0,LOOKUP(P45,'Emission Factors'!$A$5:$A$16,'Emission Factors'!$H$5:$H$16))</f>
        <v>0</v>
      </c>
      <c r="S45" s="148"/>
      <c r="T45" s="105">
        <f ca="1">IF(Q45=0,0,IF($I$10&gt;0,$I$10,Q45*R45))</f>
        <v>0</v>
      </c>
      <c r="U45" s="105">
        <f ca="1">IF($J$11&gt;0,"",IF($D$9&gt;0,$D$9*R45/2000,IF($D$10&gt;0,$D$10*365*R45/2000,IF($D$11&gt;0,$D$11*365*R45*Q45/2000,IF($I$11&gt;0,0,T45*8760/2000)))))</f>
        <v>0</v>
      </c>
      <c r="V45" s="113">
        <f ca="1">(R14*R45/2000)</f>
        <v>0</v>
      </c>
    </row>
    <row r="46" spans="1:23" ht="14.25" customHeight="1" x14ac:dyDescent="0.2">
      <c r="B46" s="45" t="str">
        <f>IF(COUNTIF(J38:J47,"Cement Supplement Delivery to Silo")&gt;0,"EP-3 Cement Supplement Silo Stack:","")</f>
        <v/>
      </c>
      <c r="C46" s="221"/>
      <c r="D46" s="221"/>
      <c r="E46" s="221"/>
      <c r="F46" s="221"/>
      <c r="G46" s="76"/>
      <c r="H46" s="127" t="str">
        <f t="shared" si="16"/>
        <v/>
      </c>
      <c r="I46" s="127" t="str">
        <f t="shared" si="14"/>
        <v/>
      </c>
      <c r="J46" s="82"/>
      <c r="K46" s="61"/>
      <c r="L46" s="156"/>
      <c r="M46" s="219" t="str">
        <f t="shared" si="17"/>
        <v/>
      </c>
      <c r="N46" s="219" t="str">
        <f t="shared" si="18"/>
        <v/>
      </c>
      <c r="O46" s="76"/>
    </row>
    <row r="47" spans="1:23" ht="14.25" customHeight="1" x14ac:dyDescent="0.2">
      <c r="B47" s="45" t="str">
        <f>IF(COUNTIF(J38:J47,"Weigh Hopper Loading")&gt;0,"EP-4 Weigh Hopper Loading Stack:","")</f>
        <v/>
      </c>
      <c r="C47" s="221"/>
      <c r="D47" s="221"/>
      <c r="E47" s="221"/>
      <c r="F47" s="221"/>
      <c r="H47" s="127" t="str">
        <f t="shared" si="16"/>
        <v/>
      </c>
      <c r="I47" s="127" t="str">
        <f t="shared" si="14"/>
        <v/>
      </c>
      <c r="J47" s="82"/>
      <c r="K47" s="61"/>
      <c r="L47" s="156"/>
      <c r="M47" s="219" t="str">
        <f t="shared" si="17"/>
        <v/>
      </c>
      <c r="N47" s="219" t="str">
        <f t="shared" si="18"/>
        <v/>
      </c>
    </row>
    <row r="48" spans="1:23" ht="28.5" customHeight="1" x14ac:dyDescent="0.2">
      <c r="B48" s="45" t="str">
        <f>IF(COUNTIF(J38:J47,"Truck Mix Loading")&gt;0,"EP-5 Truck Mix Loading Stack:","")</f>
        <v/>
      </c>
      <c r="C48" s="221"/>
      <c r="D48" s="221"/>
      <c r="E48" s="221"/>
      <c r="F48" s="221"/>
      <c r="G48" s="146"/>
      <c r="H48" s="74" t="str">
        <f>IF('Concrete Plant (CP-3)'!$D$4&gt;1,"Stock Pile Area","")</f>
        <v/>
      </c>
      <c r="I48" s="74"/>
      <c r="J48" s="74"/>
      <c r="L48" s="76"/>
      <c r="P48" s="68" t="s">
        <v>40</v>
      </c>
      <c r="Q48" s="309" t="s">
        <v>151</v>
      </c>
      <c r="R48" s="309" t="s">
        <v>152</v>
      </c>
      <c r="S48" s="308" t="s">
        <v>147</v>
      </c>
      <c r="T48" s="308" t="s">
        <v>130</v>
      </c>
      <c r="U48" s="308" t="s">
        <v>14</v>
      </c>
      <c r="V48" s="308" t="s">
        <v>148</v>
      </c>
    </row>
    <row r="49" spans="2:22" ht="14.25" customHeight="1" x14ac:dyDescent="0.2">
      <c r="B49" s="45" t="str">
        <f>IF(COUNTIF(J38:J47,"Central Mix Loading")&gt;0,"EP-6 Central Mix Loading Stack:","")</f>
        <v/>
      </c>
      <c r="C49" s="221"/>
      <c r="D49" s="221"/>
      <c r="E49" s="221"/>
      <c r="F49" s="221"/>
      <c r="G49" s="71"/>
      <c r="I49" s="51" t="str">
        <f>IF('Concrete Plant (CP-3)'!$D$4&gt;1,"Emission Unit #","")</f>
        <v/>
      </c>
      <c r="J49" s="81" t="str">
        <f>IF('Concrete Plant (CP-3)'!$D$4&gt;1,"Maximum Storage Area (acres)","")</f>
        <v/>
      </c>
      <c r="K49" s="81" t="str">
        <f>IF('Concrete Plant (CP-3)'!$D$4&gt;1,"Actual Storage Area (acres)","")</f>
        <v/>
      </c>
      <c r="L49" s="81" t="str">
        <f>IF('Concrete Plant (CP-3)'!$D$4&gt;1,"Actual Days in Existence (days)","")</f>
        <v/>
      </c>
      <c r="M49" s="71"/>
      <c r="N49" s="71"/>
      <c r="P49" s="92" t="s">
        <v>153</v>
      </c>
      <c r="Q49" s="143">
        <f>Q17</f>
        <v>0</v>
      </c>
      <c r="R49" s="143">
        <v>3.64</v>
      </c>
      <c r="S49" s="143">
        <f>Q49*R49*(1/24)</f>
        <v>0</v>
      </c>
      <c r="T49" s="143"/>
      <c r="U49" s="143">
        <f>Q49*R49*365/2000</f>
        <v>0</v>
      </c>
      <c r="V49" s="143">
        <f>R17*R49/2000</f>
        <v>0</v>
      </c>
    </row>
    <row r="50" spans="2:22" ht="13.5" customHeight="1" x14ac:dyDescent="0.2">
      <c r="B50" s="73"/>
      <c r="C50" s="163"/>
      <c r="D50" s="163"/>
      <c r="E50" s="163"/>
      <c r="F50" s="176"/>
      <c r="I50" s="63"/>
      <c r="J50" s="144"/>
      <c r="K50" s="144"/>
      <c r="L50" s="144"/>
      <c r="M50" s="146"/>
      <c r="N50" s="146"/>
      <c r="Q50" s="68"/>
      <c r="R50" s="68"/>
      <c r="S50" s="68"/>
    </row>
    <row r="51" spans="2:22" ht="14.25" customHeight="1" x14ac:dyDescent="0.2">
      <c r="B51" s="73"/>
      <c r="C51" s="163"/>
      <c r="D51" s="163"/>
      <c r="E51" s="163"/>
      <c r="F51" s="176"/>
      <c r="I51" s="139"/>
      <c r="J51" s="125"/>
      <c r="K51" s="125"/>
      <c r="L51" s="125"/>
      <c r="M51" s="146"/>
      <c r="N51" s="146"/>
      <c r="Q51" s="68"/>
      <c r="R51" s="68"/>
      <c r="S51" s="68"/>
    </row>
    <row r="52" spans="2:22" ht="14.25" customHeight="1" x14ac:dyDescent="0.2">
      <c r="B52" s="73"/>
      <c r="C52" s="146"/>
      <c r="D52" s="146"/>
      <c r="E52" s="146"/>
      <c r="F52" s="146"/>
      <c r="G52" s="45"/>
      <c r="M52" s="146"/>
      <c r="N52" s="146"/>
    </row>
    <row r="53" spans="2:22" ht="29.25" customHeight="1" x14ac:dyDescent="0.25">
      <c r="B53" s="78" t="str">
        <f>IF('Concrete Plant (CP-3)'!$D$4&gt;2,"Batch Plant","")</f>
        <v/>
      </c>
      <c r="C53" s="71" t="str">
        <f>IF('Concrete Plant (CP-3)'!$D$4&gt;2,"Site 3","")</f>
        <v/>
      </c>
      <c r="D53" s="71"/>
      <c r="E53" s="71"/>
      <c r="F53" s="71"/>
      <c r="G53" s="45"/>
      <c r="H53" s="310" t="str">
        <f>IF('Concrete Plant (CP-3)'!$D$4&gt;2,"Emission Point #","")</f>
        <v/>
      </c>
      <c r="I53" s="310" t="str">
        <f>IF('Concrete Plant (CP-3)'!$D$4&gt;2,"Emission     Unit #","")</f>
        <v/>
      </c>
      <c r="J53" s="310" t="str">
        <f>IF('Concrete Plant (CP-3)'!$D$4&gt;2,"Processes","")</f>
        <v/>
      </c>
      <c r="K53" s="311" t="str">
        <f>IF('Concrete Plant (CP-3)'!$D$4&gt;2,"Combined Maximum Hourly Design Rate for all Like Processes (cubic yard/hr)","")</f>
        <v/>
      </c>
      <c r="L53" s="310" t="str">
        <f>IF('Concrete Plant (CP-3)'!$D$4&gt;2,('Facility Information'!G5&amp;" Annual Throughput (cubic yards)"),"")</f>
        <v/>
      </c>
      <c r="M53" s="217"/>
      <c r="N53" s="217"/>
      <c r="Q53" s="68"/>
      <c r="R53" s="68"/>
      <c r="S53" s="68"/>
    </row>
    <row r="54" spans="2:22" ht="14.25" customHeight="1" x14ac:dyDescent="0.2">
      <c r="B54" s="79" t="str">
        <f>IF('Concrete Plant (CP-3)'!$D$4&gt;2,"Site Name:","")</f>
        <v/>
      </c>
      <c r="C54" s="339"/>
      <c r="D54" s="342"/>
      <c r="E54" s="343"/>
      <c r="F54" s="175"/>
      <c r="G54" s="45"/>
      <c r="H54" s="127" t="str">
        <f>IF(J54="cement delivery to silo","CP-1 EP-2",IF(J54="cement supplement delivery to silo","CP-1 EP-3",IF(J54="weigh hopper loading","CP-1 EP-4",IF(J54="truck mix loading","CP-1 EP-5",IF(J54="central mix loading","CP-1 EP-6",IF(J54="","","CP-1 EP-1"))))))</f>
        <v/>
      </c>
      <c r="I54" s="127" t="str">
        <f t="shared" ref="I54:I63" si="19">IF(J54="","",IF(J54="aggregate delivery to ground storage","CP-3 EU-1",IF(J54="sand delivery to ground storage","CP-3 EU-2",IF(J54="aggregate transfer to conveyor","CP-3 EU-3",IF(J54="sand transfer to conveyor","CP-3 EU-4",IF(J54="aggregate transfer to elevated storage","CP-3 EU-5",IF(J54="sand transfer to elevated storage","CP-3 EU-6",IF(J54="weigh hopper loading","CP-3 EU-7",IF(J54="central mix loading","CP-3 EU-8",IF(J54="truck mix loading","CP-3 EU-9",IF(J54="cement delivery to silo","CP-3 EU-10",IF(J54="cement supplement delivery to silo","CP-3 EU-11"))))))))))))</f>
        <v/>
      </c>
      <c r="J54" s="82"/>
      <c r="K54" s="61"/>
      <c r="L54" s="156"/>
      <c r="M54" s="219" t="str">
        <f>IF(J54="truck mix loading",IF($F$57="yes",L54*0.05/2000,L54/2000),"")</f>
        <v/>
      </c>
      <c r="N54" s="219" t="str">
        <f>IF(J54="central mix loading",IF($F$57="yes",L54*0.05/2000,L54/2000),"")</f>
        <v/>
      </c>
      <c r="Q54" s="68"/>
      <c r="R54" s="68"/>
      <c r="S54" s="68"/>
    </row>
    <row r="55" spans="2:22" ht="14.25" customHeight="1" x14ac:dyDescent="0.2">
      <c r="B55" s="79" t="str">
        <f>IF('Concrete Plant (CP-3)'!$D$4&gt;2,"County:","")</f>
        <v/>
      </c>
      <c r="C55" s="339"/>
      <c r="D55" s="342"/>
      <c r="E55" s="343"/>
      <c r="F55" s="175"/>
      <c r="G55" s="45"/>
      <c r="H55" s="127" t="str">
        <f t="shared" ref="H55:H63" si="20">IF(J55="cement delivery to silo","CP-1 EP-2",IF(J55="cement supplement delivery to silo","CP-1 EP-3",IF(J55="weigh hopper loading","CP-1 EP-4",IF(J55="truck mix loading","CP-1 EP-5",IF(J55="central mix loading","CP-1 EP-6",IF(J55="","","CP-1 EP-1"))))))</f>
        <v/>
      </c>
      <c r="I55" s="127" t="str">
        <f t="shared" si="19"/>
        <v/>
      </c>
      <c r="J55" s="82"/>
      <c r="K55" s="61"/>
      <c r="L55" s="156"/>
      <c r="M55" s="219" t="str">
        <f t="shared" ref="M55:M63" si="21">IF(J55="truck mix loading",IF($F$57="yes",L55*0.05/2000,L55/2000),"")</f>
        <v/>
      </c>
      <c r="N55" s="219" t="str">
        <f t="shared" ref="N55:N63" si="22">IF(J55="central mix loading",IF($F$57="yes",L55*0.05/2000,L55/2000),"")</f>
        <v/>
      </c>
      <c r="Q55" s="68"/>
      <c r="R55" s="68"/>
      <c r="S55" s="68"/>
    </row>
    <row r="56" spans="2:22" ht="14.25" customHeight="1" x14ac:dyDescent="0.2">
      <c r="B56" s="79" t="str">
        <f>IF('Concrete Plant (CP-3)'!$D$4&gt;2,"Batching Period (Dates):","")</f>
        <v/>
      </c>
      <c r="C56" s="339"/>
      <c r="D56" s="342"/>
      <c r="E56" s="343"/>
      <c r="F56" s="175"/>
      <c r="G56" s="45"/>
      <c r="H56" s="127" t="str">
        <f t="shared" si="20"/>
        <v/>
      </c>
      <c r="I56" s="127" t="str">
        <f t="shared" si="19"/>
        <v/>
      </c>
      <c r="J56" s="82"/>
      <c r="K56" s="61"/>
      <c r="L56" s="156"/>
      <c r="M56" s="219" t="str">
        <f t="shared" si="21"/>
        <v/>
      </c>
      <c r="N56" s="219" t="str">
        <f t="shared" si="22"/>
        <v/>
      </c>
      <c r="Q56" s="68"/>
      <c r="R56" s="68"/>
      <c r="S56" s="68"/>
    </row>
    <row r="57" spans="2:22" ht="14.25" customHeight="1" x14ac:dyDescent="0.2">
      <c r="B57" s="51" t="str">
        <f>IF(OR(COUNTIF(J54:J63,"Truck Mix Loading")&gt;0,(COUNTIF(J54:J63,"Central Mix Loading")&gt;0)),"Is the Central/Truck Mix Loading process controlled by a baghouse?","")</f>
        <v/>
      </c>
      <c r="C57" s="51"/>
      <c r="D57" s="51"/>
      <c r="E57" s="51"/>
      <c r="F57" s="221"/>
      <c r="G57" s="45"/>
      <c r="H57" s="127" t="str">
        <f t="shared" si="20"/>
        <v/>
      </c>
      <c r="I57" s="127" t="str">
        <f t="shared" si="19"/>
        <v/>
      </c>
      <c r="J57" s="82"/>
      <c r="K57" s="61"/>
      <c r="L57" s="156"/>
      <c r="M57" s="219" t="str">
        <f t="shared" si="21"/>
        <v/>
      </c>
      <c r="N57" s="219" t="str">
        <f t="shared" si="22"/>
        <v/>
      </c>
      <c r="Q57" s="68"/>
      <c r="R57" s="68"/>
      <c r="S57" s="68"/>
    </row>
    <row r="58" spans="2:22" ht="14.25" customHeight="1" x14ac:dyDescent="0.2">
      <c r="F58" s="177"/>
      <c r="G58" s="45"/>
      <c r="H58" s="127" t="str">
        <f t="shared" si="20"/>
        <v/>
      </c>
      <c r="I58" s="127" t="str">
        <f t="shared" si="19"/>
        <v/>
      </c>
      <c r="J58" s="82"/>
      <c r="K58" s="61"/>
      <c r="L58" s="156"/>
      <c r="M58" s="219" t="str">
        <f t="shared" si="21"/>
        <v/>
      </c>
      <c r="N58" s="219" t="str">
        <f t="shared" si="22"/>
        <v/>
      </c>
      <c r="Q58" s="68"/>
      <c r="R58" s="68"/>
      <c r="S58" s="68"/>
    </row>
    <row r="59" spans="2:22" ht="29.25" customHeight="1" x14ac:dyDescent="0.2">
      <c r="B59" s="312" t="str">
        <f>IF(AND(B61="",B62="",B63="",B64="",B65=""),"","Process (complete stack information if applicable):")</f>
        <v/>
      </c>
      <c r="C59" s="312" t="str">
        <f>IF(AND(B61="",B62="",B63="",B64="",B65=""),"","Stack Height (ft):")</f>
        <v/>
      </c>
      <c r="D59" s="312" t="str">
        <f>IF(AND(B61="",B62="",B63="",B64="",B65=""),"","Stack Diameter (inches):")</f>
        <v/>
      </c>
      <c r="E59" s="312" t="str">
        <f>IF(AND(B61="",B62="",B63="",B64="",B65=""),"","Flow Rate (acfm):")</f>
        <v/>
      </c>
      <c r="F59" s="312" t="str">
        <f>IF(AND(B61="",B62="",B63="",B64="",B65=""),"","Temp (Deg F):")</f>
        <v/>
      </c>
      <c r="H59" s="127" t="str">
        <f t="shared" si="20"/>
        <v/>
      </c>
      <c r="I59" s="127" t="str">
        <f t="shared" si="19"/>
        <v/>
      </c>
      <c r="J59" s="82"/>
      <c r="K59" s="61"/>
      <c r="L59" s="156"/>
      <c r="M59" s="219" t="str">
        <f t="shared" si="21"/>
        <v/>
      </c>
      <c r="N59" s="219" t="str">
        <f t="shared" si="22"/>
        <v/>
      </c>
    </row>
    <row r="60" spans="2:22" ht="14.25" customHeight="1" x14ac:dyDescent="0.2">
      <c r="B60" s="312"/>
      <c r="C60" s="312"/>
      <c r="D60" s="312"/>
      <c r="E60" s="312"/>
      <c r="F60" s="312"/>
      <c r="G60" s="76"/>
      <c r="H60" s="127" t="str">
        <f t="shared" si="20"/>
        <v/>
      </c>
      <c r="I60" s="127" t="str">
        <f t="shared" si="19"/>
        <v/>
      </c>
      <c r="J60" s="82"/>
      <c r="K60" s="61"/>
      <c r="L60" s="156"/>
      <c r="M60" s="219" t="str">
        <f t="shared" si="21"/>
        <v/>
      </c>
      <c r="N60" s="219" t="str">
        <f t="shared" si="22"/>
        <v/>
      </c>
    </row>
    <row r="61" spans="2:22" ht="14.25" customHeight="1" x14ac:dyDescent="0.2">
      <c r="B61" s="45" t="str">
        <f>IF(COUNTIF(J54:J63,"Cement Delivery to Silo")&gt;0,"EP-2 Cement Silo Stack:","")</f>
        <v/>
      </c>
      <c r="C61" s="221"/>
      <c r="D61" s="221"/>
      <c r="E61" s="221"/>
      <c r="F61" s="221"/>
      <c r="H61" s="127" t="str">
        <f t="shared" si="20"/>
        <v/>
      </c>
      <c r="I61" s="127" t="str">
        <f t="shared" si="19"/>
        <v/>
      </c>
      <c r="J61" s="82"/>
      <c r="K61" s="61"/>
      <c r="L61" s="156"/>
      <c r="M61" s="219" t="str">
        <f t="shared" si="21"/>
        <v/>
      </c>
      <c r="N61" s="219" t="str">
        <f t="shared" si="22"/>
        <v/>
      </c>
    </row>
    <row r="62" spans="2:22" ht="14.25" customHeight="1" x14ac:dyDescent="0.2">
      <c r="B62" s="45" t="str">
        <f>IF(COUNTIF(J54:J63,"Cement Supplement Delivery to Silo")&gt;0,"EP-3 Cement Supplement Silo Stack:","")</f>
        <v/>
      </c>
      <c r="C62" s="221"/>
      <c r="D62" s="221"/>
      <c r="E62" s="221"/>
      <c r="F62" s="221"/>
      <c r="H62" s="127" t="str">
        <f t="shared" si="20"/>
        <v/>
      </c>
      <c r="I62" s="127" t="str">
        <f t="shared" si="19"/>
        <v/>
      </c>
      <c r="J62" s="82"/>
      <c r="K62" s="61"/>
      <c r="L62" s="156"/>
      <c r="M62" s="219" t="str">
        <f t="shared" si="21"/>
        <v/>
      </c>
      <c r="N62" s="219" t="str">
        <f t="shared" si="22"/>
        <v/>
      </c>
    </row>
    <row r="63" spans="2:22" ht="14.25" customHeight="1" x14ac:dyDescent="0.2">
      <c r="B63" s="45" t="str">
        <f>IF(COUNTIF(J54:J63,"Weigh Hopper Loading")&gt;0,"EP-4 Weigh Hopper Loading Stack:","")</f>
        <v/>
      </c>
      <c r="C63" s="221"/>
      <c r="D63" s="221"/>
      <c r="E63" s="221"/>
      <c r="F63" s="221"/>
      <c r="H63" s="127" t="str">
        <f t="shared" si="20"/>
        <v/>
      </c>
      <c r="I63" s="127" t="str">
        <f t="shared" si="19"/>
        <v/>
      </c>
      <c r="J63" s="82"/>
      <c r="K63" s="61"/>
      <c r="L63" s="156"/>
      <c r="M63" s="219" t="str">
        <f t="shared" si="21"/>
        <v/>
      </c>
      <c r="N63" s="219" t="str">
        <f t="shared" si="22"/>
        <v/>
      </c>
    </row>
    <row r="64" spans="2:22" ht="14.25" customHeight="1" x14ac:dyDescent="0.2">
      <c r="B64" s="45" t="str">
        <f>IF(COUNTIF(J54:J63,"Truck Mix Loading")&gt;0,"EP-5 Truck Mix Loading Stack:","")</f>
        <v/>
      </c>
      <c r="C64" s="221"/>
      <c r="D64" s="221"/>
      <c r="E64" s="221"/>
      <c r="F64" s="221"/>
      <c r="H64" s="45"/>
      <c r="I64" s="45"/>
    </row>
    <row r="65" spans="2:14" ht="14.25" customHeight="1" x14ac:dyDescent="0.2">
      <c r="B65" s="45" t="str">
        <f>IF(COUNTIF(J54:J63,"Central Mix Loading")&gt;0,"EP-6 Central Mix Loading Stack:","")</f>
        <v/>
      </c>
      <c r="C65" s="221"/>
      <c r="D65" s="221"/>
      <c r="E65" s="221"/>
      <c r="F65" s="221"/>
      <c r="G65" s="45"/>
      <c r="H65" s="74" t="str">
        <f>IF('Concrete Plant (CP-3)'!$D$4&gt;2,"Stock Pile Area","")</f>
        <v/>
      </c>
      <c r="I65" s="74"/>
      <c r="J65" s="75"/>
    </row>
    <row r="66" spans="2:14" ht="14.25" customHeight="1" x14ac:dyDescent="0.2">
      <c r="B66" s="73"/>
      <c r="C66" s="163"/>
      <c r="D66" s="163"/>
      <c r="E66" s="163"/>
      <c r="F66" s="176"/>
      <c r="G66" s="45"/>
      <c r="I66" s="51" t="str">
        <f>IF('Concrete Plant (CP-3)'!$D$4&gt;2,"Emission Unit #","")</f>
        <v/>
      </c>
      <c r="J66" s="80" t="str">
        <f>IF('Concrete Plant (CP-3)'!$D$4&gt;2,"Maximum Storage Area (acres)","")</f>
        <v/>
      </c>
      <c r="K66" s="81" t="str">
        <f>IF('Concrete Plant (CP-3)'!$D$4&gt;2,"Actual Storage Area (acres)","")</f>
        <v/>
      </c>
      <c r="L66" s="80" t="str">
        <f>IF('Concrete Plant (CP-3)'!$D$4&gt;2,"Actual Days in Existence (days)","")</f>
        <v/>
      </c>
      <c r="M66" s="146"/>
      <c r="N66" s="146"/>
    </row>
    <row r="67" spans="2:14" ht="14.25" customHeight="1" x14ac:dyDescent="0.2">
      <c r="B67" s="73"/>
      <c r="C67" s="163"/>
      <c r="D67" s="163"/>
      <c r="E67" s="163"/>
      <c r="F67" s="176"/>
      <c r="G67" s="45"/>
      <c r="I67" s="65"/>
      <c r="J67" s="144"/>
      <c r="K67" s="66"/>
      <c r="L67" s="144"/>
      <c r="M67" s="146"/>
      <c r="N67" s="146"/>
    </row>
    <row r="68" spans="2:14" ht="14.25" customHeight="1" x14ac:dyDescent="0.2">
      <c r="B68" s="73"/>
      <c r="C68" s="163"/>
      <c r="D68" s="163"/>
      <c r="E68" s="163"/>
      <c r="F68" s="176"/>
      <c r="G68" s="45"/>
    </row>
    <row r="69" spans="2:14" ht="27.75" customHeight="1" x14ac:dyDescent="0.25">
      <c r="B69" s="78" t="str">
        <f>IF('Concrete Plant (CP-3)'!$D$4&gt;3,"Batch Plant","")</f>
        <v/>
      </c>
      <c r="C69" s="71" t="str">
        <f>IF('Concrete Plant (CP-3)'!$D$4&gt;3,"Site 4","")</f>
        <v/>
      </c>
      <c r="D69" s="71"/>
      <c r="E69" s="71"/>
      <c r="F69" s="71"/>
      <c r="G69" s="45"/>
      <c r="H69" s="310" t="str">
        <f>IF('Concrete Plant (CP-3)'!$D$4&gt;3,"Emission Point #","")</f>
        <v/>
      </c>
      <c r="I69" s="310" t="str">
        <f>IF('Concrete Plant (CP-3)'!$D$4&gt;3,"Emission     Unit #","")</f>
        <v/>
      </c>
      <c r="J69" s="310" t="str">
        <f>IF('Concrete Plant (CP-3)'!$D$4&gt;3,"Processes","")</f>
        <v/>
      </c>
      <c r="K69" s="311" t="str">
        <f>IF('Concrete Plant (CP-3)'!$D$4&gt;3,"Combined Maximum Hourly Design Rate for all Like Processes (cubic yard/hr)","")</f>
        <v/>
      </c>
      <c r="L69" s="310" t="str">
        <f>IF('Concrete Plant (CP-3)'!$D$4&gt;3,('Facility Information'!G5&amp;" Annual Throughput (cubic yards)"),"")</f>
        <v/>
      </c>
      <c r="M69" s="217"/>
      <c r="N69" s="217"/>
    </row>
    <row r="70" spans="2:14" ht="14.25" customHeight="1" x14ac:dyDescent="0.2">
      <c r="B70" s="79" t="str">
        <f>IF('Concrete Plant (CP-3)'!$D$4&gt;3,"Site Name:","")</f>
        <v/>
      </c>
      <c r="C70" s="339"/>
      <c r="D70" s="342"/>
      <c r="E70" s="343"/>
      <c r="F70" s="175"/>
      <c r="G70" s="45"/>
      <c r="H70" s="127" t="str">
        <f>IF(J70="cement delivery to silo","CP-1 EP-2",IF(J70="cement supplement delivery to silo","CP-1 EP-3",IF(J70="weigh hopper loading","CP-1 EP-4",IF(J70="truck mix loading","CP-1 EP-5",IF(J70="central mix loading","CP-1 EP-6",IF(J70="","","CP-1 EP-1"))))))</f>
        <v/>
      </c>
      <c r="I70" s="127" t="str">
        <f t="shared" ref="I70:I79" si="23">IF(J70="","",IF(J70="aggregate delivery to ground storage","CP-3 EU-1",IF(J70="sand delivery to ground storage","CP-3 EU-2",IF(J70="aggregate transfer to conveyor","CP-3 EU-3",IF(J70="sand transfer to conveyor","CP-3 EU-4",IF(J70="aggregate transfer to elevated storage","CP-3 EU-5",IF(J70="sand transfer to elevated storage","CP-3 EU-6",IF(J70="weigh hopper loading","CP-3 EU-7",IF(J70="central mix loading","CP-3 EU-8",IF(J70="truck mix loading","CP-3 EU-9",IF(J70="cement delivery to silo","CP-3 EU-10",IF(J70="cement supplement delivery to silo","CP-3 EU-11"))))))))))))</f>
        <v/>
      </c>
      <c r="J70" s="82"/>
      <c r="K70" s="61"/>
      <c r="L70" s="156"/>
      <c r="M70" s="219" t="str">
        <f>IF(J70="truck mix loading",IF($F$73="yes",L70*0.05/2000,L70/2000),"")</f>
        <v/>
      </c>
      <c r="N70" s="219" t="str">
        <f>IF(J70="central mix loading",IF($F$73="yes",L70*0.05/2000,L70/2000),"")</f>
        <v/>
      </c>
    </row>
    <row r="71" spans="2:14" ht="14.25" customHeight="1" x14ac:dyDescent="0.2">
      <c r="B71" s="79" t="str">
        <f>IF('Concrete Plant (CP-3)'!$D$4&gt;3,"County:","")</f>
        <v/>
      </c>
      <c r="C71" s="339"/>
      <c r="D71" s="342"/>
      <c r="E71" s="343"/>
      <c r="F71" s="175"/>
      <c r="G71" s="45"/>
      <c r="H71" s="127" t="str">
        <f t="shared" ref="H71:H79" si="24">IF(J71="cement delivery to silo","CP-1 EP-2",IF(J71="cement supplement delivery to silo","CP-1 EP-3",IF(J71="weigh hopper loading","CP-1 EP-4",IF(J71="truck mix loading","CP-1 EP-5",IF(J71="central mix loading","CP-1 EP-6",IF(J71="","","CP-1 EP-1"))))))</f>
        <v/>
      </c>
      <c r="I71" s="127" t="str">
        <f t="shared" si="23"/>
        <v/>
      </c>
      <c r="J71" s="82"/>
      <c r="K71" s="61"/>
      <c r="L71" s="156"/>
      <c r="M71" s="219" t="str">
        <f t="shared" ref="M71:M79" si="25">IF(J71="truck mix loading",IF($F$73="yes",L71*0.05/2000,L71/2000),"")</f>
        <v/>
      </c>
      <c r="N71" s="219" t="str">
        <f t="shared" ref="N71:N79" si="26">IF(J71="central mix loading",IF($F$73="yes",L71*0.05/2000,L71/2000),"")</f>
        <v/>
      </c>
    </row>
    <row r="72" spans="2:14" ht="14.25" customHeight="1" x14ac:dyDescent="0.2">
      <c r="B72" s="79" t="str">
        <f>IF('Concrete Plant (CP-3)'!$D$4&gt;3,"Batching Period (Dates):","")</f>
        <v/>
      </c>
      <c r="C72" s="339"/>
      <c r="D72" s="342"/>
      <c r="E72" s="343"/>
      <c r="F72" s="175"/>
      <c r="G72" s="45"/>
      <c r="H72" s="127" t="str">
        <f t="shared" si="24"/>
        <v/>
      </c>
      <c r="I72" s="127" t="str">
        <f t="shared" si="23"/>
        <v/>
      </c>
      <c r="J72" s="82"/>
      <c r="K72" s="61"/>
      <c r="L72" s="156"/>
      <c r="M72" s="219" t="str">
        <f t="shared" si="25"/>
        <v/>
      </c>
      <c r="N72" s="219" t="str">
        <f t="shared" si="26"/>
        <v/>
      </c>
    </row>
    <row r="73" spans="2:14" ht="14.25" customHeight="1" x14ac:dyDescent="0.2">
      <c r="B73" s="51" t="str">
        <f>IF(OR(COUNTIF(J70:J79,"Truck Mix Loading")&gt;0,(COUNTIF(J70:J79,"Central Mix Loading")&gt;0)),"Is the Central/Truck Mix Loading process controlled by a baghouse?","")</f>
        <v/>
      </c>
      <c r="C73" s="51"/>
      <c r="D73" s="51"/>
      <c r="E73" s="51"/>
      <c r="F73" s="221"/>
      <c r="H73" s="127" t="str">
        <f t="shared" si="24"/>
        <v/>
      </c>
      <c r="I73" s="127" t="str">
        <f t="shared" si="23"/>
        <v/>
      </c>
      <c r="J73" s="82"/>
      <c r="K73" s="61"/>
      <c r="L73" s="156"/>
      <c r="M73" s="219" t="str">
        <f t="shared" si="25"/>
        <v/>
      </c>
      <c r="N73" s="219" t="str">
        <f t="shared" si="26"/>
        <v/>
      </c>
    </row>
    <row r="74" spans="2:14" ht="14.25" customHeight="1" x14ac:dyDescent="0.2">
      <c r="F74" s="177"/>
      <c r="G74" s="76"/>
      <c r="H74" s="127" t="str">
        <f t="shared" si="24"/>
        <v/>
      </c>
      <c r="I74" s="127" t="str">
        <f t="shared" si="23"/>
        <v/>
      </c>
      <c r="J74" s="82"/>
      <c r="K74" s="61"/>
      <c r="L74" s="156"/>
      <c r="M74" s="219" t="str">
        <f t="shared" si="25"/>
        <v/>
      </c>
      <c r="N74" s="219" t="str">
        <f t="shared" si="26"/>
        <v/>
      </c>
    </row>
    <row r="75" spans="2:14" ht="27.75" customHeight="1" x14ac:dyDescent="0.2">
      <c r="B75" s="312" t="str">
        <f>IF(AND(B77="",B78="",B79="",B80="",B81=""),"","Process (complete stack information if applicable):")</f>
        <v/>
      </c>
      <c r="C75" s="312" t="str">
        <f>IF(AND(B77="",B78="",B79="",B80="",B81=""),"","Stack Height (ft):")</f>
        <v/>
      </c>
      <c r="D75" s="312" t="str">
        <f>IF(AND(B77="",B78="",B79="",B80="",B81=""),"","Stack Diameter (inches):")</f>
        <v/>
      </c>
      <c r="E75" s="312" t="str">
        <f>IF(AND(B77="",B78="",B79="",B80="",B81=""),"","Flow Rate (acfm):")</f>
        <v/>
      </c>
      <c r="F75" s="312" t="str">
        <f>IF(AND(B77="",B78="",B79="",B80="",B81=""),"","Temp (Deg F):")</f>
        <v/>
      </c>
      <c r="H75" s="127" t="str">
        <f t="shared" si="24"/>
        <v/>
      </c>
      <c r="I75" s="127" t="str">
        <f t="shared" si="23"/>
        <v/>
      </c>
      <c r="J75" s="82"/>
      <c r="K75" s="61"/>
      <c r="L75" s="156"/>
      <c r="M75" s="219" t="str">
        <f t="shared" si="25"/>
        <v/>
      </c>
      <c r="N75" s="219" t="str">
        <f t="shared" si="26"/>
        <v/>
      </c>
    </row>
    <row r="76" spans="2:14" ht="14.25" customHeight="1" x14ac:dyDescent="0.2">
      <c r="B76" s="312"/>
      <c r="C76" s="312"/>
      <c r="D76" s="312"/>
      <c r="E76" s="312"/>
      <c r="F76" s="312"/>
      <c r="H76" s="127" t="str">
        <f t="shared" si="24"/>
        <v/>
      </c>
      <c r="I76" s="127" t="str">
        <f t="shared" si="23"/>
        <v/>
      </c>
      <c r="J76" s="82"/>
      <c r="K76" s="61"/>
      <c r="L76" s="156"/>
      <c r="M76" s="219" t="str">
        <f t="shared" si="25"/>
        <v/>
      </c>
      <c r="N76" s="219" t="str">
        <f t="shared" si="26"/>
        <v/>
      </c>
    </row>
    <row r="77" spans="2:14" ht="14.25" customHeight="1" x14ac:dyDescent="0.2">
      <c r="B77" s="45" t="str">
        <f>IF(COUNTIF(J70:J79,"Cement Delivery to Silo")&gt;0,"EP-2 Cement Silo Stack:","")</f>
        <v/>
      </c>
      <c r="C77" s="221"/>
      <c r="D77" s="221"/>
      <c r="E77" s="221"/>
      <c r="F77" s="221"/>
      <c r="H77" s="127" t="str">
        <f t="shared" si="24"/>
        <v/>
      </c>
      <c r="I77" s="127" t="str">
        <f t="shared" si="23"/>
        <v/>
      </c>
      <c r="J77" s="82"/>
      <c r="K77" s="61"/>
      <c r="L77" s="156"/>
      <c r="M77" s="219" t="str">
        <f t="shared" si="25"/>
        <v/>
      </c>
      <c r="N77" s="219" t="str">
        <f t="shared" si="26"/>
        <v/>
      </c>
    </row>
    <row r="78" spans="2:14" ht="14.25" customHeight="1" x14ac:dyDescent="0.2">
      <c r="B78" s="45" t="str">
        <f>IF(COUNTIF(J70:J79,"Cement Supplement Delivery to Silo")&gt;0,"EP-3 Cement Supplement Silo Stack:","")</f>
        <v/>
      </c>
      <c r="C78" s="221"/>
      <c r="D78" s="221"/>
      <c r="E78" s="221"/>
      <c r="F78" s="221"/>
      <c r="H78" s="127" t="str">
        <f t="shared" si="24"/>
        <v/>
      </c>
      <c r="I78" s="127" t="str">
        <f t="shared" si="23"/>
        <v/>
      </c>
      <c r="J78" s="82"/>
      <c r="K78" s="61"/>
      <c r="L78" s="156"/>
      <c r="M78" s="219" t="str">
        <f t="shared" si="25"/>
        <v/>
      </c>
      <c r="N78" s="219" t="str">
        <f t="shared" si="26"/>
        <v/>
      </c>
    </row>
    <row r="79" spans="2:14" ht="14.25" customHeight="1" x14ac:dyDescent="0.2">
      <c r="B79" s="45" t="str">
        <f>IF(COUNTIF(J70:J79,"Weigh Hopper Loading")&gt;0,"EP-4 Weigh Hopper Loading Stack:","")</f>
        <v/>
      </c>
      <c r="C79" s="221"/>
      <c r="D79" s="221"/>
      <c r="E79" s="221"/>
      <c r="F79" s="221"/>
      <c r="G79" s="45"/>
      <c r="H79" s="127" t="str">
        <f t="shared" si="24"/>
        <v/>
      </c>
      <c r="I79" s="127" t="str">
        <f t="shared" si="23"/>
        <v/>
      </c>
      <c r="J79" s="82"/>
      <c r="K79" s="61"/>
      <c r="L79" s="156"/>
      <c r="M79" s="219" t="str">
        <f t="shared" si="25"/>
        <v/>
      </c>
      <c r="N79" s="219" t="str">
        <f t="shared" si="26"/>
        <v/>
      </c>
    </row>
    <row r="80" spans="2:14" ht="14.25" customHeight="1" x14ac:dyDescent="0.2">
      <c r="B80" s="45" t="str">
        <f>IF(COUNTIF(J70:J79,"Truck Mix Loading")&gt;0,"EP-5 Truck Mix Loading Stack:","")</f>
        <v/>
      </c>
      <c r="C80" s="221"/>
      <c r="D80" s="221"/>
      <c r="E80" s="221"/>
      <c r="F80" s="221"/>
      <c r="G80" s="45"/>
      <c r="H80" s="45"/>
      <c r="I80" s="45"/>
    </row>
    <row r="81" spans="2:14" ht="14.25" customHeight="1" x14ac:dyDescent="0.2">
      <c r="B81" s="45" t="str">
        <f>IF(COUNTIF(J70:J79,"Central Mix Loading")&gt;0,"EP-6 Central Mix Loading Stack:","")</f>
        <v/>
      </c>
      <c r="C81" s="221"/>
      <c r="D81" s="221"/>
      <c r="E81" s="221"/>
      <c r="F81" s="221"/>
      <c r="G81" s="45"/>
      <c r="H81" s="74" t="str">
        <f>IF('Concrete Plant (CP-3)'!$D$4&gt;3,"Stock Pile Area","")</f>
        <v/>
      </c>
      <c r="I81" s="74"/>
      <c r="J81" s="75"/>
    </row>
    <row r="82" spans="2:14" ht="14.25" customHeight="1" x14ac:dyDescent="0.2">
      <c r="B82" s="73"/>
      <c r="C82" s="163"/>
      <c r="D82" s="163"/>
      <c r="E82" s="163"/>
      <c r="F82" s="176"/>
      <c r="G82" s="45"/>
      <c r="I82" s="51" t="str">
        <f>IF('Concrete Plant (CP-3)'!$D$4&gt;3,"Emission Unit #","")</f>
        <v/>
      </c>
      <c r="J82" s="80" t="str">
        <f>IF('Concrete Plant (CP-3)'!$D$4&gt;3,"Maximum Storage Area (acres)","")</f>
        <v/>
      </c>
      <c r="K82" s="81" t="str">
        <f>IF('Concrete Plant (CP-3)'!$D$4&gt;3,"Actual Storage Area (acres)","")</f>
        <v/>
      </c>
      <c r="L82" s="80" t="str">
        <f>IF('Concrete Plant (CP-3)'!$D$4&gt;3,"Actual Days in Existence (days)","")</f>
        <v/>
      </c>
      <c r="M82" s="146"/>
      <c r="N82" s="146"/>
    </row>
    <row r="83" spans="2:14" ht="14.25" customHeight="1" x14ac:dyDescent="0.2">
      <c r="B83" s="73"/>
      <c r="C83" s="163"/>
      <c r="D83" s="163"/>
      <c r="E83" s="163"/>
      <c r="F83" s="176"/>
      <c r="G83" s="45"/>
      <c r="I83" s="65"/>
      <c r="J83" s="144"/>
      <c r="K83" s="66"/>
      <c r="L83" s="144"/>
      <c r="M83" s="146"/>
      <c r="N83" s="146"/>
    </row>
    <row r="84" spans="2:14" ht="14.25" customHeight="1" x14ac:dyDescent="0.2">
      <c r="B84" s="73"/>
      <c r="C84" s="163"/>
      <c r="D84" s="163"/>
      <c r="E84" s="163"/>
      <c r="F84" s="176"/>
      <c r="G84" s="45"/>
    </row>
    <row r="85" spans="2:14" ht="29.25" customHeight="1" x14ac:dyDescent="0.25">
      <c r="B85" s="78" t="str">
        <f>IF('Concrete Plant (CP-3)'!$D$4&gt;4,"Batch Plant","")</f>
        <v/>
      </c>
      <c r="C85" s="71" t="str">
        <f>IF('Concrete Plant (CP-3)'!$D$4&gt;4,"Site 5","")</f>
        <v/>
      </c>
      <c r="D85" s="71"/>
      <c r="E85" s="71"/>
      <c r="F85" s="71"/>
      <c r="G85" s="45"/>
      <c r="H85" s="310" t="str">
        <f>IF('Concrete Plant (CP-3)'!$D$4&gt;4,"Emission Point #","")</f>
        <v/>
      </c>
      <c r="I85" s="310" t="str">
        <f>IF('Concrete Plant (CP-3)'!$D$4&gt;4,"Emission     Unit #","")</f>
        <v/>
      </c>
      <c r="J85" s="310" t="str">
        <f>IF('Concrete Plant (CP-3)'!$D$4&gt;4,"Processes","")</f>
        <v/>
      </c>
      <c r="K85" s="311" t="str">
        <f>IF('Concrete Plant (CP-3)'!$D$4&gt;4,"Combined Maximum Hourly Design Rate for all Like Processes (cubic yard/hr)","")</f>
        <v/>
      </c>
      <c r="L85" s="310" t="str">
        <f>IF('Concrete Plant (CP-3)'!$D$4&gt;4,('Facility Information'!G5&amp;" Annual Throughput (cubic yards)"),"")</f>
        <v/>
      </c>
      <c r="M85" s="217"/>
      <c r="N85" s="217"/>
    </row>
    <row r="86" spans="2:14" ht="14.25" customHeight="1" x14ac:dyDescent="0.2">
      <c r="B86" s="79" t="str">
        <f>IF('Concrete Plant (CP-3)'!$D$4&gt;4,"Site Name:","")</f>
        <v/>
      </c>
      <c r="C86" s="339"/>
      <c r="D86" s="342"/>
      <c r="E86" s="343"/>
      <c r="F86" s="175"/>
      <c r="G86" s="45"/>
      <c r="H86" s="127" t="str">
        <f>IF(J86="cement delivery to silo","CP-1 EP-2",IF(J86="cement supplement delivery to silo","CP-1 EP-3",IF(J86="weigh hopper loading","CP-1 EP-4",IF(J86="truck mix loading","CP-1 EP-5",IF(J86="central mix loading","CP-1 EP-6",IF(J86="","","CP-1 EP-1"))))))</f>
        <v/>
      </c>
      <c r="I86" s="127" t="str">
        <f t="shared" ref="I86:I95" si="27">IF(J86="","",IF(J86="aggregate delivery to ground storage","CP-3 EU-1",IF(J86="sand delivery to ground storage","CP-3 EU-2",IF(J86="aggregate transfer to conveyor","CP-3 EU-3",IF(J86="sand transfer to conveyor","CP-3 EU-4",IF(J86="aggregate transfer to elevated storage","CP-3 EU-5",IF(J86="sand transfer to elevated storage","CP-3 EU-6",IF(J86="weigh hopper loading","CP-3 EU-7",IF(J86="central mix loading","CP-3 EU-8",IF(J86="truck mix loading","CP-3 EU-9",IF(J86="cement delivery to silo","CP-3 EU-10",IF(J86="cement supplement delivery to silo","CP-3 EU-11"))))))))))))</f>
        <v/>
      </c>
      <c r="J86" s="82"/>
      <c r="K86" s="61"/>
      <c r="L86" s="156"/>
      <c r="M86" s="219" t="str">
        <f>IF(J86="truck mix loading",IF($F$89="yes",L86*0.05/2000,L86/2000),"")</f>
        <v/>
      </c>
      <c r="N86" s="219" t="str">
        <f>IF(J86="central mix loading",IF($F$89="yes",L86*0.05/2000,L86/2000),"")</f>
        <v/>
      </c>
    </row>
    <row r="87" spans="2:14" ht="14.25" customHeight="1" x14ac:dyDescent="0.2">
      <c r="B87" s="79" t="str">
        <f>IF('Concrete Plant (CP-3)'!$D$4&gt;4,"County:","")</f>
        <v/>
      </c>
      <c r="C87" s="339"/>
      <c r="D87" s="342"/>
      <c r="E87" s="343"/>
      <c r="F87" s="175"/>
      <c r="H87" s="127" t="str">
        <f t="shared" ref="H87:H95" si="28">IF(J87="cement delivery to silo","CP-1 EP-2",IF(J87="cement supplement delivery to silo","CP-1 EP-3",IF(J87="weigh hopper loading","CP-1 EP-4",IF(J87="truck mix loading","CP-1 EP-5",IF(J87="central mix loading","CP-1 EP-6",IF(J87="","","CP-1 EP-1"))))))</f>
        <v/>
      </c>
      <c r="I87" s="127" t="str">
        <f t="shared" si="27"/>
        <v/>
      </c>
      <c r="J87" s="82"/>
      <c r="K87" s="61"/>
      <c r="L87" s="156"/>
      <c r="M87" s="219" t="str">
        <f t="shared" ref="M87:M95" si="29">IF(J87="truck mix loading",IF($F$89="yes",L87*0.05/2000,L87/2000),"")</f>
        <v/>
      </c>
      <c r="N87" s="219" t="str">
        <f t="shared" ref="N87:N95" si="30">IF(J87="central mix loading",IF($F$89="yes",L87*0.05/2000,L87/2000),"")</f>
        <v/>
      </c>
    </row>
    <row r="88" spans="2:14" ht="14.25" customHeight="1" x14ac:dyDescent="0.2">
      <c r="B88" s="79" t="str">
        <f>IF('Concrete Plant (CP-3)'!$D$4&gt;4,"Batching Period (Dates):","")</f>
        <v/>
      </c>
      <c r="C88" s="339"/>
      <c r="D88" s="342"/>
      <c r="E88" s="343"/>
      <c r="F88" s="175"/>
      <c r="G88" s="76"/>
      <c r="H88" s="127" t="str">
        <f t="shared" si="28"/>
        <v/>
      </c>
      <c r="I88" s="127" t="str">
        <f t="shared" si="27"/>
        <v/>
      </c>
      <c r="J88" s="82"/>
      <c r="K88" s="61"/>
      <c r="L88" s="156"/>
      <c r="M88" s="219" t="str">
        <f t="shared" si="29"/>
        <v/>
      </c>
      <c r="N88" s="219" t="str">
        <f t="shared" si="30"/>
        <v/>
      </c>
    </row>
    <row r="89" spans="2:14" ht="14.25" customHeight="1" x14ac:dyDescent="0.2">
      <c r="B89" s="51" t="str">
        <f>IF(OR(COUNTIF(J86:J95,"Truck Mix Loading")&gt;0,(COUNTIF(J86:J95,"Central Mix Loading")&gt;0)),"Is the Central/Truck Mix Loading process controlled by a baghouse?","")</f>
        <v/>
      </c>
      <c r="C89" s="51"/>
      <c r="D89" s="51"/>
      <c r="E89" s="51"/>
      <c r="F89" s="221"/>
      <c r="H89" s="127" t="str">
        <f t="shared" si="28"/>
        <v/>
      </c>
      <c r="I89" s="127" t="str">
        <f t="shared" si="27"/>
        <v/>
      </c>
      <c r="J89" s="82"/>
      <c r="K89" s="61"/>
      <c r="L89" s="156"/>
      <c r="M89" s="219" t="str">
        <f t="shared" si="29"/>
        <v/>
      </c>
      <c r="N89" s="219" t="str">
        <f t="shared" si="30"/>
        <v/>
      </c>
    </row>
    <row r="90" spans="2:14" ht="14.25" customHeight="1" x14ac:dyDescent="0.2">
      <c r="F90" s="177"/>
      <c r="H90" s="127" t="str">
        <f t="shared" si="28"/>
        <v/>
      </c>
      <c r="I90" s="127" t="str">
        <f t="shared" si="27"/>
        <v/>
      </c>
      <c r="J90" s="82"/>
      <c r="K90" s="61"/>
      <c r="L90" s="156"/>
      <c r="M90" s="219" t="str">
        <f t="shared" si="29"/>
        <v/>
      </c>
      <c r="N90" s="219" t="str">
        <f t="shared" si="30"/>
        <v/>
      </c>
    </row>
    <row r="91" spans="2:14" ht="30.75" customHeight="1" x14ac:dyDescent="0.2">
      <c r="B91" s="312" t="str">
        <f>IF(AND(B93="",B94="",B95="",B96="",B97=""),"","Process (complete stack information if applicable):")</f>
        <v/>
      </c>
      <c r="C91" s="312" t="str">
        <f>IF(AND(B93="",B94="",B95="",B96="",B97=""),"","Stack Height (ft):")</f>
        <v/>
      </c>
      <c r="D91" s="312" t="str">
        <f>IF(AND(B93="",B94="",B95="",B96="",B97=""),"","Stack Diameter (inches):")</f>
        <v/>
      </c>
      <c r="E91" s="312" t="str">
        <f>IF(AND(B93="",B94="",B95="",B96="",B97=""),"","Flow Rate (acfm):")</f>
        <v/>
      </c>
      <c r="F91" s="312" t="str">
        <f>IF(AND(B93="",B94="",B95="",B96="",B97=""),"","Temp (Deg F):")</f>
        <v/>
      </c>
      <c r="H91" s="127" t="str">
        <f t="shared" si="28"/>
        <v/>
      </c>
      <c r="I91" s="127" t="str">
        <f t="shared" si="27"/>
        <v/>
      </c>
      <c r="J91" s="82"/>
      <c r="K91" s="61"/>
      <c r="L91" s="156"/>
      <c r="M91" s="219" t="str">
        <f t="shared" si="29"/>
        <v/>
      </c>
      <c r="N91" s="219" t="str">
        <f t="shared" si="30"/>
        <v/>
      </c>
    </row>
    <row r="92" spans="2:14" ht="14.25" customHeight="1" x14ac:dyDescent="0.2">
      <c r="B92" s="312"/>
      <c r="C92" s="312"/>
      <c r="D92" s="312"/>
      <c r="E92" s="312"/>
      <c r="F92" s="312"/>
      <c r="H92" s="127" t="str">
        <f t="shared" si="28"/>
        <v/>
      </c>
      <c r="I92" s="127" t="str">
        <f t="shared" si="27"/>
        <v/>
      </c>
      <c r="J92" s="82"/>
      <c r="K92" s="61"/>
      <c r="L92" s="156"/>
      <c r="M92" s="219" t="str">
        <f t="shared" si="29"/>
        <v/>
      </c>
      <c r="N92" s="219" t="str">
        <f t="shared" si="30"/>
        <v/>
      </c>
    </row>
    <row r="93" spans="2:14" ht="14.25" customHeight="1" x14ac:dyDescent="0.2">
      <c r="B93" s="45" t="str">
        <f>IF(COUNTIF(J86:J95,"Cement Delivery to Silo")&gt;0,"EP-2 Cement Silo Stack:","")</f>
        <v/>
      </c>
      <c r="C93" s="221"/>
      <c r="D93" s="221"/>
      <c r="E93" s="221"/>
      <c r="F93" s="221"/>
      <c r="G93" s="45"/>
      <c r="H93" s="127" t="str">
        <f t="shared" si="28"/>
        <v/>
      </c>
      <c r="I93" s="127" t="str">
        <f t="shared" si="27"/>
        <v/>
      </c>
      <c r="J93" s="82"/>
      <c r="K93" s="61"/>
      <c r="L93" s="156"/>
      <c r="M93" s="219" t="str">
        <f t="shared" si="29"/>
        <v/>
      </c>
      <c r="N93" s="219" t="str">
        <f t="shared" si="30"/>
        <v/>
      </c>
    </row>
    <row r="94" spans="2:14" ht="14.25" customHeight="1" x14ac:dyDescent="0.2">
      <c r="B94" s="45" t="str">
        <f>IF(COUNTIF(J86:J95,"Cement Supplement Delivery to Silo")&gt;0,"EP-3 Cement Supplement Silo Stack:","")</f>
        <v/>
      </c>
      <c r="C94" s="221"/>
      <c r="D94" s="221"/>
      <c r="E94" s="221"/>
      <c r="F94" s="221"/>
      <c r="G94" s="45"/>
      <c r="H94" s="127" t="str">
        <f t="shared" si="28"/>
        <v/>
      </c>
      <c r="I94" s="127" t="str">
        <f t="shared" si="27"/>
        <v/>
      </c>
      <c r="J94" s="82"/>
      <c r="K94" s="61"/>
      <c r="L94" s="156"/>
      <c r="M94" s="219" t="str">
        <f t="shared" si="29"/>
        <v/>
      </c>
      <c r="N94" s="219" t="str">
        <f t="shared" si="30"/>
        <v/>
      </c>
    </row>
    <row r="95" spans="2:14" ht="14.25" customHeight="1" x14ac:dyDescent="0.2">
      <c r="B95" s="45" t="str">
        <f>IF(COUNTIF(J86:J95,"Weigh Hopper Loading")&gt;0,"EP-4 Weigh Hopper Loading Stack:","")</f>
        <v/>
      </c>
      <c r="C95" s="221"/>
      <c r="D95" s="221"/>
      <c r="E95" s="221"/>
      <c r="F95" s="221"/>
      <c r="G95" s="45"/>
      <c r="H95" s="127" t="str">
        <f t="shared" si="28"/>
        <v/>
      </c>
      <c r="I95" s="127" t="str">
        <f t="shared" si="27"/>
        <v/>
      </c>
      <c r="J95" s="82"/>
      <c r="K95" s="61"/>
      <c r="L95" s="156"/>
      <c r="M95" s="219" t="str">
        <f t="shared" si="29"/>
        <v/>
      </c>
      <c r="N95" s="219" t="str">
        <f t="shared" si="30"/>
        <v/>
      </c>
    </row>
    <row r="96" spans="2:14" ht="14.25" customHeight="1" x14ac:dyDescent="0.2">
      <c r="B96" s="45" t="str">
        <f>IF(COUNTIF(J86:J95,"Truck Mix Loading")&gt;0,"EP-5 Truck Mix Loading Stack:","")</f>
        <v/>
      </c>
      <c r="C96" s="221"/>
      <c r="D96" s="221"/>
      <c r="E96" s="221"/>
      <c r="F96" s="221"/>
      <c r="G96" s="45"/>
      <c r="H96" s="45"/>
      <c r="I96" s="45"/>
    </row>
    <row r="97" spans="2:14" ht="14.25" customHeight="1" x14ac:dyDescent="0.2">
      <c r="B97" s="45" t="str">
        <f>IF(COUNTIF(J86:J95,"Central Mix Loading")&gt;0,"EP-6 Central Mix Loading Stack:","")</f>
        <v/>
      </c>
      <c r="C97" s="221"/>
      <c r="D97" s="221"/>
      <c r="E97" s="221"/>
      <c r="F97" s="221"/>
      <c r="G97" s="45"/>
      <c r="H97" s="74" t="str">
        <f>IF('Concrete Plant (CP-3)'!$D$4&gt;4,"Stock Pile Area","")</f>
        <v/>
      </c>
      <c r="I97" s="74"/>
      <c r="J97" s="75"/>
    </row>
    <row r="98" spans="2:14" ht="14.25" customHeight="1" x14ac:dyDescent="0.2">
      <c r="B98" s="73"/>
      <c r="C98" s="163"/>
      <c r="D98" s="163"/>
      <c r="E98" s="163"/>
      <c r="F98" s="176"/>
      <c r="G98" s="45"/>
      <c r="I98" s="51" t="str">
        <f>IF('Concrete Plant (CP-3)'!$D$4&gt;4,"Emission Unit #","")</f>
        <v/>
      </c>
      <c r="J98" s="80" t="str">
        <f>IF('Concrete Plant (CP-3)'!$D$4&gt;4,"Maximum Storage Area (acres)","")</f>
        <v/>
      </c>
      <c r="K98" s="81" t="str">
        <f>IF('Concrete Plant (CP-3)'!$D$4&gt;4,"Actual Storage Area (acres)","")</f>
        <v/>
      </c>
      <c r="L98" s="80" t="str">
        <f>IF('Concrete Plant (CP-3)'!$D$4&gt;4,"Actual Days in Existence (days)","")</f>
        <v/>
      </c>
      <c r="M98" s="146"/>
      <c r="N98" s="146"/>
    </row>
    <row r="99" spans="2:14" ht="14.25" customHeight="1" x14ac:dyDescent="0.2">
      <c r="B99" s="73"/>
      <c r="C99" s="163"/>
      <c r="D99" s="163"/>
      <c r="E99" s="163"/>
      <c r="F99" s="176"/>
      <c r="G99" s="45"/>
      <c r="I99" s="62"/>
      <c r="J99" s="144"/>
      <c r="K99" s="66"/>
      <c r="L99" s="144"/>
      <c r="M99" s="146"/>
      <c r="N99" s="146"/>
    </row>
    <row r="100" spans="2:14" ht="14.25" customHeight="1" x14ac:dyDescent="0.2">
      <c r="B100" s="73"/>
      <c r="C100" s="163"/>
      <c r="D100" s="163"/>
      <c r="E100" s="163"/>
      <c r="F100" s="176"/>
      <c r="G100" s="45"/>
      <c r="H100" s="45"/>
    </row>
    <row r="101" spans="2:14" ht="27.75" customHeight="1" x14ac:dyDescent="0.25">
      <c r="B101" s="78" t="str">
        <f>IF('Concrete Plant (CP-3)'!$D$4&gt;5,"Batch Plant","")</f>
        <v/>
      </c>
      <c r="C101" s="71" t="str">
        <f>IF('Concrete Plant (CP-3)'!$D$4&gt;5,"Site 6","")</f>
        <v/>
      </c>
      <c r="D101" s="71"/>
      <c r="E101" s="71"/>
      <c r="F101" s="71"/>
      <c r="G101" s="45"/>
      <c r="H101" s="310" t="str">
        <f>IF('Concrete Plant (CP-3)'!$D$4&gt;5,"Emission Point #","")</f>
        <v/>
      </c>
      <c r="I101" s="310" t="str">
        <f>IF('Concrete Plant (CP-3)'!$D$4&gt;5,"Emission     Unit #","")</f>
        <v/>
      </c>
      <c r="J101" s="310" t="str">
        <f>IF('Concrete Plant (CP-3)'!$D$4&gt;5,"Processes","")</f>
        <v/>
      </c>
      <c r="K101" s="311" t="str">
        <f>IF('Concrete Plant (CP-3)'!$D$4&gt;5,"Combined Maximum Hourly Design Rate for all Like Processes (cubic yard/hr)","")</f>
        <v/>
      </c>
      <c r="L101" s="310" t="str">
        <f>IF('Concrete Plant (CP-3)'!$D$4&gt;5,('Facility Information'!G5&amp;" Annual Throughput (cubic yards)"),"")</f>
        <v/>
      </c>
      <c r="M101" s="217"/>
      <c r="N101" s="217"/>
    </row>
    <row r="102" spans="2:14" ht="14.25" customHeight="1" x14ac:dyDescent="0.2">
      <c r="B102" s="79" t="str">
        <f>IF('Concrete Plant (CP-3)'!$D$4&gt;5,"Site Name:","")</f>
        <v/>
      </c>
      <c r="C102" s="339"/>
      <c r="D102" s="342"/>
      <c r="E102" s="343"/>
      <c r="F102" s="175"/>
      <c r="G102" s="76"/>
      <c r="H102" s="127" t="str">
        <f>IF(J102="cement delivery to silo","CP-1 EP-2",IF(J102="cement supplement delivery to silo","CP-1 EP-3",IF(J102="weigh hopper loading","CP-1 EP-4",IF(J102="truck mix loading","CP-1 EP-5",IF(J102="central mix loading","CP-1 EP-6",IF(J102="","","CP-1 EP-1"))))))</f>
        <v/>
      </c>
      <c r="I102" s="127" t="str">
        <f t="shared" ref="I102:I111" si="31">IF(J102="","",IF(J102="aggregate delivery to ground storage","CP-3 EU-1",IF(J102="sand delivery to ground storage","CP-3 EU-2",IF(J102="aggregate transfer to conveyor","CP-3 EU-3",IF(J102="sand transfer to conveyor","CP-3 EU-4",IF(J102="aggregate transfer to elevated storage","CP-3 EU-5",IF(J102="sand transfer to elevated storage","CP-3 EU-6",IF(J102="weigh hopper loading","CP-3 EU-7",IF(J102="central mix loading","CP-3 EU-8",IF(J102="truck mix loading","CP-3 EU-9",IF(J102="cement delivery to silo","CP-3 EU-10",IF(J102="cement supplement delivery to silo","CP-3 EU-11"))))))))))))</f>
        <v/>
      </c>
      <c r="J102" s="82"/>
      <c r="K102" s="61"/>
      <c r="L102" s="156"/>
      <c r="M102" s="219" t="str">
        <f>IF(J102="truck mix loading",IF($F$105="yes",L102*0.05/2000,L102/2000),"")</f>
        <v/>
      </c>
      <c r="N102" s="219" t="str">
        <f>IF(J102="central mix loading",IF($F$105="yes",L102*0.05/2000,L102/2000),"")</f>
        <v/>
      </c>
    </row>
    <row r="103" spans="2:14" ht="14.25" customHeight="1" x14ac:dyDescent="0.2">
      <c r="B103" s="79" t="str">
        <f>IF('Concrete Plant (CP-3)'!$D$4&gt;5,"County:","")</f>
        <v/>
      </c>
      <c r="C103" s="339"/>
      <c r="D103" s="342"/>
      <c r="E103" s="343"/>
      <c r="F103" s="175"/>
      <c r="H103" s="127" t="str">
        <f t="shared" ref="H103:H111" si="32">IF(J103="cement delivery to silo","CP-1 EP-2",IF(J103="cement supplement delivery to silo","CP-1 EP-3",IF(J103="weigh hopper loading","CP-1 EP-4",IF(J103="truck mix loading","CP-1 EP-5",IF(J103="central mix loading","CP-1 EP-6",IF(J103="","","CP-1 EP-1"))))))</f>
        <v/>
      </c>
      <c r="I103" s="127" t="str">
        <f t="shared" si="31"/>
        <v/>
      </c>
      <c r="J103" s="82"/>
      <c r="K103" s="61"/>
      <c r="L103" s="156"/>
      <c r="M103" s="219" t="str">
        <f t="shared" ref="M103:M111" si="33">IF(J103="truck mix loading",IF($F$105="yes",L103*0.05/2000,L103/2000),"")</f>
        <v/>
      </c>
      <c r="N103" s="219" t="str">
        <f t="shared" ref="N103:N111" si="34">IF(J103="central mix loading",IF($F$105="yes",L103*0.05/2000,L103/2000),"")</f>
        <v/>
      </c>
    </row>
    <row r="104" spans="2:14" ht="14.25" customHeight="1" x14ac:dyDescent="0.2">
      <c r="B104" s="79" t="str">
        <f>IF('Concrete Plant (CP-3)'!$D$4&gt;5,"Batching Period (Dates):","")</f>
        <v/>
      </c>
      <c r="C104" s="339"/>
      <c r="D104" s="342"/>
      <c r="E104" s="343"/>
      <c r="F104" s="175"/>
      <c r="H104" s="127" t="str">
        <f t="shared" si="32"/>
        <v/>
      </c>
      <c r="I104" s="127" t="str">
        <f t="shared" si="31"/>
        <v/>
      </c>
      <c r="J104" s="82"/>
      <c r="K104" s="61"/>
      <c r="L104" s="156"/>
      <c r="M104" s="219" t="str">
        <f t="shared" si="33"/>
        <v/>
      </c>
      <c r="N104" s="219" t="str">
        <f t="shared" si="34"/>
        <v/>
      </c>
    </row>
    <row r="105" spans="2:14" ht="14.25" customHeight="1" x14ac:dyDescent="0.2">
      <c r="B105" s="51" t="str">
        <f>IF(OR(COUNTIF(J102:J111,"Truck Mix Loading")&gt;0,(COUNTIF(J102:J111,"Central Mix Loading")&gt;0)),"Is the Central/Truck Mix Loading process controlled by a baghouse?","")</f>
        <v/>
      </c>
      <c r="C105" s="51"/>
      <c r="D105" s="51"/>
      <c r="E105" s="51"/>
      <c r="F105" s="221"/>
      <c r="H105" s="127" t="str">
        <f t="shared" si="32"/>
        <v/>
      </c>
      <c r="I105" s="127" t="str">
        <f t="shared" si="31"/>
        <v/>
      </c>
      <c r="J105" s="82"/>
      <c r="K105" s="61"/>
      <c r="L105" s="156"/>
      <c r="M105" s="219" t="str">
        <f t="shared" si="33"/>
        <v/>
      </c>
      <c r="N105" s="219" t="str">
        <f t="shared" si="34"/>
        <v/>
      </c>
    </row>
    <row r="106" spans="2:14" ht="14.25" customHeight="1" x14ac:dyDescent="0.2">
      <c r="F106" s="177"/>
      <c r="H106" s="127" t="str">
        <f t="shared" si="32"/>
        <v/>
      </c>
      <c r="I106" s="127" t="str">
        <f t="shared" si="31"/>
        <v/>
      </c>
      <c r="J106" s="82"/>
      <c r="K106" s="61"/>
      <c r="L106" s="156"/>
      <c r="M106" s="219" t="str">
        <f t="shared" si="33"/>
        <v/>
      </c>
      <c r="N106" s="219" t="str">
        <f t="shared" si="34"/>
        <v/>
      </c>
    </row>
    <row r="107" spans="2:14" ht="29.25" customHeight="1" x14ac:dyDescent="0.2">
      <c r="B107" s="312" t="str">
        <f>IF(AND(B109="",B110="",B111="",B112="",B113=""),"","Process (complete stack information if applicable):")</f>
        <v/>
      </c>
      <c r="C107" s="312" t="str">
        <f>IF(AND(B109="",B110="",B111="",B112="",B113=""),"","Stack Height (ft):")</f>
        <v/>
      </c>
      <c r="D107" s="312" t="str">
        <f>IF(AND(B109="",B110="",B111="",B112="",B113=""),"","Stack Diameter (inches):")</f>
        <v/>
      </c>
      <c r="E107" s="312" t="str">
        <f>IF(AND(B109="",B110="",B111="",B112="",B113=""),"","Flow Rate (acfm):")</f>
        <v/>
      </c>
      <c r="F107" s="312" t="str">
        <f>IF(AND(B109="",B110="",B111="",B112="",B113=""),"","Temp (Deg F):")</f>
        <v/>
      </c>
      <c r="G107" s="45"/>
      <c r="H107" s="127" t="str">
        <f t="shared" si="32"/>
        <v/>
      </c>
      <c r="I107" s="127" t="str">
        <f t="shared" si="31"/>
        <v/>
      </c>
      <c r="J107" s="82"/>
      <c r="K107" s="61"/>
      <c r="L107" s="156"/>
      <c r="M107" s="219" t="str">
        <f t="shared" si="33"/>
        <v/>
      </c>
      <c r="N107" s="219" t="str">
        <f t="shared" si="34"/>
        <v/>
      </c>
    </row>
    <row r="108" spans="2:14" ht="14.25" customHeight="1" x14ac:dyDescent="0.2">
      <c r="B108" s="312"/>
      <c r="C108" s="312"/>
      <c r="D108" s="312"/>
      <c r="E108" s="312"/>
      <c r="F108" s="312"/>
      <c r="G108" s="45"/>
      <c r="H108" s="127" t="str">
        <f t="shared" si="32"/>
        <v/>
      </c>
      <c r="I108" s="127" t="str">
        <f t="shared" si="31"/>
        <v/>
      </c>
      <c r="J108" s="82"/>
      <c r="K108" s="61"/>
      <c r="L108" s="156"/>
      <c r="M108" s="219" t="str">
        <f t="shared" si="33"/>
        <v/>
      </c>
      <c r="N108" s="219" t="str">
        <f t="shared" si="34"/>
        <v/>
      </c>
    </row>
    <row r="109" spans="2:14" ht="14.25" customHeight="1" x14ac:dyDescent="0.2">
      <c r="B109" s="45" t="str">
        <f>IF(COUNTIF(J102:J111,"Cement Delivery to Silo")&gt;0,"EP-2 Cement Silo Stack:","")</f>
        <v/>
      </c>
      <c r="C109" s="221"/>
      <c r="D109" s="221"/>
      <c r="E109" s="221"/>
      <c r="F109" s="221"/>
      <c r="G109" s="45"/>
      <c r="H109" s="127" t="str">
        <f t="shared" si="32"/>
        <v/>
      </c>
      <c r="I109" s="127" t="str">
        <f t="shared" si="31"/>
        <v/>
      </c>
      <c r="J109" s="82"/>
      <c r="K109" s="61"/>
      <c r="L109" s="156"/>
      <c r="M109" s="219" t="str">
        <f t="shared" si="33"/>
        <v/>
      </c>
      <c r="N109" s="219" t="str">
        <f t="shared" si="34"/>
        <v/>
      </c>
    </row>
    <row r="110" spans="2:14" ht="14.25" customHeight="1" x14ac:dyDescent="0.2">
      <c r="B110" s="45" t="str">
        <f>IF(COUNTIF(J102:J111,"Cement Supplement Delivery to Silo")&gt;0,"EP-3 Cement Supplement Silo Stack:","")</f>
        <v/>
      </c>
      <c r="C110" s="221"/>
      <c r="D110" s="221"/>
      <c r="E110" s="221"/>
      <c r="F110" s="221"/>
      <c r="G110" s="45"/>
      <c r="H110" s="127" t="str">
        <f t="shared" si="32"/>
        <v/>
      </c>
      <c r="I110" s="127" t="str">
        <f t="shared" si="31"/>
        <v/>
      </c>
      <c r="J110" s="82"/>
      <c r="K110" s="61"/>
      <c r="L110" s="156"/>
      <c r="M110" s="219" t="str">
        <f t="shared" si="33"/>
        <v/>
      </c>
      <c r="N110" s="219" t="str">
        <f t="shared" si="34"/>
        <v/>
      </c>
    </row>
    <row r="111" spans="2:14" ht="14.25" customHeight="1" x14ac:dyDescent="0.2">
      <c r="B111" s="45" t="str">
        <f>IF(COUNTIF(J102:J111,"Weigh Hopper Loading")&gt;0,"EP-4 Weigh Hopper Loading Stack:","")</f>
        <v/>
      </c>
      <c r="C111" s="221"/>
      <c r="D111" s="221"/>
      <c r="E111" s="221"/>
      <c r="F111" s="221"/>
      <c r="G111" s="45"/>
      <c r="H111" s="127" t="str">
        <f t="shared" si="32"/>
        <v/>
      </c>
      <c r="I111" s="127" t="str">
        <f t="shared" si="31"/>
        <v/>
      </c>
      <c r="J111" s="82"/>
      <c r="K111" s="61"/>
      <c r="L111" s="156"/>
      <c r="M111" s="219" t="str">
        <f t="shared" si="33"/>
        <v/>
      </c>
      <c r="N111" s="219" t="str">
        <f t="shared" si="34"/>
        <v/>
      </c>
    </row>
    <row r="112" spans="2:14" ht="14.25" customHeight="1" x14ac:dyDescent="0.2">
      <c r="B112" s="45" t="str">
        <f>IF(COUNTIF(J102:J111,"Truck Mix Loading")&gt;0,"EP-5 Truck Mix Loading Stack:","")</f>
        <v/>
      </c>
      <c r="C112" s="221"/>
      <c r="D112" s="221"/>
      <c r="E112" s="221"/>
      <c r="F112" s="221"/>
      <c r="G112" s="45"/>
      <c r="H112" s="45"/>
      <c r="I112" s="45"/>
    </row>
    <row r="113" spans="2:14" ht="14.25" customHeight="1" x14ac:dyDescent="0.2">
      <c r="B113" s="45" t="str">
        <f>IF(COUNTIF(J102:J111,"Central Mix Loading")&gt;0,"EP-6 Central Mix Loading Stack:","")</f>
        <v/>
      </c>
      <c r="C113" s="221"/>
      <c r="D113" s="221"/>
      <c r="E113" s="221"/>
      <c r="F113" s="221"/>
      <c r="G113" s="45"/>
      <c r="H113" s="74" t="str">
        <f>IF('Concrete Plant (CP-3)'!$D$4&gt;5,"Stock Pile Area","")</f>
        <v/>
      </c>
      <c r="I113" s="74"/>
      <c r="J113" s="75"/>
    </row>
    <row r="114" spans="2:14" ht="14.25" customHeight="1" x14ac:dyDescent="0.2">
      <c r="B114" s="73"/>
      <c r="C114" s="163"/>
      <c r="D114" s="163"/>
      <c r="E114" s="163"/>
      <c r="F114" s="176"/>
      <c r="G114" s="45"/>
      <c r="I114" s="51" t="str">
        <f>IF('Concrete Plant (CP-3)'!$D$4&gt;5,"Emission Unit #","")</f>
        <v/>
      </c>
      <c r="J114" s="80" t="str">
        <f>IF('Concrete Plant (CP-3)'!$D$4&gt;5,"Maximum Storage Area (acres)","")</f>
        <v/>
      </c>
      <c r="K114" s="81" t="str">
        <f>IF('Concrete Plant (CP-3)'!$D$4&gt;5,"Actual Storage Area (acres)","")</f>
        <v/>
      </c>
      <c r="L114" s="80" t="str">
        <f>IF('Concrete Plant (CP-3)'!$D$4&gt;5,"Actual Days in Existence (days)","")</f>
        <v/>
      </c>
      <c r="M114" s="146"/>
      <c r="N114" s="146"/>
    </row>
    <row r="115" spans="2:14" ht="14.25" customHeight="1" x14ac:dyDescent="0.2">
      <c r="B115" s="73"/>
      <c r="C115" s="163"/>
      <c r="D115" s="163"/>
      <c r="E115" s="163"/>
      <c r="F115" s="176"/>
      <c r="G115" s="45"/>
      <c r="I115" s="65"/>
      <c r="J115" s="144"/>
      <c r="K115" s="66"/>
      <c r="L115" s="144"/>
      <c r="M115" s="146"/>
      <c r="N115" s="146"/>
    </row>
    <row r="116" spans="2:14" ht="14.25" customHeight="1" x14ac:dyDescent="0.2">
      <c r="B116" s="73"/>
      <c r="C116" s="163"/>
      <c r="D116" s="163"/>
      <c r="E116" s="163"/>
      <c r="F116" s="176"/>
      <c r="G116" s="45"/>
      <c r="I116" s="139"/>
      <c r="J116" s="125"/>
      <c r="K116" s="125"/>
      <c r="L116" s="125"/>
      <c r="M116" s="146"/>
      <c r="N116" s="146"/>
    </row>
    <row r="117" spans="2:14" ht="29.25" customHeight="1" x14ac:dyDescent="0.25">
      <c r="B117" s="78" t="str">
        <f>IF('Concrete Plant (CP-3)'!$D$4&gt;6,"Batch Plant","")</f>
        <v/>
      </c>
      <c r="C117" s="71" t="str">
        <f>IF('Concrete Plant (CP-3)'!$D$4&gt;6,"Site 7","")</f>
        <v/>
      </c>
      <c r="D117" s="71"/>
      <c r="E117" s="71"/>
      <c r="F117" s="71"/>
      <c r="G117" s="76"/>
      <c r="H117" s="310" t="str">
        <f>IF('Concrete Plant (CP-3)'!$D$4&gt;6,"Emission Point #","")</f>
        <v/>
      </c>
      <c r="I117" s="310" t="str">
        <f>IF('Concrete Plant (CP-3)'!$D$4&gt;6,"Emission     Unit #","")</f>
        <v/>
      </c>
      <c r="J117" s="310" t="str">
        <f>IF('Concrete Plant (CP-3)'!$D$4&gt;6,"Processes","")</f>
        <v/>
      </c>
      <c r="K117" s="311" t="str">
        <f>IF('Concrete Plant (CP-3)'!$D$4&gt;6,"Combined Maximum Hourly Design Rate for all Like Processes (cubic yard/hr)","")</f>
        <v/>
      </c>
      <c r="L117" s="310" t="str">
        <f>IF('Concrete Plant (CP-3)'!$D$4&gt;6,('Facility Information'!G5&amp;" Annual Throughput (cubic yards)"),"")</f>
        <v/>
      </c>
      <c r="M117" s="217"/>
      <c r="N117" s="217"/>
    </row>
    <row r="118" spans="2:14" ht="14.25" customHeight="1" x14ac:dyDescent="0.2">
      <c r="B118" s="79" t="str">
        <f>IF('Concrete Plant (CP-3)'!$D$4&gt;6,"Site Name:","")</f>
        <v/>
      </c>
      <c r="C118" s="339"/>
      <c r="D118" s="342"/>
      <c r="E118" s="343"/>
      <c r="F118" s="175"/>
      <c r="H118" s="127" t="str">
        <f>IF(J118="cement delivery to silo","CP-1 EP-2",IF(J118="cement supplement delivery to silo","CP-1 EP-3",IF(J118="weigh hopper loading","CP-1 EP-4",IF(J118="truck mix loading","CP-1 EP-5",IF(J118="central mix loading","CP-1 EP-6",IF(J118="","","CP-1 EP-1"))))))</f>
        <v/>
      </c>
      <c r="I118" s="127" t="str">
        <f t="shared" ref="I118:I127" si="35">IF(J118="","",IF(J118="aggregate delivery to ground storage","CP-3 EU-1",IF(J118="sand delivery to ground storage","CP-3 EU-2",IF(J118="aggregate transfer to conveyor","CP-3 EU-3",IF(J118="sand transfer to conveyor","CP-3 EU-4",IF(J118="aggregate transfer to elevated storage","CP-3 EU-5",IF(J118="sand transfer to elevated storage","CP-3 EU-6",IF(J118="weigh hopper loading","CP-3 EU-7",IF(J118="central mix loading","CP-3 EU-8",IF(J118="truck mix loading","CP-3 EU-9",IF(J118="cement delivery to silo","CP-3 EU-10",IF(J118="cement supplement delivery to silo","CP-3 EU-11"))))))))))))</f>
        <v/>
      </c>
      <c r="J118" s="82"/>
      <c r="K118" s="61"/>
      <c r="L118" s="156"/>
      <c r="M118" s="219" t="str">
        <f>IF(J118="truck mix loading",IF($F$121="yes",L118*0.05/2000,L118/2000),"")</f>
        <v/>
      </c>
      <c r="N118" s="219" t="str">
        <f>IF(J118="central mix loading",IF($F$121="yes",L118*0.05/2000,L118/2000),"")</f>
        <v/>
      </c>
    </row>
    <row r="119" spans="2:14" ht="14.25" customHeight="1" x14ac:dyDescent="0.2">
      <c r="B119" s="79" t="str">
        <f>IF('Concrete Plant (CP-3)'!$D$4&gt;6,"County:","")</f>
        <v/>
      </c>
      <c r="C119" s="339"/>
      <c r="D119" s="342"/>
      <c r="E119" s="343"/>
      <c r="F119" s="175"/>
      <c r="H119" s="127" t="str">
        <f t="shared" ref="H119:H127" si="36">IF(J119="cement delivery to silo","CP-1 EP-2",IF(J119="cement supplement delivery to silo","CP-1 EP-3",IF(J119="weigh hopper loading","CP-1 EP-4",IF(J119="truck mix loading","CP-1 EP-5",IF(J119="central mix loading","CP-1 EP-6",IF(J119="","","CP-1 EP-1"))))))</f>
        <v/>
      </c>
      <c r="I119" s="127" t="str">
        <f t="shared" si="35"/>
        <v/>
      </c>
      <c r="J119" s="82"/>
      <c r="K119" s="61"/>
      <c r="L119" s="156"/>
      <c r="M119" s="219" t="str">
        <f t="shared" ref="M119:M127" si="37">IF(J119="truck mix loading",IF($F$121="yes",L119*0.05/2000,L119/2000),"")</f>
        <v/>
      </c>
      <c r="N119" s="219" t="str">
        <f t="shared" ref="N119:N127" si="38">IF(J119="central mix loading",IF($F$121="yes",L119*0.05/2000,L119/2000),"")</f>
        <v/>
      </c>
    </row>
    <row r="120" spans="2:14" ht="14.25" customHeight="1" x14ac:dyDescent="0.2">
      <c r="B120" s="79" t="str">
        <f>IF('Concrete Plant (CP-3)'!$D$4&gt;6,"Batching Period (Dates):","")</f>
        <v/>
      </c>
      <c r="C120" s="339"/>
      <c r="D120" s="342"/>
      <c r="E120" s="343"/>
      <c r="F120" s="175"/>
      <c r="H120" s="127" t="str">
        <f t="shared" si="36"/>
        <v/>
      </c>
      <c r="I120" s="127" t="str">
        <f t="shared" si="35"/>
        <v/>
      </c>
      <c r="J120" s="82"/>
      <c r="K120" s="61"/>
      <c r="L120" s="156"/>
      <c r="M120" s="219" t="str">
        <f t="shared" si="37"/>
        <v/>
      </c>
      <c r="N120" s="219" t="str">
        <f t="shared" si="38"/>
        <v/>
      </c>
    </row>
    <row r="121" spans="2:14" ht="14.25" customHeight="1" x14ac:dyDescent="0.2">
      <c r="B121" s="51" t="str">
        <f>IF(OR(COUNTIF(J118:J127,"Truck Mix Loading")&gt;0,(COUNTIF(J118:J127,"Central Mix Loading")&gt;0)),"Is the Central/Truck Mix Loading process controlled by a baghouse?","")</f>
        <v/>
      </c>
      <c r="C121" s="51"/>
      <c r="D121" s="51"/>
      <c r="E121" s="51"/>
      <c r="F121" s="221"/>
      <c r="G121" s="45"/>
      <c r="H121" s="127" t="str">
        <f t="shared" si="36"/>
        <v/>
      </c>
      <c r="I121" s="127" t="str">
        <f t="shared" si="35"/>
        <v/>
      </c>
      <c r="J121" s="82"/>
      <c r="K121" s="61"/>
      <c r="L121" s="156"/>
      <c r="M121" s="219" t="str">
        <f t="shared" si="37"/>
        <v/>
      </c>
      <c r="N121" s="219" t="str">
        <f t="shared" si="38"/>
        <v/>
      </c>
    </row>
    <row r="122" spans="2:14" ht="14.25" customHeight="1" x14ac:dyDescent="0.2">
      <c r="F122" s="177"/>
      <c r="G122" s="45"/>
      <c r="H122" s="127" t="str">
        <f t="shared" si="36"/>
        <v/>
      </c>
      <c r="I122" s="127" t="str">
        <f t="shared" si="35"/>
        <v/>
      </c>
      <c r="J122" s="82"/>
      <c r="K122" s="61"/>
      <c r="L122" s="156"/>
      <c r="M122" s="219" t="str">
        <f t="shared" si="37"/>
        <v/>
      </c>
      <c r="N122" s="219" t="str">
        <f t="shared" si="38"/>
        <v/>
      </c>
    </row>
    <row r="123" spans="2:14" ht="30" customHeight="1" x14ac:dyDescent="0.2">
      <c r="B123" s="312" t="str">
        <f>IF(AND(B125="",B126="",B127="",B128="",B129=""),"","Process (complete stack information if applicable):")</f>
        <v/>
      </c>
      <c r="C123" s="312" t="str">
        <f>IF(AND(B125="",B126="",B127="",B128="",B129=""),"","Stack Height (ft):")</f>
        <v/>
      </c>
      <c r="D123" s="312" t="str">
        <f>IF(AND(B125="",B126="",B127="",B128="",B129=""),"","Stack Diameter (inches):")</f>
        <v/>
      </c>
      <c r="E123" s="312" t="str">
        <f>IF(AND(B125="",B126="",B127="",B128="",B129=""),"","Flow Rate (acfm):")</f>
        <v/>
      </c>
      <c r="F123" s="312" t="str">
        <f>IF(AND(B125="",B126="",B127="",B128="",B129=""),"","Temp (Deg F):")</f>
        <v/>
      </c>
      <c r="G123" s="45"/>
      <c r="H123" s="127" t="str">
        <f t="shared" si="36"/>
        <v/>
      </c>
      <c r="I123" s="127" t="str">
        <f t="shared" si="35"/>
        <v/>
      </c>
      <c r="J123" s="82"/>
      <c r="K123" s="61"/>
      <c r="L123" s="156"/>
      <c r="M123" s="219" t="str">
        <f t="shared" si="37"/>
        <v/>
      </c>
      <c r="N123" s="219" t="str">
        <f t="shared" si="38"/>
        <v/>
      </c>
    </row>
    <row r="124" spans="2:14" ht="14.25" customHeight="1" x14ac:dyDescent="0.2">
      <c r="B124" s="312"/>
      <c r="C124" s="312"/>
      <c r="D124" s="312"/>
      <c r="E124" s="312"/>
      <c r="F124" s="312"/>
      <c r="G124" s="45"/>
      <c r="H124" s="127" t="str">
        <f t="shared" si="36"/>
        <v/>
      </c>
      <c r="I124" s="127" t="str">
        <f t="shared" si="35"/>
        <v/>
      </c>
      <c r="J124" s="82"/>
      <c r="K124" s="61"/>
      <c r="L124" s="156"/>
      <c r="M124" s="219" t="str">
        <f t="shared" si="37"/>
        <v/>
      </c>
      <c r="N124" s="219" t="str">
        <f t="shared" si="38"/>
        <v/>
      </c>
    </row>
    <row r="125" spans="2:14" ht="14.25" customHeight="1" x14ac:dyDescent="0.2">
      <c r="B125" s="45" t="str">
        <f>IF(COUNTIF(J118:J127,"Cement Delivery to Silo")&gt;0,"EP-2 Cement Silo Stack:","")</f>
        <v/>
      </c>
      <c r="C125" s="221"/>
      <c r="D125" s="221"/>
      <c r="E125" s="221"/>
      <c r="F125" s="221"/>
      <c r="G125" s="45"/>
      <c r="H125" s="127" t="str">
        <f t="shared" si="36"/>
        <v/>
      </c>
      <c r="I125" s="127" t="str">
        <f t="shared" si="35"/>
        <v/>
      </c>
      <c r="J125" s="82"/>
      <c r="K125" s="61"/>
      <c r="L125" s="156"/>
      <c r="M125" s="219" t="str">
        <f t="shared" si="37"/>
        <v/>
      </c>
      <c r="N125" s="219" t="str">
        <f t="shared" si="38"/>
        <v/>
      </c>
    </row>
    <row r="126" spans="2:14" ht="14.25" customHeight="1" x14ac:dyDescent="0.2">
      <c r="B126" s="45" t="str">
        <f>IF(COUNTIF(J118:J127,"Cement Supplement Delivery to Silo")&gt;0,"EP-3 Cement Supplement Silo Stack:","")</f>
        <v/>
      </c>
      <c r="C126" s="221"/>
      <c r="D126" s="221"/>
      <c r="E126" s="221"/>
      <c r="F126" s="221"/>
      <c r="G126" s="45"/>
      <c r="H126" s="127" t="str">
        <f t="shared" si="36"/>
        <v/>
      </c>
      <c r="I126" s="127" t="str">
        <f t="shared" si="35"/>
        <v/>
      </c>
      <c r="J126" s="82"/>
      <c r="K126" s="61"/>
      <c r="L126" s="156"/>
      <c r="M126" s="219" t="str">
        <f t="shared" si="37"/>
        <v/>
      </c>
      <c r="N126" s="219" t="str">
        <f t="shared" si="38"/>
        <v/>
      </c>
    </row>
    <row r="127" spans="2:14" ht="14.25" customHeight="1" x14ac:dyDescent="0.2">
      <c r="B127" s="45" t="str">
        <f>IF(COUNTIF(J118:J127,"Weigh Hopper Loading")&gt;0,"EP-4 Weigh Hopper Loading Stack:","")</f>
        <v/>
      </c>
      <c r="C127" s="221"/>
      <c r="D127" s="221"/>
      <c r="E127" s="221"/>
      <c r="F127" s="221"/>
      <c r="G127" s="45"/>
      <c r="H127" s="127" t="str">
        <f t="shared" si="36"/>
        <v/>
      </c>
      <c r="I127" s="127" t="str">
        <f t="shared" si="35"/>
        <v/>
      </c>
      <c r="J127" s="82"/>
      <c r="K127" s="61"/>
      <c r="L127" s="156"/>
      <c r="M127" s="219" t="str">
        <f t="shared" si="37"/>
        <v/>
      </c>
      <c r="N127" s="219" t="str">
        <f t="shared" si="38"/>
        <v/>
      </c>
    </row>
    <row r="128" spans="2:14" ht="14.25" customHeight="1" x14ac:dyDescent="0.2">
      <c r="B128" s="45" t="str">
        <f>IF(COUNTIF(J118:J127,"Truck Mix Loading")&gt;0,"EP-5 Truck Mix Loading Stack:","")</f>
        <v/>
      </c>
      <c r="C128" s="221"/>
      <c r="D128" s="221"/>
      <c r="E128" s="221"/>
      <c r="F128" s="221"/>
      <c r="G128" s="45"/>
      <c r="H128" s="45"/>
      <c r="I128" s="45"/>
    </row>
    <row r="129" spans="2:14" ht="14.25" customHeight="1" x14ac:dyDescent="0.2">
      <c r="B129" s="45" t="str">
        <f>IF(COUNTIF(J118:J127,"Central Mix Loading")&gt;0,"EP-6 Central Mix Loading Stack:","")</f>
        <v/>
      </c>
      <c r="C129" s="221"/>
      <c r="D129" s="221"/>
      <c r="E129" s="221"/>
      <c r="F129" s="221"/>
      <c r="G129" s="45"/>
      <c r="H129" s="74" t="str">
        <f>IF('Concrete Plant (CP-3)'!$D$4&gt;6,"Stock Pile Area","")</f>
        <v/>
      </c>
      <c r="I129" s="74"/>
      <c r="J129" s="75"/>
    </row>
    <row r="130" spans="2:14" ht="14.25" customHeight="1" x14ac:dyDescent="0.2">
      <c r="B130" s="73"/>
      <c r="C130" s="163"/>
      <c r="D130" s="163"/>
      <c r="E130" s="163"/>
      <c r="F130" s="176"/>
      <c r="G130" s="45"/>
      <c r="I130" s="51" t="str">
        <f>IF('Concrete Plant (CP-3)'!$D$4&gt;6,"Emission Unit #","")</f>
        <v/>
      </c>
      <c r="J130" s="80" t="str">
        <f>IF('Concrete Plant (CP-3)'!$D$4&gt;6,"Maximum Storage Area (acres)","")</f>
        <v/>
      </c>
      <c r="K130" s="81" t="str">
        <f>IF('Concrete Plant (CP-3)'!$D$4&gt;6,"Actual Storage Area (acres)","")</f>
        <v/>
      </c>
      <c r="L130" s="80" t="str">
        <f>IF('Concrete Plant (CP-3)'!$D$4&gt;6,"Actual Days in Existence (days)","")</f>
        <v/>
      </c>
      <c r="M130" s="146"/>
      <c r="N130" s="146"/>
    </row>
    <row r="131" spans="2:14" ht="14.25" customHeight="1" x14ac:dyDescent="0.2">
      <c r="B131" s="73"/>
      <c r="C131" s="163"/>
      <c r="D131" s="163"/>
      <c r="E131" s="163"/>
      <c r="F131" s="176"/>
      <c r="I131" s="65"/>
      <c r="J131" s="144"/>
      <c r="K131" s="66"/>
      <c r="L131" s="144"/>
      <c r="M131" s="146"/>
      <c r="N131" s="146"/>
    </row>
    <row r="132" spans="2:14" ht="14.25" customHeight="1" x14ac:dyDescent="0.2">
      <c r="B132" s="73"/>
      <c r="C132" s="163"/>
      <c r="D132" s="163"/>
      <c r="E132" s="163"/>
      <c r="F132" s="176"/>
      <c r="G132" s="76"/>
    </row>
    <row r="133" spans="2:14" ht="28.5" customHeight="1" x14ac:dyDescent="0.25">
      <c r="B133" s="78" t="str">
        <f>IF('Concrete Plant (CP-3)'!$D$4&gt;7,"Batch Plant","")</f>
        <v/>
      </c>
      <c r="C133" s="71" t="str">
        <f>IF('Concrete Plant (CP-3)'!$D$4&gt;7,"Site 8","")</f>
        <v/>
      </c>
      <c r="D133" s="71"/>
      <c r="E133" s="71"/>
      <c r="F133" s="71"/>
      <c r="H133" s="310" t="str">
        <f>IF('Concrete Plant (CP-3)'!$D$4&gt;7,"Emission Point #","")</f>
        <v/>
      </c>
      <c r="I133" s="310" t="str">
        <f>IF('Concrete Plant (CP-3)'!$D$4&gt;7,"Emission     Unit #","")</f>
        <v/>
      </c>
      <c r="J133" s="310" t="str">
        <f>IF('Concrete Plant (CP-3)'!$D$4&gt;7,"Processes","")</f>
        <v/>
      </c>
      <c r="K133" s="311" t="str">
        <f>IF('Concrete Plant (CP-3)'!$D$4&gt;7,"Combined Maximum Hourly Design Rate for all Like Processes (cubic yard/hr)","")</f>
        <v/>
      </c>
      <c r="L133" s="310" t="str">
        <f>IF('Concrete Plant (CP-3)'!$D$4&gt;7,('Facility Information'!G5&amp;" Annual Throughput (cubic yards)"),"")</f>
        <v/>
      </c>
      <c r="M133" s="217"/>
      <c r="N133" s="217"/>
    </row>
    <row r="134" spans="2:14" ht="14.25" customHeight="1" x14ac:dyDescent="0.2">
      <c r="B134" s="79" t="str">
        <f>IF('Concrete Plant (CP-3)'!$D$4&gt;7,"Site Name:","")</f>
        <v/>
      </c>
      <c r="C134" s="339"/>
      <c r="D134" s="342"/>
      <c r="E134" s="343"/>
      <c r="F134" s="175"/>
      <c r="H134" s="127" t="str">
        <f>IF(J134="cement delivery to silo","CP-1 EP-2",IF(J134="cement supplement delivery to silo","CP-1 EP-3",IF(J134="weigh hopper loading","CP-1 EP-4",IF(J134="truck mix loading","CP-1 EP-5",IF(J134="central mix loading","CP-1 EP-6",IF(J134="","","CP-1 EP-1"))))))</f>
        <v/>
      </c>
      <c r="I134" s="127" t="str">
        <f t="shared" ref="I134:I143" si="39">IF(J134="","",IF(J134="aggregate delivery to ground storage","CP-3 EU-1",IF(J134="sand delivery to ground storage","CP-3 EU-2",IF(J134="aggregate transfer to conveyor","CP-3 EU-3",IF(J134="sand transfer to conveyor","CP-3 EU-4",IF(J134="aggregate transfer to elevated storage","CP-3 EU-5",IF(J134="sand transfer to elevated storage","CP-3 EU-6",IF(J134="weigh hopper loading","CP-3 EU-7",IF(J134="central mix loading","CP-3 EU-8",IF(J134="truck mix loading","CP-3 EU-9",IF(J134="cement delivery to silo","CP-3 EU-10",IF(J134="cement supplement delivery to silo","CP-3 EU-11"))))))))))))</f>
        <v/>
      </c>
      <c r="J134" s="82"/>
      <c r="K134" s="61"/>
      <c r="L134" s="156"/>
      <c r="M134" s="219" t="str">
        <f>IF(J134="truck mix loading",IF($F$137="yes",L134*0.05/2000,L134/2000),"")</f>
        <v/>
      </c>
      <c r="N134" s="219" t="str">
        <f>IF(J134="central mix loading",IF($F$137="yes",L134*0.05/2000,L134/2000),"")</f>
        <v/>
      </c>
    </row>
    <row r="135" spans="2:14" ht="14.25" customHeight="1" x14ac:dyDescent="0.2">
      <c r="B135" s="79" t="str">
        <f>IF('Concrete Plant (CP-3)'!$D$4&gt;7,"County:","")</f>
        <v/>
      </c>
      <c r="C135" s="339"/>
      <c r="D135" s="342"/>
      <c r="E135" s="343"/>
      <c r="F135" s="175"/>
      <c r="G135" s="45"/>
      <c r="H135" s="127" t="str">
        <f t="shared" ref="H135:H143" si="40">IF(J135="cement delivery to silo","CP-1 EP-2",IF(J135="cement supplement delivery to silo","CP-1 EP-3",IF(J135="weigh hopper loading","CP-1 EP-4",IF(J135="truck mix loading","CP-1 EP-5",IF(J135="central mix loading","CP-1 EP-6",IF(J135="","","CP-1 EP-1"))))))</f>
        <v/>
      </c>
      <c r="I135" s="127" t="str">
        <f t="shared" si="39"/>
        <v/>
      </c>
      <c r="J135" s="82"/>
      <c r="K135" s="61"/>
      <c r="L135" s="156"/>
      <c r="M135" s="219" t="str">
        <f t="shared" ref="M135:M143" si="41">IF(J135="truck mix loading",IF($F$137="yes",L135*0.05/2000,L135/2000),"")</f>
        <v/>
      </c>
      <c r="N135" s="219" t="str">
        <f t="shared" ref="N135:N143" si="42">IF(J135="central mix loading",IF($F$137="yes",L135*0.05/2000,L135/2000),"")</f>
        <v/>
      </c>
    </row>
    <row r="136" spans="2:14" ht="14.25" customHeight="1" x14ac:dyDescent="0.2">
      <c r="B136" s="79" t="str">
        <f>IF('Concrete Plant (CP-3)'!$D$4&gt;7,"Batching Period (Dates):","")</f>
        <v/>
      </c>
      <c r="C136" s="339"/>
      <c r="D136" s="342"/>
      <c r="E136" s="343"/>
      <c r="F136" s="175"/>
      <c r="G136" s="45"/>
      <c r="H136" s="127" t="str">
        <f t="shared" si="40"/>
        <v/>
      </c>
      <c r="I136" s="127" t="str">
        <f t="shared" si="39"/>
        <v/>
      </c>
      <c r="J136" s="82"/>
      <c r="K136" s="61"/>
      <c r="L136" s="156"/>
      <c r="M136" s="219" t="str">
        <f t="shared" si="41"/>
        <v/>
      </c>
      <c r="N136" s="219" t="str">
        <f t="shared" si="42"/>
        <v/>
      </c>
    </row>
    <row r="137" spans="2:14" ht="14.25" customHeight="1" x14ac:dyDescent="0.2">
      <c r="B137" s="51" t="str">
        <f>IF(OR(COUNTIF(J134:J143,"Truck Mix Loading")&gt;0,(COUNTIF(J134:J143,"Central Mix Loading")&gt;0)),"Is the Central/Truck Mix Loading process controlled by a baghouse?","")</f>
        <v/>
      </c>
      <c r="C137" s="51"/>
      <c r="D137" s="51"/>
      <c r="E137" s="51"/>
      <c r="F137" s="221"/>
      <c r="G137" s="45"/>
      <c r="H137" s="127" t="str">
        <f t="shared" si="40"/>
        <v/>
      </c>
      <c r="I137" s="127" t="str">
        <f t="shared" si="39"/>
        <v/>
      </c>
      <c r="J137" s="82"/>
      <c r="K137" s="61"/>
      <c r="L137" s="156"/>
      <c r="M137" s="219" t="str">
        <f t="shared" si="41"/>
        <v/>
      </c>
      <c r="N137" s="219" t="str">
        <f t="shared" si="42"/>
        <v/>
      </c>
    </row>
    <row r="138" spans="2:14" ht="14.25" customHeight="1" x14ac:dyDescent="0.2">
      <c r="F138" s="177"/>
      <c r="G138" s="45"/>
      <c r="H138" s="127" t="str">
        <f t="shared" si="40"/>
        <v/>
      </c>
      <c r="I138" s="127" t="str">
        <f t="shared" si="39"/>
        <v/>
      </c>
      <c r="J138" s="82"/>
      <c r="K138" s="61"/>
      <c r="L138" s="156"/>
      <c r="M138" s="219" t="str">
        <f t="shared" si="41"/>
        <v/>
      </c>
      <c r="N138" s="219" t="str">
        <f t="shared" si="42"/>
        <v/>
      </c>
    </row>
    <row r="139" spans="2:14" ht="29.25" customHeight="1" x14ac:dyDescent="0.2">
      <c r="B139" s="312" t="str">
        <f>IF(AND(B141="",B142="",B143="",B144="",B145=""),"","Process (complete stack information if applicable):")</f>
        <v/>
      </c>
      <c r="C139" s="312" t="str">
        <f>IF(AND(B141="",B142="",B143="",B144="",B145=""),"","Stack Height (ft):")</f>
        <v/>
      </c>
      <c r="D139" s="312" t="str">
        <f>IF(AND(B141="",B142="",B143="",B144="",B145=""),"","Stack Diameter (inches):")</f>
        <v/>
      </c>
      <c r="E139" s="312" t="str">
        <f>IF(AND(B141="",B142="",B143="",B144="",B145=""),"","Flow Rate (acfm):")</f>
        <v/>
      </c>
      <c r="F139" s="312" t="str">
        <f>IF(AND(B141="",B142="",B143="",B144="",B145=""),"","Temp (Deg F):")</f>
        <v/>
      </c>
      <c r="G139" s="45"/>
      <c r="H139" s="127" t="str">
        <f t="shared" si="40"/>
        <v/>
      </c>
      <c r="I139" s="127" t="str">
        <f t="shared" si="39"/>
        <v/>
      </c>
      <c r="J139" s="82"/>
      <c r="K139" s="61"/>
      <c r="L139" s="156"/>
      <c r="M139" s="219" t="str">
        <f t="shared" si="41"/>
        <v/>
      </c>
      <c r="N139" s="219" t="str">
        <f t="shared" si="42"/>
        <v/>
      </c>
    </row>
    <row r="140" spans="2:14" ht="14.25" customHeight="1" x14ac:dyDescent="0.2">
      <c r="B140" s="312"/>
      <c r="C140" s="312"/>
      <c r="D140" s="312"/>
      <c r="E140" s="312"/>
      <c r="F140" s="312"/>
      <c r="G140" s="45"/>
      <c r="H140" s="127" t="str">
        <f t="shared" si="40"/>
        <v/>
      </c>
      <c r="I140" s="127" t="str">
        <f t="shared" si="39"/>
        <v/>
      </c>
      <c r="J140" s="82"/>
      <c r="K140" s="61"/>
      <c r="L140" s="156"/>
      <c r="M140" s="219" t="str">
        <f t="shared" si="41"/>
        <v/>
      </c>
      <c r="N140" s="219" t="str">
        <f t="shared" si="42"/>
        <v/>
      </c>
    </row>
    <row r="141" spans="2:14" ht="14.25" customHeight="1" x14ac:dyDescent="0.2">
      <c r="B141" s="45" t="str">
        <f>IF(COUNTIF(J134:J143,"Cement Delivery to Silo")&gt;0,"EP-2 Cement Silo Stack:","")</f>
        <v/>
      </c>
      <c r="C141" s="221"/>
      <c r="D141" s="221"/>
      <c r="E141" s="221"/>
      <c r="F141" s="221"/>
      <c r="G141" s="45"/>
      <c r="H141" s="127" t="str">
        <f t="shared" si="40"/>
        <v/>
      </c>
      <c r="I141" s="127" t="str">
        <f t="shared" si="39"/>
        <v/>
      </c>
      <c r="J141" s="82"/>
      <c r="K141" s="61"/>
      <c r="L141" s="156"/>
      <c r="M141" s="219" t="str">
        <f t="shared" si="41"/>
        <v/>
      </c>
      <c r="N141" s="219" t="str">
        <f t="shared" si="42"/>
        <v/>
      </c>
    </row>
    <row r="142" spans="2:14" ht="14.25" customHeight="1" x14ac:dyDescent="0.2">
      <c r="B142" s="45" t="str">
        <f>IF(COUNTIF(J134:J143,"Cement Supplement Delivery to Silo")&gt;0,"EP-3 Cement Supplement Silo Stack:","")</f>
        <v/>
      </c>
      <c r="C142" s="221"/>
      <c r="D142" s="221"/>
      <c r="E142" s="221"/>
      <c r="F142" s="221"/>
      <c r="G142" s="45"/>
      <c r="H142" s="127" t="str">
        <f t="shared" si="40"/>
        <v/>
      </c>
      <c r="I142" s="127" t="str">
        <f t="shared" si="39"/>
        <v/>
      </c>
      <c r="J142" s="82"/>
      <c r="K142" s="61"/>
      <c r="L142" s="156"/>
      <c r="M142" s="219" t="str">
        <f t="shared" si="41"/>
        <v/>
      </c>
      <c r="N142" s="219" t="str">
        <f t="shared" si="42"/>
        <v/>
      </c>
    </row>
    <row r="143" spans="2:14" ht="14.25" customHeight="1" x14ac:dyDescent="0.2">
      <c r="B143" s="45" t="str">
        <f>IF(COUNTIF(J134:J143,"Weigh Hopper Loading")&gt;0,"EP-4 Weigh Hopper Loading Stack:","")</f>
        <v/>
      </c>
      <c r="C143" s="221"/>
      <c r="D143" s="221"/>
      <c r="E143" s="221"/>
      <c r="F143" s="221"/>
      <c r="G143" s="45"/>
      <c r="H143" s="127" t="str">
        <f t="shared" si="40"/>
        <v/>
      </c>
      <c r="I143" s="127" t="str">
        <f t="shared" si="39"/>
        <v/>
      </c>
      <c r="J143" s="82"/>
      <c r="K143" s="61"/>
      <c r="L143" s="156"/>
      <c r="M143" s="219" t="str">
        <f t="shared" si="41"/>
        <v/>
      </c>
      <c r="N143" s="219" t="str">
        <f t="shared" si="42"/>
        <v/>
      </c>
    </row>
    <row r="144" spans="2:14" ht="14.25" customHeight="1" x14ac:dyDescent="0.2">
      <c r="B144" s="45" t="str">
        <f>IF(COUNTIF(J134:J143,"Truck Mix Loading")&gt;0,"EP-5 Truck Mix Loading Stack:","")</f>
        <v/>
      </c>
      <c r="C144" s="221"/>
      <c r="D144" s="221"/>
      <c r="E144" s="221"/>
      <c r="F144" s="221"/>
      <c r="G144" s="45"/>
      <c r="H144" s="45"/>
      <c r="I144" s="45"/>
    </row>
    <row r="145" spans="2:14" ht="14.25" customHeight="1" x14ac:dyDescent="0.2">
      <c r="B145" s="45" t="str">
        <f>IF(COUNTIF(J134:J143,"Central Mix Loading")&gt;0,"EP-6 Central Mix Loading Stack:","")</f>
        <v/>
      </c>
      <c r="C145" s="221"/>
      <c r="D145" s="221"/>
      <c r="E145" s="221"/>
      <c r="F145" s="221"/>
      <c r="H145" s="74" t="str">
        <f>IF('Concrete Plant (CP-3)'!$D$4&gt;7,"Stock Pile Area","")</f>
        <v/>
      </c>
      <c r="I145" s="74"/>
      <c r="J145" s="75"/>
    </row>
    <row r="146" spans="2:14" ht="14.25" customHeight="1" x14ac:dyDescent="0.2">
      <c r="B146" s="73"/>
      <c r="C146" s="163"/>
      <c r="D146" s="163"/>
      <c r="E146" s="163"/>
      <c r="F146" s="176"/>
      <c r="G146" s="76"/>
      <c r="I146" s="51" t="str">
        <f>IF('Concrete Plant (CP-3)'!$D$4&gt;7,"Emission Unit #","")</f>
        <v/>
      </c>
      <c r="J146" s="80" t="str">
        <f>IF('Concrete Plant (CP-3)'!$D$4&gt;7,"Maximum Storage Area (acres)","")</f>
        <v/>
      </c>
      <c r="K146" s="81" t="str">
        <f>IF('Concrete Plant (CP-3)'!$D$4&gt;7,"Actual Storage Area (acres)","")</f>
        <v/>
      </c>
      <c r="L146" s="80" t="str">
        <f>IF('Concrete Plant (CP-3)'!$D$4&gt;7,"Actual Days in Existence (days)","")</f>
        <v/>
      </c>
      <c r="M146" s="146"/>
      <c r="N146" s="146"/>
    </row>
    <row r="147" spans="2:14" ht="14.25" customHeight="1" x14ac:dyDescent="0.2">
      <c r="B147" s="73"/>
      <c r="C147" s="163"/>
      <c r="D147" s="163"/>
      <c r="E147" s="163"/>
      <c r="F147" s="176"/>
      <c r="I147" s="65"/>
      <c r="J147" s="144"/>
      <c r="K147" s="66"/>
      <c r="L147" s="144"/>
      <c r="M147" s="146"/>
      <c r="N147" s="146"/>
    </row>
    <row r="148" spans="2:14" ht="14.25" customHeight="1" x14ac:dyDescent="0.2">
      <c r="B148" s="73"/>
      <c r="C148" s="163"/>
      <c r="D148" s="163"/>
      <c r="E148" s="163"/>
      <c r="F148" s="176"/>
    </row>
    <row r="149" spans="2:14" ht="30" customHeight="1" x14ac:dyDescent="0.25">
      <c r="B149" s="78" t="str">
        <f>IF('Concrete Plant (CP-3)'!$D$4&gt;8,"Batch Plant","")</f>
        <v/>
      </c>
      <c r="C149" s="71" t="str">
        <f>IF('Concrete Plant (CP-3)'!$D$4&gt;8,"Site 9","")</f>
        <v/>
      </c>
      <c r="D149" s="71"/>
      <c r="E149" s="71"/>
      <c r="F149" s="71"/>
      <c r="H149" s="310" t="str">
        <f>IF('Concrete Plant (CP-3)'!$D$4&gt;8,"Emission Point #","")</f>
        <v/>
      </c>
      <c r="I149" s="310" t="str">
        <f>IF('Concrete Plant (CP-3)'!$D$4&gt;8,"Emission     Unit #","")</f>
        <v/>
      </c>
      <c r="J149" s="310" t="str">
        <f>IF('Concrete Plant (CP-3)'!$D$4&gt;8,"Processes","")</f>
        <v/>
      </c>
      <c r="K149" s="311" t="str">
        <f>IF('Concrete Plant (CP-3)'!$D$4&gt;8,"Combined Maximum Hourly Design Rate for all Like Processes (cubic yard/hr)","")</f>
        <v/>
      </c>
      <c r="L149" s="310" t="str">
        <f>IF('Concrete Plant (CP-3)'!$D$4&gt;8,('Facility Information'!G5&amp;" Annual Throughput (cubic yards)"),"")</f>
        <v/>
      </c>
      <c r="M149" s="217"/>
      <c r="N149" s="217"/>
    </row>
    <row r="150" spans="2:14" ht="14.25" customHeight="1" x14ac:dyDescent="0.2">
      <c r="B150" s="79" t="str">
        <f>IF('Concrete Plant (CP-3)'!$D$4&gt;8,"Site Name:","")</f>
        <v/>
      </c>
      <c r="C150" s="339"/>
      <c r="D150" s="342"/>
      <c r="E150" s="343"/>
      <c r="F150" s="175"/>
      <c r="G150" s="45"/>
      <c r="H150" s="127" t="str">
        <f>IF(J150="cement delivery to silo","CP-1 EP-2",IF(J150="cement supplement delivery to silo","CP-1 EP-3",IF(J150="weigh hopper loading","CP-1 EP-4",IF(J150="truck mix loading","CP-1 EP-5",IF(J150="central mix loading","CP-1 EP-6",IF(J150="","","CP-1 EP-1"))))))</f>
        <v/>
      </c>
      <c r="I150" s="127" t="str">
        <f t="shared" ref="I150:I159" si="43">IF(J150="","",IF(J150="aggregate delivery to ground storage","CP-3 EU-1",IF(J150="sand delivery to ground storage","CP-3 EU-2",IF(J150="aggregate transfer to conveyor","CP-3 EU-3",IF(J150="sand transfer to conveyor","CP-3 EU-4",IF(J150="aggregate transfer to elevated storage","CP-3 EU-5",IF(J150="sand transfer to elevated storage","CP-3 EU-6",IF(J150="weigh hopper loading","CP-3 EU-7",IF(J150="central mix loading","CP-3 EU-8",IF(J150="truck mix loading","CP-3 EU-9",IF(J150="cement delivery to silo","CP-3 EU-10",IF(J150="cement supplement delivery to silo","CP-3 EU-11"))))))))))))</f>
        <v/>
      </c>
      <c r="J150" s="82"/>
      <c r="K150" s="61"/>
      <c r="L150" s="156"/>
      <c r="M150" s="219" t="str">
        <f>IF(J150="truck mix loading",IF($F$153="yes",L150*0.05/2000,L150/2000),"")</f>
        <v/>
      </c>
      <c r="N150" s="219" t="str">
        <f>IF(J150="central mix loading",IF($F$153="yes",L150*0.05/2000,L150/2000),"")</f>
        <v/>
      </c>
    </row>
    <row r="151" spans="2:14" ht="14.25" customHeight="1" x14ac:dyDescent="0.2">
      <c r="B151" s="79" t="str">
        <f>IF('Concrete Plant (CP-3)'!$D$4&gt;8,"County:","")</f>
        <v/>
      </c>
      <c r="C151" s="339"/>
      <c r="D151" s="342"/>
      <c r="E151" s="343"/>
      <c r="F151" s="175"/>
      <c r="G151" s="45"/>
      <c r="H151" s="127" t="str">
        <f t="shared" ref="H151:H159" si="44">IF(J151="cement delivery to silo","CP-1 EP-2",IF(J151="cement supplement delivery to silo","CP-1 EP-3",IF(J151="weigh hopper loading","CP-1 EP-4",IF(J151="truck mix loading","CP-1 EP-5",IF(J151="central mix loading","CP-1 EP-6",IF(J151="","","CP-1 EP-1"))))))</f>
        <v/>
      </c>
      <c r="I151" s="127" t="str">
        <f t="shared" si="43"/>
        <v/>
      </c>
      <c r="J151" s="82"/>
      <c r="K151" s="61"/>
      <c r="L151" s="156"/>
      <c r="M151" s="219" t="str">
        <f t="shared" ref="M151:M159" si="45">IF(J151="truck mix loading",IF($F$153="yes",L151*0.05/2000,L151/2000),"")</f>
        <v/>
      </c>
      <c r="N151" s="219" t="str">
        <f t="shared" ref="N151:N159" si="46">IF(J151="central mix loading",IF($F$153="yes",L151*0.05/2000,L151/2000),"")</f>
        <v/>
      </c>
    </row>
    <row r="152" spans="2:14" ht="14.25" customHeight="1" x14ac:dyDescent="0.2">
      <c r="B152" s="79" t="str">
        <f>IF('Concrete Plant (CP-3)'!$D$4&gt;8,"Batching Period (Dates):","")</f>
        <v/>
      </c>
      <c r="C152" s="339"/>
      <c r="D152" s="342"/>
      <c r="E152" s="343"/>
      <c r="F152" s="175"/>
      <c r="G152" s="45"/>
      <c r="H152" s="127" t="str">
        <f t="shared" si="44"/>
        <v/>
      </c>
      <c r="I152" s="127" t="str">
        <f t="shared" si="43"/>
        <v/>
      </c>
      <c r="J152" s="82"/>
      <c r="K152" s="61"/>
      <c r="L152" s="156"/>
      <c r="M152" s="219" t="str">
        <f t="shared" si="45"/>
        <v/>
      </c>
      <c r="N152" s="219" t="str">
        <f t="shared" si="46"/>
        <v/>
      </c>
    </row>
    <row r="153" spans="2:14" ht="14.25" customHeight="1" x14ac:dyDescent="0.2">
      <c r="B153" s="51" t="str">
        <f>IF(OR(COUNTIF(J150:J159,"Truck Mix Loading")&gt;0,(COUNTIF(J150:J159,"Central Mix Loading")&gt;0)),"Is the Central/Truck Mix Loading process controlled by a baghouse?","")</f>
        <v/>
      </c>
      <c r="C153" s="51"/>
      <c r="D153" s="51"/>
      <c r="E153" s="51"/>
      <c r="F153" s="221"/>
      <c r="G153" s="45"/>
      <c r="H153" s="127" t="str">
        <f t="shared" si="44"/>
        <v/>
      </c>
      <c r="I153" s="127" t="str">
        <f t="shared" si="43"/>
        <v/>
      </c>
      <c r="J153" s="82"/>
      <c r="K153" s="61"/>
      <c r="L153" s="156"/>
      <c r="M153" s="219" t="str">
        <f t="shared" si="45"/>
        <v/>
      </c>
      <c r="N153" s="219" t="str">
        <f t="shared" si="46"/>
        <v/>
      </c>
    </row>
    <row r="154" spans="2:14" ht="14.25" customHeight="1" x14ac:dyDescent="0.2">
      <c r="F154" s="177"/>
      <c r="G154" s="45"/>
      <c r="H154" s="127" t="str">
        <f t="shared" si="44"/>
        <v/>
      </c>
      <c r="I154" s="127" t="str">
        <f t="shared" si="43"/>
        <v/>
      </c>
      <c r="J154" s="82"/>
      <c r="K154" s="61"/>
      <c r="L154" s="156"/>
      <c r="M154" s="219" t="str">
        <f t="shared" si="45"/>
        <v/>
      </c>
      <c r="N154" s="219" t="str">
        <f t="shared" si="46"/>
        <v/>
      </c>
    </row>
    <row r="155" spans="2:14" ht="29.25" customHeight="1" x14ac:dyDescent="0.2">
      <c r="B155" s="312" t="str">
        <f>IF(AND(B157="",B158="",B159="",B160="",B161=""),"","Process (complete stack information if applicable):")</f>
        <v/>
      </c>
      <c r="C155" s="312" t="str">
        <f>IF(AND(B157="",B158="",B159="",B160="",B161=""),"","Stack Height (ft):")</f>
        <v/>
      </c>
      <c r="D155" s="312" t="str">
        <f>IF(AND(B157="",B158="",B159="",B160="",B161=""),"","Stack Diameter (inches):")</f>
        <v/>
      </c>
      <c r="E155" s="312" t="str">
        <f>IF(AND(B157="",B158="",B159="",B160="",B161=""),"","Flow Rate (acfm):")</f>
        <v/>
      </c>
      <c r="F155" s="312" t="str">
        <f>IF(AND(B157="",B158="",B159="",B160="",B161=""),"","Temp (Deg F):")</f>
        <v/>
      </c>
      <c r="G155" s="45"/>
      <c r="H155" s="127" t="str">
        <f t="shared" si="44"/>
        <v/>
      </c>
      <c r="I155" s="127" t="str">
        <f t="shared" si="43"/>
        <v/>
      </c>
      <c r="J155" s="82"/>
      <c r="K155" s="61"/>
      <c r="L155" s="156"/>
      <c r="M155" s="219" t="str">
        <f t="shared" si="45"/>
        <v/>
      </c>
      <c r="N155" s="219" t="str">
        <f t="shared" si="46"/>
        <v/>
      </c>
    </row>
    <row r="156" spans="2:14" ht="14.25" customHeight="1" x14ac:dyDescent="0.2">
      <c r="B156" s="312"/>
      <c r="C156" s="312"/>
      <c r="D156" s="312"/>
      <c r="E156" s="312"/>
      <c r="F156" s="312"/>
      <c r="G156" s="45"/>
      <c r="H156" s="127" t="str">
        <f t="shared" si="44"/>
        <v/>
      </c>
      <c r="I156" s="127" t="str">
        <f t="shared" si="43"/>
        <v/>
      </c>
      <c r="J156" s="82"/>
      <c r="K156" s="61"/>
      <c r="L156" s="156"/>
      <c r="M156" s="219" t="str">
        <f t="shared" si="45"/>
        <v/>
      </c>
      <c r="N156" s="219" t="str">
        <f t="shared" si="46"/>
        <v/>
      </c>
    </row>
    <row r="157" spans="2:14" ht="14.25" customHeight="1" x14ac:dyDescent="0.2">
      <c r="B157" s="45" t="str">
        <f>IF(COUNTIF(J150:J159,"Cement Delivery to Silo")&gt;0,"EP-2 Cement Silo Stack:","")</f>
        <v/>
      </c>
      <c r="C157" s="221"/>
      <c r="D157" s="221"/>
      <c r="E157" s="221"/>
      <c r="F157" s="221"/>
      <c r="G157" s="45"/>
      <c r="H157" s="127" t="str">
        <f t="shared" si="44"/>
        <v/>
      </c>
      <c r="I157" s="127" t="str">
        <f t="shared" si="43"/>
        <v/>
      </c>
      <c r="J157" s="82"/>
      <c r="K157" s="61"/>
      <c r="L157" s="156"/>
      <c r="M157" s="219" t="str">
        <f t="shared" si="45"/>
        <v/>
      </c>
      <c r="N157" s="219" t="str">
        <f t="shared" si="46"/>
        <v/>
      </c>
    </row>
    <row r="158" spans="2:14" ht="14.25" customHeight="1" x14ac:dyDescent="0.2">
      <c r="B158" s="45" t="str">
        <f>IF(COUNTIF(J150:J159,"Cement Supplement Delivery to Silo")&gt;0,"EP-3 Cement Supplement Silo Stack:","")</f>
        <v/>
      </c>
      <c r="C158" s="221"/>
      <c r="D158" s="221"/>
      <c r="E158" s="221"/>
      <c r="F158" s="221"/>
      <c r="G158" s="45"/>
      <c r="H158" s="127" t="str">
        <f t="shared" si="44"/>
        <v/>
      </c>
      <c r="I158" s="127" t="str">
        <f t="shared" si="43"/>
        <v/>
      </c>
      <c r="J158" s="82"/>
      <c r="K158" s="61"/>
      <c r="L158" s="156"/>
      <c r="M158" s="219" t="str">
        <f t="shared" si="45"/>
        <v/>
      </c>
      <c r="N158" s="219" t="str">
        <f t="shared" si="46"/>
        <v/>
      </c>
    </row>
    <row r="159" spans="2:14" ht="14.25" customHeight="1" x14ac:dyDescent="0.2">
      <c r="B159" s="45" t="str">
        <f>IF(COUNTIF(J150:J159,"Weigh Hopper Loading")&gt;0,"EP-4 Weigh Hopper Loading Stack:","")</f>
        <v/>
      </c>
      <c r="C159" s="221"/>
      <c r="D159" s="221"/>
      <c r="E159" s="221"/>
      <c r="F159" s="221"/>
      <c r="H159" s="127" t="str">
        <f t="shared" si="44"/>
        <v/>
      </c>
      <c r="I159" s="127" t="str">
        <f t="shared" si="43"/>
        <v/>
      </c>
      <c r="J159" s="82"/>
      <c r="K159" s="61"/>
      <c r="L159" s="156"/>
      <c r="M159" s="219" t="str">
        <f t="shared" si="45"/>
        <v/>
      </c>
      <c r="N159" s="219" t="str">
        <f t="shared" si="46"/>
        <v/>
      </c>
    </row>
    <row r="160" spans="2:14" ht="14.25" customHeight="1" x14ac:dyDescent="0.2">
      <c r="B160" s="45" t="str">
        <f>IF(COUNTIF(J150:J159,"Truck Mix Loading")&gt;0,"EP-5 Truck Mix Loading Stack:","")</f>
        <v/>
      </c>
      <c r="C160" s="221"/>
      <c r="D160" s="221"/>
      <c r="E160" s="221"/>
      <c r="F160" s="221"/>
      <c r="G160" s="76"/>
      <c r="H160" s="45"/>
      <c r="I160" s="45"/>
    </row>
    <row r="161" spans="2:14" ht="14.25" customHeight="1" x14ac:dyDescent="0.2">
      <c r="B161" s="45" t="str">
        <f>IF(COUNTIF(J150:J159,"Central Mix Loading")&gt;0,"EP-6 Central Mix Loading Stack:","")</f>
        <v/>
      </c>
      <c r="C161" s="221"/>
      <c r="D161" s="221"/>
      <c r="E161" s="221"/>
      <c r="F161" s="221"/>
      <c r="H161" s="74" t="str">
        <f>IF('Concrete Plant (CP-3)'!$D$4&gt;8,"Stock Pile Area","")</f>
        <v/>
      </c>
      <c r="I161" s="74"/>
      <c r="J161" s="75"/>
    </row>
    <row r="162" spans="2:14" ht="14.25" customHeight="1" x14ac:dyDescent="0.2">
      <c r="B162" s="73"/>
      <c r="C162" s="163"/>
      <c r="D162" s="163"/>
      <c r="E162" s="163"/>
      <c r="F162" s="176"/>
      <c r="I162" s="51" t="str">
        <f>IF('Concrete Plant (CP-3)'!$D$4&gt;8,"Emission Unit #","")</f>
        <v/>
      </c>
      <c r="J162" s="80" t="str">
        <f>IF('Concrete Plant (CP-3)'!$D$4&gt;8,"Maximum Storage Area (acres)","")</f>
        <v/>
      </c>
      <c r="K162" s="81" t="str">
        <f>IF('Concrete Plant (CP-3)'!$D$4&gt;8,"Actual Storage Area (acres)","")</f>
        <v/>
      </c>
      <c r="L162" s="80" t="str">
        <f>IF('Concrete Plant (CP-3)'!$D$4&gt;8,"Actual Days in Existence (days)","")</f>
        <v/>
      </c>
      <c r="M162" s="146"/>
      <c r="N162" s="146"/>
    </row>
    <row r="163" spans="2:14" ht="14.25" customHeight="1" x14ac:dyDescent="0.2">
      <c r="B163" s="73"/>
      <c r="C163" s="163"/>
      <c r="D163" s="163"/>
      <c r="E163" s="163"/>
      <c r="F163" s="176"/>
      <c r="I163" s="65"/>
      <c r="J163" s="144"/>
      <c r="K163" s="66"/>
      <c r="L163" s="144"/>
      <c r="M163" s="146"/>
      <c r="N163" s="146"/>
    </row>
    <row r="164" spans="2:14" ht="14.25" customHeight="1" x14ac:dyDescent="0.2">
      <c r="B164" s="73"/>
      <c r="C164" s="163"/>
      <c r="D164" s="163"/>
      <c r="E164" s="163"/>
      <c r="F164" s="176"/>
    </row>
    <row r="165" spans="2:14" ht="29.25" customHeight="1" x14ac:dyDescent="0.25">
      <c r="B165" s="78" t="str">
        <f>IF('Concrete Plant (CP-3)'!$D$4&gt;9,"Batch Plant","")</f>
        <v/>
      </c>
      <c r="C165" s="71" t="str">
        <f>IF('Concrete Plant (CP-3)'!$D$4&gt;9,"Site 10","")</f>
        <v/>
      </c>
      <c r="D165" s="71"/>
      <c r="E165" s="71"/>
      <c r="F165" s="71"/>
      <c r="H165" s="310" t="str">
        <f>IF('Concrete Plant (CP-3)'!$D$4&gt;9,"Emission Point #","")</f>
        <v/>
      </c>
      <c r="I165" s="310" t="str">
        <f>IF('Concrete Plant (CP-3)'!$D$4&gt;9,"Emission     Unit #","")</f>
        <v/>
      </c>
      <c r="J165" s="310" t="str">
        <f>IF('Concrete Plant (CP-3)'!$D$4&gt;9,"Processes","")</f>
        <v/>
      </c>
      <c r="K165" s="311" t="str">
        <f>IF('Concrete Plant (CP-3)'!$D$4&gt;9,"Combined Maximum Hourly Design Rate for all Like Processes (cubic yard/hr)","")</f>
        <v/>
      </c>
      <c r="L165" s="310" t="str">
        <f>IF('Concrete Plant (CP-3)'!$D$4&gt;9,('Facility Information'!G5&amp;" Annual Throughput (cubic yards)"),"")</f>
        <v/>
      </c>
      <c r="M165" s="217"/>
      <c r="N165" s="217"/>
    </row>
    <row r="166" spans="2:14" ht="14.25" customHeight="1" x14ac:dyDescent="0.2">
      <c r="B166" s="79" t="str">
        <f>IF('Concrete Plant (CP-3)'!$D$4&gt;9,"Site Name:","")</f>
        <v/>
      </c>
      <c r="C166" s="339"/>
      <c r="D166" s="342"/>
      <c r="E166" s="343"/>
      <c r="F166" s="175"/>
      <c r="H166" s="127" t="str">
        <f>IF(J166="cement delivery to silo","CP-1 EP-2",IF(J166="cement supplement delivery to silo","CP-1 EP-3",IF(J166="weigh hopper loading","CP-1 EP-4",IF(J166="truck mix loading","CP-1 EP-5",IF(J166="central mix loading","CP-1 EP-6",IF(J166="","","CP-1 EP-1"))))))</f>
        <v/>
      </c>
      <c r="I166" s="127" t="str">
        <f t="shared" ref="I166:I175" si="47">IF(J166="","",IF(J166="aggregate delivery to ground storage","CP-3 EU-1",IF(J166="sand delivery to ground storage","CP-3 EU-2",IF(J166="aggregate transfer to conveyor","CP-3 EU-3",IF(J166="sand transfer to conveyor","CP-3 EU-4",IF(J166="aggregate transfer to elevated storage","CP-3 EU-5",IF(J166="sand transfer to elevated storage","CP-3 EU-6",IF(J166="weigh hopper loading","CP-3 EU-7",IF(J166="central mix loading","CP-3 EU-8",IF(J166="truck mix loading","CP-3 EU-9",IF(J166="cement delivery to silo","CP-3 EU-10",IF(J166="cement supplement delivery to silo","CP-3 EU-11"))))))))))))</f>
        <v/>
      </c>
      <c r="J166" s="82"/>
      <c r="K166" s="61"/>
      <c r="L166" s="156"/>
      <c r="M166" s="219" t="str">
        <f>IF(J166="truck mix loading",IF($F$169="yes",L166*0.05/2000,L166/2000),"")</f>
        <v/>
      </c>
      <c r="N166" s="219" t="str">
        <f>IF(J166="central mix loading",IF($F$169="yes",L166*0.05/2000,L166/2000),"")</f>
        <v/>
      </c>
    </row>
    <row r="167" spans="2:14" ht="14.25" customHeight="1" x14ac:dyDescent="0.2">
      <c r="B167" s="79" t="str">
        <f>IF('Concrete Plant (CP-3)'!$D$4&gt;9,"County:","")</f>
        <v/>
      </c>
      <c r="C167" s="339"/>
      <c r="D167" s="342"/>
      <c r="E167" s="343"/>
      <c r="F167" s="175"/>
      <c r="H167" s="127" t="str">
        <f t="shared" ref="H167:H175" si="48">IF(J167="cement delivery to silo","CP-1 EP-2",IF(J167="cement supplement delivery to silo","CP-1 EP-3",IF(J167="weigh hopper loading","CP-1 EP-4",IF(J167="truck mix loading","CP-1 EP-5",IF(J167="central mix loading","CP-1 EP-6",IF(J167="","","CP-1 EP-1"))))))</f>
        <v/>
      </c>
      <c r="I167" s="127" t="str">
        <f t="shared" si="47"/>
        <v/>
      </c>
      <c r="J167" s="82"/>
      <c r="K167" s="61"/>
      <c r="L167" s="156"/>
      <c r="M167" s="219" t="str">
        <f t="shared" ref="M167:M175" si="49">IF(J167="truck mix loading",IF($F$169="yes",L167*0.05/2000,L167/2000),"")</f>
        <v/>
      </c>
      <c r="N167" s="219" t="str">
        <f t="shared" ref="N167:N175" si="50">IF(J167="central mix loading",IF($F$169="yes",L167*0.05/2000,L167/2000),"")</f>
        <v/>
      </c>
    </row>
    <row r="168" spans="2:14" ht="14.25" customHeight="1" x14ac:dyDescent="0.2">
      <c r="B168" s="79" t="str">
        <f>IF('Concrete Plant (CP-3)'!$D$4&gt;9,"Batching Period (Dates):","")</f>
        <v/>
      </c>
      <c r="C168" s="339"/>
      <c r="D168" s="340"/>
      <c r="E168" s="341"/>
      <c r="F168" s="175"/>
      <c r="H168" s="127" t="str">
        <f t="shared" si="48"/>
        <v/>
      </c>
      <c r="I168" s="127" t="str">
        <f t="shared" si="47"/>
        <v/>
      </c>
      <c r="J168" s="82"/>
      <c r="K168" s="61"/>
      <c r="L168" s="156"/>
      <c r="M168" s="219" t="str">
        <f t="shared" si="49"/>
        <v/>
      </c>
      <c r="N168" s="219" t="str">
        <f t="shared" si="50"/>
        <v/>
      </c>
    </row>
    <row r="169" spans="2:14" ht="14.25" customHeight="1" x14ac:dyDescent="0.2">
      <c r="B169" s="51" t="str">
        <f>IF(OR(COUNTIF(J166:J175,"Truck Mix Loading")&gt;0,(COUNTIF(J166:J175,"Central Mix Loading")&gt;0)),"Is the Central/Truck Mix Loading process controlled by a baghouse?","")</f>
        <v/>
      </c>
      <c r="C169" s="51"/>
      <c r="D169" s="51"/>
      <c r="E169" s="51"/>
      <c r="F169" s="221"/>
      <c r="H169" s="127" t="str">
        <f t="shared" si="48"/>
        <v/>
      </c>
      <c r="I169" s="127" t="str">
        <f t="shared" si="47"/>
        <v/>
      </c>
      <c r="J169" s="82"/>
      <c r="K169" s="61"/>
      <c r="L169" s="156"/>
      <c r="M169" s="219" t="str">
        <f t="shared" si="49"/>
        <v/>
      </c>
      <c r="N169" s="219" t="str">
        <f t="shared" si="50"/>
        <v/>
      </c>
    </row>
    <row r="170" spans="2:14" ht="14.25" customHeight="1" x14ac:dyDescent="0.2">
      <c r="H170" s="127" t="str">
        <f t="shared" si="48"/>
        <v/>
      </c>
      <c r="I170" s="127" t="str">
        <f t="shared" si="47"/>
        <v/>
      </c>
      <c r="J170" s="82"/>
      <c r="K170" s="61"/>
      <c r="L170" s="156"/>
      <c r="M170" s="219" t="str">
        <f t="shared" si="49"/>
        <v/>
      </c>
      <c r="N170" s="219" t="str">
        <f t="shared" si="50"/>
        <v/>
      </c>
    </row>
    <row r="171" spans="2:14" ht="28.5" customHeight="1" x14ac:dyDescent="0.2">
      <c r="B171" s="312" t="str">
        <f>IF(AND(B173="",B174="",B175="",B176="",B177=""),"","Process (complete stack information if applicable):")</f>
        <v/>
      </c>
      <c r="C171" s="312" t="str">
        <f>IF(AND(B173="",B174="",B175="",B176="",B177=""),"","Stack Height (ft):")</f>
        <v/>
      </c>
      <c r="D171" s="312" t="str">
        <f>IF(AND(B173="",B174="",B175="",B176="",B177=""),"","Stack Diameter (inches):")</f>
        <v/>
      </c>
      <c r="E171" s="312" t="str">
        <f>IF(AND(B173="",B174="",B175="",B176="",B177=""),"","Flow Rate (acfm):")</f>
        <v/>
      </c>
      <c r="F171" s="312" t="str">
        <f>IF(AND(B173="",B174="",B175="",B176="",B177=""),"","Temp (Deg F):")</f>
        <v/>
      </c>
      <c r="H171" s="127" t="str">
        <f t="shared" si="48"/>
        <v/>
      </c>
      <c r="I171" s="127" t="str">
        <f t="shared" si="47"/>
        <v/>
      </c>
      <c r="J171" s="82"/>
      <c r="K171" s="61"/>
      <c r="L171" s="156"/>
      <c r="M171" s="219" t="str">
        <f t="shared" si="49"/>
        <v/>
      </c>
      <c r="N171" s="219" t="str">
        <f t="shared" si="50"/>
        <v/>
      </c>
    </row>
    <row r="172" spans="2:14" ht="14.25" customHeight="1" x14ac:dyDescent="0.2">
      <c r="B172" s="312"/>
      <c r="C172" s="312"/>
      <c r="D172" s="312"/>
      <c r="E172" s="312"/>
      <c r="F172" s="312"/>
      <c r="H172" s="127" t="str">
        <f t="shared" si="48"/>
        <v/>
      </c>
      <c r="I172" s="127" t="str">
        <f t="shared" si="47"/>
        <v/>
      </c>
      <c r="J172" s="82"/>
      <c r="K172" s="61"/>
      <c r="L172" s="156"/>
      <c r="M172" s="219" t="str">
        <f t="shared" si="49"/>
        <v/>
      </c>
      <c r="N172" s="219" t="str">
        <f t="shared" si="50"/>
        <v/>
      </c>
    </row>
    <row r="173" spans="2:14" ht="14.25" customHeight="1" x14ac:dyDescent="0.2">
      <c r="B173" s="45" t="str">
        <f>IF(COUNTIF(J166:J175,"Cement Delivery to Silo")&gt;0,"EP-2 Cement Silo Stack:","")</f>
        <v/>
      </c>
      <c r="C173" s="221"/>
      <c r="D173" s="221"/>
      <c r="E173" s="221"/>
      <c r="F173" s="221"/>
      <c r="H173" s="127" t="str">
        <f t="shared" si="48"/>
        <v/>
      </c>
      <c r="I173" s="127" t="str">
        <f t="shared" si="47"/>
        <v/>
      </c>
      <c r="J173" s="82"/>
      <c r="K173" s="61"/>
      <c r="L173" s="156"/>
      <c r="M173" s="219" t="str">
        <f t="shared" si="49"/>
        <v/>
      </c>
      <c r="N173" s="219" t="str">
        <f t="shared" si="50"/>
        <v/>
      </c>
    </row>
    <row r="174" spans="2:14" ht="14.25" customHeight="1" x14ac:dyDescent="0.2">
      <c r="B174" s="45" t="str">
        <f>IF(COUNTIF(J166:J175,"Cement Supplement Delivery to Silo")&gt;0,"EP-3 Cement Supplement Silo Stack:","")</f>
        <v/>
      </c>
      <c r="C174" s="221"/>
      <c r="D174" s="221"/>
      <c r="E174" s="221"/>
      <c r="F174" s="221"/>
      <c r="H174" s="127" t="str">
        <f t="shared" si="48"/>
        <v/>
      </c>
      <c r="I174" s="127" t="str">
        <f t="shared" si="47"/>
        <v/>
      </c>
      <c r="J174" s="82"/>
      <c r="K174" s="61"/>
      <c r="L174" s="156"/>
      <c r="M174" s="219" t="str">
        <f t="shared" si="49"/>
        <v/>
      </c>
      <c r="N174" s="219" t="str">
        <f t="shared" si="50"/>
        <v/>
      </c>
    </row>
    <row r="175" spans="2:14" ht="14.25" customHeight="1" x14ac:dyDescent="0.2">
      <c r="B175" s="45" t="str">
        <f>IF(COUNTIF(J166:J175,"Weigh Hopper Loading")&gt;0,"EP-4 Weigh Hopper Loading Stack:","")</f>
        <v/>
      </c>
      <c r="C175" s="221"/>
      <c r="D175" s="221"/>
      <c r="E175" s="221"/>
      <c r="F175" s="221"/>
      <c r="H175" s="127" t="str">
        <f t="shared" si="48"/>
        <v/>
      </c>
      <c r="I175" s="127" t="str">
        <f t="shared" si="47"/>
        <v/>
      </c>
      <c r="J175" s="82"/>
      <c r="K175" s="61"/>
      <c r="L175" s="156"/>
      <c r="M175" s="219" t="str">
        <f t="shared" si="49"/>
        <v/>
      </c>
      <c r="N175" s="219" t="str">
        <f t="shared" si="50"/>
        <v/>
      </c>
    </row>
    <row r="176" spans="2:14" ht="14.25" customHeight="1" x14ac:dyDescent="0.2">
      <c r="B176" s="45" t="str">
        <f>IF(COUNTIF(J166:J175,"Truck Mix Loading")&gt;0,"EP-5 Truck Mix Loading Stack:","")</f>
        <v/>
      </c>
      <c r="C176" s="221"/>
      <c r="D176" s="221"/>
      <c r="E176" s="221"/>
      <c r="F176" s="221"/>
      <c r="H176" s="45"/>
      <c r="I176" s="45"/>
    </row>
    <row r="177" spans="2:14" ht="14.25" customHeight="1" x14ac:dyDescent="0.2">
      <c r="B177" s="45" t="str">
        <f>IF(COUNTIF(J166:J175,"Central Mix Loading")&gt;0,"EP-6 Central Mix Loading Stack:","")</f>
        <v/>
      </c>
      <c r="C177" s="221"/>
      <c r="D177" s="221"/>
      <c r="E177" s="221"/>
      <c r="F177" s="221"/>
      <c r="H177" s="74" t="str">
        <f>IF('Concrete Plant (CP-3)'!$D$4&gt;9,"Stock Pile Area","")</f>
        <v/>
      </c>
      <c r="I177" s="74"/>
      <c r="J177" s="74"/>
      <c r="K177" s="76"/>
      <c r="L177" s="76"/>
      <c r="M177" s="71"/>
      <c r="N177" s="71"/>
    </row>
    <row r="178" spans="2:14" ht="14.25" customHeight="1" x14ac:dyDescent="0.2">
      <c r="B178" s="73"/>
      <c r="C178" s="163"/>
      <c r="D178" s="163"/>
      <c r="E178" s="163"/>
      <c r="F178" s="163"/>
      <c r="I178" s="51" t="str">
        <f>IF('Concrete Plant (CP-3)'!$D$4&gt;9,"Emission Unit #","")</f>
        <v/>
      </c>
      <c r="J178" s="140" t="str">
        <f>IF('Concrete Plant (CP-3)'!$D$4&gt;9,"Maximum Storage Area (acres)","")</f>
        <v/>
      </c>
      <c r="K178" s="81" t="str">
        <f>IF('Concrete Plant (CP-3)'!$D$4&gt;9,"Actual Storage Area (acres)","")</f>
        <v/>
      </c>
      <c r="L178" s="140" t="str">
        <f>IF('Concrete Plant (CP-3)'!$D$4&gt;9,"Actual Days in Existence (days)","")</f>
        <v/>
      </c>
      <c r="M178" s="146"/>
      <c r="N178" s="146"/>
    </row>
    <row r="179" spans="2:14" ht="14.25" customHeight="1" x14ac:dyDescent="0.2">
      <c r="B179" s="73"/>
      <c r="C179" s="163"/>
      <c r="D179" s="163"/>
      <c r="E179" s="163"/>
      <c r="F179" s="163"/>
      <c r="I179" s="65"/>
      <c r="J179" s="144"/>
      <c r="K179" s="66"/>
      <c r="L179" s="144"/>
      <c r="M179" s="146"/>
      <c r="N179" s="146"/>
    </row>
    <row r="180" spans="2:14" ht="14.25" customHeight="1" x14ac:dyDescent="0.2">
      <c r="B180" s="73"/>
      <c r="C180" s="163"/>
      <c r="D180" s="163"/>
      <c r="E180" s="163"/>
      <c r="F180" s="163"/>
    </row>
    <row r="181" spans="2:14" ht="14.25" customHeight="1" x14ac:dyDescent="0.2">
      <c r="M181" s="220">
        <f>SUM(M166:M175,M150:M159,M134:M143,M118:M127,M102:M111,M86:M95,M70:M79,M54:M63,M38:M47,M21:M30)</f>
        <v>0</v>
      </c>
      <c r="N181" s="220">
        <f>SUM(N166:N175,N150:N159,N134:N143,N118:N127,N102:N111,N86:N95,N70:N79,N54:N63,N38:N47,N21:N30)</f>
        <v>0</v>
      </c>
    </row>
  </sheetData>
  <sheetProtection algorithmName="SHA-512" hashValue="aYr0dLc6bh1xXqBfnpP9yXCmmqwc6RSvbQauiOU0naHme+edfGgnE02rXPbkQ+ZPOVT1AoM9nDIJ/QRxq1GdBQ==" saltValue="H8lio3Cu1IW6N5bAKSibpA==" spinCount="100000" sheet="1" objects="1" scenarios="1"/>
  <conditionalFormatting sqref="I49:L49 B38:B40 B54:B56 B70:B72 B86:B88 B102:B104 B118:B120 B134:B136 B150:B152 B166:B168">
    <cfRule type="notContainsBlanks" dxfId="1669" priority="276" stopIfTrue="1">
      <formula>LEN(TRIM(B38))&gt;0</formula>
    </cfRule>
  </conditionalFormatting>
  <conditionalFormatting sqref="B37:F37">
    <cfRule type="notContainsBlanks" dxfId="1668" priority="277" stopIfTrue="1">
      <formula>LEN(TRIM(B37))&gt;0</formula>
    </cfRule>
  </conditionalFormatting>
  <conditionalFormatting sqref="I66:L66">
    <cfRule type="notContainsBlanks" dxfId="1667" priority="275" stopIfTrue="1">
      <formula>LEN(TRIM(I66))&gt;0</formula>
    </cfRule>
  </conditionalFormatting>
  <conditionalFormatting sqref="B53:F53">
    <cfRule type="notContainsBlanks" dxfId="1666" priority="278" stopIfTrue="1">
      <formula>LEN(TRIM(B53))&gt;0</formula>
    </cfRule>
  </conditionalFormatting>
  <conditionalFormatting sqref="I82:L82">
    <cfRule type="notContainsBlanks" dxfId="1665" priority="272" stopIfTrue="1">
      <formula>LEN(TRIM(I82))&gt;0</formula>
    </cfRule>
  </conditionalFormatting>
  <conditionalFormatting sqref="B69:F69">
    <cfRule type="notContainsBlanks" dxfId="1664" priority="273" stopIfTrue="1">
      <formula>LEN(TRIM(B69))&gt;0</formula>
    </cfRule>
  </conditionalFormatting>
  <conditionalFormatting sqref="I98:L98">
    <cfRule type="notContainsBlanks" dxfId="1663" priority="270" stopIfTrue="1">
      <formula>LEN(TRIM(I98))&gt;0</formula>
    </cfRule>
  </conditionalFormatting>
  <conditionalFormatting sqref="B85:F85">
    <cfRule type="notContainsBlanks" dxfId="1662" priority="271" stopIfTrue="1">
      <formula>LEN(TRIM(B85))&gt;0</formula>
    </cfRule>
  </conditionalFormatting>
  <conditionalFormatting sqref="I114:L114">
    <cfRule type="notContainsBlanks" dxfId="1661" priority="268" stopIfTrue="1">
      <formula>LEN(TRIM(I114))&gt;0</formula>
    </cfRule>
  </conditionalFormatting>
  <conditionalFormatting sqref="B101:F101">
    <cfRule type="notContainsBlanks" dxfId="1660" priority="269" stopIfTrue="1">
      <formula>LEN(TRIM(B101))&gt;0</formula>
    </cfRule>
  </conditionalFormatting>
  <conditionalFormatting sqref="I130:L130">
    <cfRule type="notContainsBlanks" dxfId="1659" priority="266" stopIfTrue="1">
      <formula>LEN(TRIM(I130))&gt;0</formula>
    </cfRule>
  </conditionalFormatting>
  <conditionalFormatting sqref="B117:F117">
    <cfRule type="notContainsBlanks" dxfId="1658" priority="267" stopIfTrue="1">
      <formula>LEN(TRIM(B117))&gt;0</formula>
    </cfRule>
  </conditionalFormatting>
  <conditionalFormatting sqref="I146:L146">
    <cfRule type="notContainsBlanks" dxfId="1657" priority="264" stopIfTrue="1">
      <formula>LEN(TRIM(I146))&gt;0</formula>
    </cfRule>
  </conditionalFormatting>
  <conditionalFormatting sqref="B133:F133">
    <cfRule type="notContainsBlanks" dxfId="1656" priority="265" stopIfTrue="1">
      <formula>LEN(TRIM(B133))&gt;0</formula>
    </cfRule>
  </conditionalFormatting>
  <conditionalFormatting sqref="I162:L162">
    <cfRule type="notContainsBlanks" dxfId="1655" priority="262" stopIfTrue="1">
      <formula>LEN(TRIM(I162))&gt;0</formula>
    </cfRule>
  </conditionalFormatting>
  <conditionalFormatting sqref="B149:F149">
    <cfRule type="notContainsBlanks" dxfId="1654" priority="263" stopIfTrue="1">
      <formula>LEN(TRIM(B149))&gt;0</formula>
    </cfRule>
  </conditionalFormatting>
  <conditionalFormatting sqref="I178:L178">
    <cfRule type="notContainsBlanks" dxfId="1653" priority="261" stopIfTrue="1">
      <formula>LEN(TRIM(I178))&gt;0</formula>
    </cfRule>
  </conditionalFormatting>
  <conditionalFormatting sqref="I66:L67 H53 H64:L65 K55:L61 J55:J63 B58:F58 G50:G61 J53:L54 B53:F56">
    <cfRule type="cellIs" dxfId="1652" priority="274" stopIfTrue="1" operator="equal">
      <formula>$B$53="batch plant"</formula>
    </cfRule>
  </conditionalFormatting>
  <conditionalFormatting sqref="I82:L83 H69 H80:L81 K71:L77 J71:J79 G64:G75 J69:L70 B69:F72">
    <cfRule type="cellIs" dxfId="1651" priority="279" stopIfTrue="1" operator="equal">
      <formula>$B$69="batch plant"</formula>
    </cfRule>
  </conditionalFormatting>
  <conditionalFormatting sqref="I98:L99 H85 H96:L97 K87:L93 J87:J95 G78:G89 J85:L86 B85:F88">
    <cfRule type="cellIs" dxfId="1650" priority="280" stopIfTrue="1" operator="equal">
      <formula>$B$85="batch plant"</formula>
    </cfRule>
  </conditionalFormatting>
  <conditionalFormatting sqref="I114:L115 H112:L113 H100:H101 K103:L109 J103:J111 B106:F106 G92:G103 J101:L102 B101:F104">
    <cfRule type="cellIs" dxfId="1649" priority="281" stopIfTrue="1" operator="equal">
      <formula>$B$101="batch plant"</formula>
    </cfRule>
  </conditionalFormatting>
  <conditionalFormatting sqref="I130:L131 H117 G106:G117 H128:L129 K119:L125 J119:J127 J117:L118 B117:F120">
    <cfRule type="cellIs" dxfId="1648" priority="282" stopIfTrue="1" operator="equal">
      <formula>$B$117="batch plant"</formula>
    </cfRule>
  </conditionalFormatting>
  <conditionalFormatting sqref="I146:L147 H133 G120:G132 H144:L145 K135:L141 J135:J143 J133:L134 B133:F136">
    <cfRule type="cellIs" dxfId="1647" priority="283" stopIfTrue="1" operator="equal">
      <formula>$B$133="batch plant"</formula>
    </cfRule>
  </conditionalFormatting>
  <conditionalFormatting sqref="I162:L163 H149 G134:G147 H160:L161 K151:L157 J151:J159 J149:L150 B149:F152">
    <cfRule type="cellIs" dxfId="1646" priority="284" stopIfTrue="1" operator="equal">
      <formula>$B$149="batch plant"</formula>
    </cfRule>
  </conditionalFormatting>
  <conditionalFormatting sqref="I37">
    <cfRule type="cellIs" dxfId="1645" priority="260" stopIfTrue="1" operator="equal">
      <formula>$B$37="crusher plant"</formula>
    </cfRule>
  </conditionalFormatting>
  <conditionalFormatting sqref="I53">
    <cfRule type="cellIs" dxfId="1644" priority="259" stopIfTrue="1" operator="equal">
      <formula>$B$37="crusher plant"</formula>
    </cfRule>
  </conditionalFormatting>
  <conditionalFormatting sqref="I69">
    <cfRule type="cellIs" dxfId="1643" priority="258" stopIfTrue="1" operator="equal">
      <formula>$B$37="crusher plant"</formula>
    </cfRule>
  </conditionalFormatting>
  <conditionalFormatting sqref="I85">
    <cfRule type="cellIs" dxfId="1642" priority="257" stopIfTrue="1" operator="equal">
      <formula>$B$37="crusher plant"</formula>
    </cfRule>
  </conditionalFormatting>
  <conditionalFormatting sqref="I101">
    <cfRule type="cellIs" dxfId="1641" priority="256" stopIfTrue="1" operator="equal">
      <formula>$B$37="crusher plant"</formula>
    </cfRule>
  </conditionalFormatting>
  <conditionalFormatting sqref="I117">
    <cfRule type="cellIs" dxfId="1640" priority="255" stopIfTrue="1" operator="equal">
      <formula>$B$37="crusher plant"</formula>
    </cfRule>
  </conditionalFormatting>
  <conditionalFormatting sqref="I133">
    <cfRule type="cellIs" dxfId="1639" priority="254" stopIfTrue="1" operator="equal">
      <formula>$B$37="crusher plant"</formula>
    </cfRule>
  </conditionalFormatting>
  <conditionalFormatting sqref="I149">
    <cfRule type="cellIs" dxfId="1638" priority="253" stopIfTrue="1" operator="equal">
      <formula>$B$37="crusher plant"</formula>
    </cfRule>
  </conditionalFormatting>
  <conditionalFormatting sqref="I165">
    <cfRule type="cellIs" dxfId="1637" priority="252" stopIfTrue="1" operator="equal">
      <formula>$B$37="crusher plant"</formula>
    </cfRule>
  </conditionalFormatting>
  <conditionalFormatting sqref="I21:I30">
    <cfRule type="notContainsBlanks" dxfId="1636" priority="251">
      <formula>LEN(TRIM(I21))&gt;0</formula>
    </cfRule>
  </conditionalFormatting>
  <conditionalFormatting sqref="I38:I47">
    <cfRule type="expression" dxfId="1635" priority="250">
      <formula>$B$37="batch plant"</formula>
    </cfRule>
  </conditionalFormatting>
  <conditionalFormatting sqref="I54:I63">
    <cfRule type="expression" dxfId="1634" priority="249">
      <formula>$B$53="batch plant"</formula>
    </cfRule>
  </conditionalFormatting>
  <conditionalFormatting sqref="I70:I79">
    <cfRule type="expression" dxfId="1633" priority="248">
      <formula>$B$69="batch plant"</formula>
    </cfRule>
  </conditionalFormatting>
  <conditionalFormatting sqref="I86:I95">
    <cfRule type="expression" dxfId="1632" priority="247">
      <formula>$B$85="batch plant"</formula>
    </cfRule>
  </conditionalFormatting>
  <conditionalFormatting sqref="I102:I111">
    <cfRule type="expression" dxfId="1631" priority="246">
      <formula>$B$101="batch plant"</formula>
    </cfRule>
  </conditionalFormatting>
  <conditionalFormatting sqref="I118:I127">
    <cfRule type="expression" dxfId="1630" priority="245">
      <formula>$B$117="batch plant"</formula>
    </cfRule>
  </conditionalFormatting>
  <conditionalFormatting sqref="I134:I143">
    <cfRule type="expression" dxfId="1629" priority="244">
      <formula>$B$133="batch plant"</formula>
    </cfRule>
  </conditionalFormatting>
  <conditionalFormatting sqref="I150:I159">
    <cfRule type="expression" dxfId="1628" priority="243">
      <formula>$B$149="batch plant"</formula>
    </cfRule>
  </conditionalFormatting>
  <conditionalFormatting sqref="I166:I175">
    <cfRule type="expression" dxfId="1627" priority="242">
      <formula>$B$165="batch plant"</formula>
    </cfRule>
  </conditionalFormatting>
  <conditionalFormatting sqref="B107:B108">
    <cfRule type="notContainsBlanks" dxfId="1626" priority="100">
      <formula>LEN(TRIM(B107))&gt;0</formula>
    </cfRule>
  </conditionalFormatting>
  <conditionalFormatting sqref="J38:L47 I50:L51 C38:F40">
    <cfRule type="cellIs" dxfId="1625" priority="234" operator="equal">
      <formula>$B$37="batch plant"</formula>
    </cfRule>
  </conditionalFormatting>
  <conditionalFormatting sqref="K62:L63">
    <cfRule type="cellIs" dxfId="1624" priority="233" stopIfTrue="1" operator="equal">
      <formula>$B$53="batch plant"</formula>
    </cfRule>
  </conditionalFormatting>
  <conditionalFormatting sqref="B110:B113">
    <cfRule type="notContainsBlanks" dxfId="1623" priority="93">
      <formula>LEN(TRIM(B110))&gt;0</formula>
    </cfRule>
  </conditionalFormatting>
  <conditionalFormatting sqref="B109">
    <cfRule type="notContainsBlanks" dxfId="1622" priority="92">
      <formula>LEN(TRIM(B109))&gt;0</formula>
    </cfRule>
  </conditionalFormatting>
  <conditionalFormatting sqref="B123:B124">
    <cfRule type="notContainsBlanks" dxfId="1621" priority="90">
      <formula>LEN(TRIM(B123))&gt;0</formula>
    </cfRule>
  </conditionalFormatting>
  <conditionalFormatting sqref="K78:L79">
    <cfRule type="cellIs" dxfId="1620" priority="227" stopIfTrue="1" operator="equal">
      <formula>$B$69="batch plant"</formula>
    </cfRule>
  </conditionalFormatting>
  <conditionalFormatting sqref="K94:L95">
    <cfRule type="cellIs" dxfId="1619" priority="221" stopIfTrue="1" operator="equal">
      <formula>$B$85="batch plant"</formula>
    </cfRule>
  </conditionalFormatting>
  <conditionalFormatting sqref="C139:F140">
    <cfRule type="notContainsBlanks" dxfId="1618" priority="81">
      <formula>LEN(TRIM(C139))&gt;0</formula>
    </cfRule>
  </conditionalFormatting>
  <conditionalFormatting sqref="B139:B140">
    <cfRule type="notContainsBlanks" dxfId="1617" priority="80">
      <formula>LEN(TRIM(B139))&gt;0</formula>
    </cfRule>
  </conditionalFormatting>
  <conditionalFormatting sqref="K110:L111">
    <cfRule type="cellIs" dxfId="1616" priority="215" stopIfTrue="1" operator="equal">
      <formula>$B$101="batch plant"</formula>
    </cfRule>
  </conditionalFormatting>
  <conditionalFormatting sqref="K126:L127">
    <cfRule type="cellIs" dxfId="1615" priority="210" stopIfTrue="1" operator="equal">
      <formula>$B$117="batch plant"</formula>
    </cfRule>
  </conditionalFormatting>
  <conditionalFormatting sqref="B155:B156">
    <cfRule type="notContainsBlanks" dxfId="1614" priority="70">
      <formula>LEN(TRIM(B155))&gt;0</formula>
    </cfRule>
  </conditionalFormatting>
  <conditionalFormatting sqref="K142:L143">
    <cfRule type="cellIs" dxfId="1613" priority="202" stopIfTrue="1" operator="equal">
      <formula>$B$133="batch plant"</formula>
    </cfRule>
  </conditionalFormatting>
  <conditionalFormatting sqref="B157">
    <cfRule type="notContainsBlanks" dxfId="1612" priority="62">
      <formula>LEN(TRIM(B157))&gt;0</formula>
    </cfRule>
  </conditionalFormatting>
  <conditionalFormatting sqref="C171:F172">
    <cfRule type="notContainsBlanks" dxfId="1611" priority="61">
      <formula>LEN(TRIM(C171))&gt;0</formula>
    </cfRule>
  </conditionalFormatting>
  <conditionalFormatting sqref="B171:B172">
    <cfRule type="notContainsBlanks" dxfId="1610" priority="60">
      <formula>LEN(TRIM(B171))&gt;0</formula>
    </cfRule>
  </conditionalFormatting>
  <conditionalFormatting sqref="K158:L159">
    <cfRule type="cellIs" dxfId="1609" priority="196" stopIfTrue="1" operator="equal">
      <formula>$B$149="batch plant"</formula>
    </cfRule>
  </conditionalFormatting>
  <conditionalFormatting sqref="B165:F165">
    <cfRule type="notContainsBlanks" dxfId="1608" priority="286" stopIfTrue="1">
      <formula>LEN(TRIM(B165))&gt;0</formula>
    </cfRule>
  </conditionalFormatting>
  <conditionalFormatting sqref="B165:F165">
    <cfRule type="cellIs" dxfId="1607" priority="185" stopIfTrue="1" operator="equal">
      <formula>$B$149="batch plant"</formula>
    </cfRule>
  </conditionalFormatting>
  <conditionalFormatting sqref="J166:L166 J175:L175 K167:L173 J167:J174 F166:F168">
    <cfRule type="cellIs" dxfId="1606" priority="184" stopIfTrue="1" operator="equal">
      <formula>$B$165="batch plant"</formula>
    </cfRule>
  </conditionalFormatting>
  <conditionalFormatting sqref="K174:L174">
    <cfRule type="cellIs" dxfId="1605" priority="183" stopIfTrue="1" operator="equal">
      <formula>$B$165="batch plant"</formula>
    </cfRule>
  </conditionalFormatting>
  <conditionalFormatting sqref="I179:L179">
    <cfRule type="cellIs" dxfId="1604" priority="182" stopIfTrue="1" operator="equal">
      <formula>$B$165="batch plant"</formula>
    </cfRule>
  </conditionalFormatting>
  <conditionalFormatting sqref="C166:E168">
    <cfRule type="cellIs" dxfId="1603" priority="181" stopIfTrue="1" operator="equal">
      <formula>$B$165="batch plant"</formula>
    </cfRule>
  </conditionalFormatting>
  <conditionalFormatting sqref="B29:B32">
    <cfRule type="notContainsBlanks" dxfId="1602" priority="176">
      <formula>LEN(TRIM(B29))&gt;0</formula>
    </cfRule>
  </conditionalFormatting>
  <conditionalFormatting sqref="B28">
    <cfRule type="notContainsBlanks" dxfId="1601" priority="175">
      <formula>LEN(TRIM(B28))&gt;0</formula>
    </cfRule>
  </conditionalFormatting>
  <conditionalFormatting sqref="C28:F28">
    <cfRule type="cellIs" dxfId="1600" priority="174" operator="equal">
      <formula>$B$28=""</formula>
    </cfRule>
  </conditionalFormatting>
  <conditionalFormatting sqref="C29:F29">
    <cfRule type="cellIs" dxfId="1599" priority="173" operator="equal">
      <formula>$B$29=""</formula>
    </cfRule>
  </conditionalFormatting>
  <conditionalFormatting sqref="C31:F31">
    <cfRule type="cellIs" dxfId="1598" priority="172" operator="equal">
      <formula>$B$31=""</formula>
    </cfRule>
  </conditionalFormatting>
  <conditionalFormatting sqref="C26:F27">
    <cfRule type="notContainsBlanks" dxfId="1597" priority="177">
      <formula>LEN(TRIM(C26))&gt;0</formula>
    </cfRule>
  </conditionalFormatting>
  <conditionalFormatting sqref="B26:B27">
    <cfRule type="notContainsBlanks" dxfId="1596" priority="171">
      <formula>LEN(TRIM(B26))&gt;0</formula>
    </cfRule>
  </conditionalFormatting>
  <conditionalFormatting sqref="C28:F32">
    <cfRule type="notContainsBlanks" dxfId="1595" priority="170">
      <formula>LEN(TRIM(C28))&gt;0</formula>
    </cfRule>
  </conditionalFormatting>
  <conditionalFormatting sqref="C32:F32">
    <cfRule type="cellIs" dxfId="1594" priority="178" operator="equal">
      <formula>$B$32=""</formula>
    </cfRule>
  </conditionalFormatting>
  <conditionalFormatting sqref="C30:F30">
    <cfRule type="cellIs" dxfId="1593" priority="179" operator="equal">
      <formula>$B$30=""</formula>
    </cfRule>
  </conditionalFormatting>
  <conditionalFormatting sqref="B125">
    <cfRule type="notContainsBlanks" dxfId="1592" priority="82">
      <formula>LEN(TRIM(B125))&gt;0</formula>
    </cfRule>
  </conditionalFormatting>
  <conditionalFormatting sqref="C91:F92">
    <cfRule type="notContainsBlanks" dxfId="1591" priority="140">
      <formula>LEN(TRIM(C91))&gt;0</formula>
    </cfRule>
  </conditionalFormatting>
  <conditionalFormatting sqref="B91:B92">
    <cfRule type="notContainsBlanks" dxfId="1590" priority="139">
      <formula>LEN(TRIM(B91))&gt;0</formula>
    </cfRule>
  </conditionalFormatting>
  <conditionalFormatting sqref="C93:F93">
    <cfRule type="cellIs" dxfId="1589" priority="138" operator="equal">
      <formula>$B$93=""</formula>
    </cfRule>
  </conditionalFormatting>
  <conditionalFormatting sqref="C94:F94">
    <cfRule type="cellIs" dxfId="1588" priority="137" operator="equal">
      <formula>$B$94=""</formula>
    </cfRule>
  </conditionalFormatting>
  <conditionalFormatting sqref="C95:F95">
    <cfRule type="cellIs" dxfId="1587" priority="136" operator="equal">
      <formula>$B$95=""</formula>
    </cfRule>
  </conditionalFormatting>
  <conditionalFormatting sqref="C96:F96">
    <cfRule type="cellIs" dxfId="1586" priority="135" operator="equal">
      <formula>$B$96=""</formula>
    </cfRule>
  </conditionalFormatting>
  <conditionalFormatting sqref="C97:F97">
    <cfRule type="cellIs" dxfId="1585" priority="134" operator="equal">
      <formula>$B$97=""</formula>
    </cfRule>
  </conditionalFormatting>
  <conditionalFormatting sqref="C93:F97">
    <cfRule type="notContainsBlanks" dxfId="1584" priority="133">
      <formula>LEN(TRIM(C93))&gt;0</formula>
    </cfRule>
  </conditionalFormatting>
  <conditionalFormatting sqref="B94:B97">
    <cfRule type="notContainsBlanks" dxfId="1583" priority="132">
      <formula>LEN(TRIM(B94))&gt;0</formula>
    </cfRule>
  </conditionalFormatting>
  <conditionalFormatting sqref="B93">
    <cfRule type="notContainsBlanks" dxfId="1582" priority="131">
      <formula>LEN(TRIM(B93))&gt;0</formula>
    </cfRule>
  </conditionalFormatting>
  <conditionalFormatting sqref="B75:B76">
    <cfRule type="notContainsBlanks" dxfId="1581" priority="129">
      <formula>LEN(TRIM(B75))&gt;0</formula>
    </cfRule>
  </conditionalFormatting>
  <conditionalFormatting sqref="B78:B81">
    <cfRule type="notContainsBlanks" dxfId="1580" priority="122">
      <formula>LEN(TRIM(B78))&gt;0</formula>
    </cfRule>
  </conditionalFormatting>
  <conditionalFormatting sqref="B77">
    <cfRule type="notContainsBlanks" dxfId="1579" priority="121">
      <formula>LEN(TRIM(B77))&gt;0</formula>
    </cfRule>
  </conditionalFormatting>
  <conditionalFormatting sqref="C75:F76">
    <cfRule type="notContainsBlanks" dxfId="1578" priority="130">
      <formula>LEN(TRIM(C75))&gt;0</formula>
    </cfRule>
  </conditionalFormatting>
  <conditionalFormatting sqref="C77:F77">
    <cfRule type="cellIs" dxfId="1577" priority="128" operator="equal">
      <formula>$B$77=""</formula>
    </cfRule>
  </conditionalFormatting>
  <conditionalFormatting sqref="C78:F78">
    <cfRule type="cellIs" dxfId="1576" priority="127" operator="equal">
      <formula>$B$78=""</formula>
    </cfRule>
  </conditionalFormatting>
  <conditionalFormatting sqref="C79:F79">
    <cfRule type="cellIs" dxfId="1575" priority="126" operator="equal">
      <formula>$B$79=""</formula>
    </cfRule>
  </conditionalFormatting>
  <conditionalFormatting sqref="C80:F80">
    <cfRule type="cellIs" dxfId="1574" priority="125" operator="equal">
      <formula>$B$80=""</formula>
    </cfRule>
  </conditionalFormatting>
  <conditionalFormatting sqref="C81:F81">
    <cfRule type="cellIs" dxfId="1573" priority="124" operator="equal">
      <formula>$B$81=""</formula>
    </cfRule>
  </conditionalFormatting>
  <conditionalFormatting sqref="C77:F81">
    <cfRule type="notContainsBlanks" dxfId="1572" priority="123">
      <formula>LEN(TRIM(C77))&gt;0</formula>
    </cfRule>
  </conditionalFormatting>
  <conditionalFormatting sqref="B62:B65">
    <cfRule type="notContainsBlanks" dxfId="1571" priority="112">
      <formula>LEN(TRIM(B62))&gt;0</formula>
    </cfRule>
  </conditionalFormatting>
  <conditionalFormatting sqref="B61">
    <cfRule type="notContainsBlanks" dxfId="1570" priority="111">
      <formula>LEN(TRIM(B61))&gt;0</formula>
    </cfRule>
  </conditionalFormatting>
  <conditionalFormatting sqref="C59:F60">
    <cfRule type="notContainsBlanks" dxfId="1569" priority="120">
      <formula>LEN(TRIM(C59))&gt;0</formula>
    </cfRule>
  </conditionalFormatting>
  <conditionalFormatting sqref="B59:B60">
    <cfRule type="notContainsBlanks" dxfId="1568" priority="119">
      <formula>LEN(TRIM(B59))&gt;0</formula>
    </cfRule>
  </conditionalFormatting>
  <conditionalFormatting sqref="C61:F61">
    <cfRule type="cellIs" dxfId="1567" priority="118" operator="equal">
      <formula>$B$61=""</formula>
    </cfRule>
  </conditionalFormatting>
  <conditionalFormatting sqref="C62:F62">
    <cfRule type="cellIs" dxfId="1566" priority="117" operator="equal">
      <formula>$B$62=""</formula>
    </cfRule>
  </conditionalFormatting>
  <conditionalFormatting sqref="C63:F63">
    <cfRule type="cellIs" dxfId="1565" priority="116" operator="equal">
      <formula>$B$63=""</formula>
    </cfRule>
  </conditionalFormatting>
  <conditionalFormatting sqref="C64:F64">
    <cfRule type="cellIs" dxfId="1564" priority="115" operator="equal">
      <formula>$B$64=""</formula>
    </cfRule>
  </conditionalFormatting>
  <conditionalFormatting sqref="C65:F65">
    <cfRule type="cellIs" dxfId="1563" priority="114" operator="equal">
      <formula>$B$65=""</formula>
    </cfRule>
  </conditionalFormatting>
  <conditionalFormatting sqref="C61:F65">
    <cfRule type="notContainsBlanks" dxfId="1562" priority="113">
      <formula>LEN(TRIM(C61))&gt;0</formula>
    </cfRule>
  </conditionalFormatting>
  <conditionalFormatting sqref="B43:F44">
    <cfRule type="notContainsBlanks" dxfId="1561" priority="110">
      <formula>LEN(TRIM(B43))&gt;0</formula>
    </cfRule>
  </conditionalFormatting>
  <conditionalFormatting sqref="C45:F45">
    <cfRule type="cellIs" dxfId="1560" priority="109" operator="equal">
      <formula>$B$45=""</formula>
    </cfRule>
  </conditionalFormatting>
  <conditionalFormatting sqref="C46:F46">
    <cfRule type="cellIs" dxfId="1559" priority="108" operator="equal">
      <formula>$B$46=""</formula>
    </cfRule>
  </conditionalFormatting>
  <conditionalFormatting sqref="C47:F47">
    <cfRule type="cellIs" dxfId="1558" priority="107" operator="equal">
      <formula>$B$47=""</formula>
    </cfRule>
  </conditionalFormatting>
  <conditionalFormatting sqref="C48:F48">
    <cfRule type="cellIs" dxfId="1557" priority="106" operator="equal">
      <formula>$B$48=""</formula>
    </cfRule>
  </conditionalFormatting>
  <conditionalFormatting sqref="C49:F49">
    <cfRule type="cellIs" dxfId="1556" priority="105" operator="equal">
      <formula>$B$49=""</formula>
    </cfRule>
  </conditionalFormatting>
  <conditionalFormatting sqref="C45:F49">
    <cfRule type="notContainsBlanks" dxfId="1555" priority="104">
      <formula>LEN(TRIM(C45))&gt;0</formula>
    </cfRule>
  </conditionalFormatting>
  <conditionalFormatting sqref="B46:B49">
    <cfRule type="notContainsBlanks" dxfId="1554" priority="103">
      <formula>LEN(TRIM(B46))&gt;0</formula>
    </cfRule>
  </conditionalFormatting>
  <conditionalFormatting sqref="B45">
    <cfRule type="notContainsBlanks" dxfId="1553" priority="102">
      <formula>LEN(TRIM(B45))&gt;0</formula>
    </cfRule>
  </conditionalFormatting>
  <conditionalFormatting sqref="C107:F108">
    <cfRule type="notContainsBlanks" dxfId="1552" priority="101">
      <formula>LEN(TRIM(C107))&gt;0</formula>
    </cfRule>
  </conditionalFormatting>
  <conditionalFormatting sqref="C109:F109">
    <cfRule type="cellIs" dxfId="1551" priority="99" operator="equal">
      <formula>$B$109=""</formula>
    </cfRule>
  </conditionalFormatting>
  <conditionalFormatting sqref="C110:F110">
    <cfRule type="cellIs" dxfId="1550" priority="98" operator="equal">
      <formula>$B$110=""</formula>
    </cfRule>
  </conditionalFormatting>
  <conditionalFormatting sqref="C111:F111">
    <cfRule type="cellIs" dxfId="1549" priority="97" operator="equal">
      <formula>$B$111=""</formula>
    </cfRule>
  </conditionalFormatting>
  <conditionalFormatting sqref="C112:F112">
    <cfRule type="cellIs" dxfId="1548" priority="96" operator="equal">
      <formula>$B$112=""</formula>
    </cfRule>
  </conditionalFormatting>
  <conditionalFormatting sqref="C113:F113">
    <cfRule type="cellIs" dxfId="1547" priority="95" operator="equal">
      <formula>$B$113=""</formula>
    </cfRule>
  </conditionalFormatting>
  <conditionalFormatting sqref="C109:F113">
    <cfRule type="notContainsBlanks" dxfId="1546" priority="94">
      <formula>LEN(TRIM(C109))&gt;0</formula>
    </cfRule>
  </conditionalFormatting>
  <conditionalFormatting sqref="C123:F124">
    <cfRule type="notContainsBlanks" dxfId="1545" priority="91">
      <formula>LEN(TRIM(C123))&gt;0</formula>
    </cfRule>
  </conditionalFormatting>
  <conditionalFormatting sqref="C125:F125">
    <cfRule type="cellIs" dxfId="1544" priority="89" operator="equal">
      <formula>$B$125=""</formula>
    </cfRule>
  </conditionalFormatting>
  <conditionalFormatting sqref="C126:F126">
    <cfRule type="cellIs" dxfId="1543" priority="88" operator="equal">
      <formula>$B$126=""</formula>
    </cfRule>
  </conditionalFormatting>
  <conditionalFormatting sqref="C127:F127">
    <cfRule type="cellIs" dxfId="1542" priority="87" operator="equal">
      <formula>$B$127=""</formula>
    </cfRule>
  </conditionalFormatting>
  <conditionalFormatting sqref="C128:F128">
    <cfRule type="cellIs" dxfId="1541" priority="86" operator="equal">
      <formula>$B$128=""</formula>
    </cfRule>
  </conditionalFormatting>
  <conditionalFormatting sqref="C129:F129">
    <cfRule type="cellIs" dxfId="1540" priority="85" operator="equal">
      <formula>$B$129=""</formula>
    </cfRule>
  </conditionalFormatting>
  <conditionalFormatting sqref="C125:F129">
    <cfRule type="notContainsBlanks" dxfId="1539" priority="84">
      <formula>LEN(TRIM(C125))&gt;0</formula>
    </cfRule>
  </conditionalFormatting>
  <conditionalFormatting sqref="B126:B129">
    <cfRule type="notContainsBlanks" dxfId="1538" priority="83">
      <formula>LEN(TRIM(B126))&gt;0</formula>
    </cfRule>
  </conditionalFormatting>
  <conditionalFormatting sqref="B141">
    <cfRule type="notContainsBlanks" dxfId="1537" priority="72">
      <formula>LEN(TRIM(B141))&gt;0</formula>
    </cfRule>
  </conditionalFormatting>
  <conditionalFormatting sqref="C141:F141">
    <cfRule type="cellIs" dxfId="1536" priority="79" operator="equal">
      <formula>$B$141=""</formula>
    </cfRule>
  </conditionalFormatting>
  <conditionalFormatting sqref="C142:F142">
    <cfRule type="cellIs" dxfId="1535" priority="78" operator="equal">
      <formula>$B$142=""</formula>
    </cfRule>
  </conditionalFormatting>
  <conditionalFormatting sqref="C143:F143">
    <cfRule type="cellIs" dxfId="1534" priority="77" operator="equal">
      <formula>$B$143=""</formula>
    </cfRule>
  </conditionalFormatting>
  <conditionalFormatting sqref="C144:F144">
    <cfRule type="cellIs" dxfId="1533" priority="76" operator="equal">
      <formula>$B$144=""</formula>
    </cfRule>
  </conditionalFormatting>
  <conditionalFormatting sqref="C145:F145">
    <cfRule type="cellIs" dxfId="1532" priority="75" operator="equal">
      <formula>$B$145=""</formula>
    </cfRule>
  </conditionalFormatting>
  <conditionalFormatting sqref="C141:F145">
    <cfRule type="notContainsBlanks" dxfId="1531" priority="74">
      <formula>LEN(TRIM(C141))&gt;0</formula>
    </cfRule>
  </conditionalFormatting>
  <conditionalFormatting sqref="B142:B145">
    <cfRule type="notContainsBlanks" dxfId="1530" priority="73">
      <formula>LEN(TRIM(B142))&gt;0</formula>
    </cfRule>
  </conditionalFormatting>
  <conditionalFormatting sqref="C155:F156">
    <cfRule type="notContainsBlanks" dxfId="1529" priority="71">
      <formula>LEN(TRIM(C155))&gt;0</formula>
    </cfRule>
  </conditionalFormatting>
  <conditionalFormatting sqref="C157:F157">
    <cfRule type="cellIs" dxfId="1528" priority="69" operator="equal">
      <formula>$B$157=""</formula>
    </cfRule>
  </conditionalFormatting>
  <conditionalFormatting sqref="C158:F158">
    <cfRule type="cellIs" dxfId="1527" priority="68" operator="equal">
      <formula>$B$158=""</formula>
    </cfRule>
  </conditionalFormatting>
  <conditionalFormatting sqref="C159:F159">
    <cfRule type="cellIs" dxfId="1526" priority="67" operator="equal">
      <formula>$B$159=""</formula>
    </cfRule>
  </conditionalFormatting>
  <conditionalFormatting sqref="C160:F160">
    <cfRule type="cellIs" dxfId="1525" priority="66" operator="equal">
      <formula>$B$160=""</formula>
    </cfRule>
  </conditionalFormatting>
  <conditionalFormatting sqref="C161:F161">
    <cfRule type="cellIs" dxfId="1524" priority="65" operator="equal">
      <formula>$B$161=""</formula>
    </cfRule>
  </conditionalFormatting>
  <conditionalFormatting sqref="C157:F161">
    <cfRule type="notContainsBlanks" dxfId="1523" priority="64">
      <formula>LEN(TRIM(C157))&gt;0</formula>
    </cfRule>
  </conditionalFormatting>
  <conditionalFormatting sqref="B158:B161">
    <cfRule type="notContainsBlanks" dxfId="1522" priority="63">
      <formula>LEN(TRIM(B158))&gt;0</formula>
    </cfRule>
  </conditionalFormatting>
  <conditionalFormatting sqref="C173:F173">
    <cfRule type="cellIs" dxfId="1521" priority="59" operator="equal">
      <formula>$B$173=""</formula>
    </cfRule>
  </conditionalFormatting>
  <conditionalFormatting sqref="C174:F174">
    <cfRule type="cellIs" dxfId="1520" priority="58" operator="equal">
      <formula>$B$174=""</formula>
    </cfRule>
  </conditionalFormatting>
  <conditionalFormatting sqref="C175:F175">
    <cfRule type="cellIs" dxfId="1519" priority="57" operator="equal">
      <formula>$B$175=""</formula>
    </cfRule>
  </conditionalFormatting>
  <conditionalFormatting sqref="C176:F176">
    <cfRule type="cellIs" dxfId="1518" priority="56" operator="equal">
      <formula>$B$176=""</formula>
    </cfRule>
  </conditionalFormatting>
  <conditionalFormatting sqref="C177:F177">
    <cfRule type="cellIs" dxfId="1517" priority="55" operator="equal">
      <formula>$B$177=""</formula>
    </cfRule>
  </conditionalFormatting>
  <conditionalFormatting sqref="C173:F177">
    <cfRule type="notContainsBlanks" dxfId="1516" priority="54">
      <formula>LEN(TRIM(C173))&gt;0</formula>
    </cfRule>
  </conditionalFormatting>
  <conditionalFormatting sqref="B174:B177">
    <cfRule type="notContainsBlanks" dxfId="1515" priority="53">
      <formula>LEN(TRIM(B174))&gt;0</formula>
    </cfRule>
  </conditionalFormatting>
  <conditionalFormatting sqref="B173">
    <cfRule type="notContainsBlanks" dxfId="1514" priority="52">
      <formula>LEN(TRIM(B173))&gt;0</formula>
    </cfRule>
  </conditionalFormatting>
  <conditionalFormatting sqref="H166:H175">
    <cfRule type="expression" dxfId="1513" priority="51">
      <formula>$B$165="batch plant"</formula>
    </cfRule>
  </conditionalFormatting>
  <conditionalFormatting sqref="H150:H159">
    <cfRule type="expression" dxfId="1512" priority="50">
      <formula>$B$149="batch plant"</formula>
    </cfRule>
  </conditionalFormatting>
  <conditionalFormatting sqref="H134:H143">
    <cfRule type="expression" dxfId="1511" priority="49">
      <formula>$B$133="batch plant"</formula>
    </cfRule>
  </conditionalFormatting>
  <conditionalFormatting sqref="H118:H127">
    <cfRule type="expression" dxfId="1510" priority="48">
      <formula>$B$117="batch plant"</formula>
    </cfRule>
  </conditionalFormatting>
  <conditionalFormatting sqref="H102:H111">
    <cfRule type="expression" dxfId="1509" priority="47">
      <formula>$B$101="batch plant"</formula>
    </cfRule>
  </conditionalFormatting>
  <conditionalFormatting sqref="H86:H95">
    <cfRule type="expression" dxfId="1508" priority="46">
      <formula>$B$85="batch plant"</formula>
    </cfRule>
  </conditionalFormatting>
  <conditionalFormatting sqref="H70:H79">
    <cfRule type="expression" dxfId="1507" priority="45">
      <formula>$B$69="batch plant"</formula>
    </cfRule>
  </conditionalFormatting>
  <conditionalFormatting sqref="H54:H63">
    <cfRule type="expression" dxfId="1506" priority="44">
      <formula>$B$53="batch plant"</formula>
    </cfRule>
  </conditionalFormatting>
  <conditionalFormatting sqref="H38:H47">
    <cfRule type="expression" dxfId="1505" priority="42">
      <formula>$B$37="batch plant"</formula>
    </cfRule>
  </conditionalFormatting>
  <conditionalFormatting sqref="H21:H30">
    <cfRule type="notContainsBlanks" dxfId="1504" priority="41">
      <formula>LEN(TRIM(H21))&gt;0</formula>
    </cfRule>
  </conditionalFormatting>
  <conditionalFormatting sqref="F24">
    <cfRule type="cellIs" dxfId="1503" priority="40" operator="equal">
      <formula>$B$24=""</formula>
    </cfRule>
    <cfRule type="notContainsBlanks" dxfId="1502" priority="288">
      <formula>LEN(TRIM(F24))&gt;0</formula>
    </cfRule>
  </conditionalFormatting>
  <conditionalFormatting sqref="B24:E24">
    <cfRule type="notContainsBlanks" dxfId="1501" priority="287">
      <formula>LEN(TRIM(B24))&gt;0</formula>
    </cfRule>
  </conditionalFormatting>
  <conditionalFormatting sqref="F41">
    <cfRule type="cellIs" dxfId="1500" priority="35" operator="equal">
      <formula>$B$41=""</formula>
    </cfRule>
    <cfRule type="notContainsBlanks" dxfId="1499" priority="37">
      <formula>LEN(TRIM(F41))&gt;0</formula>
    </cfRule>
  </conditionalFormatting>
  <conditionalFormatting sqref="B41:E41">
    <cfRule type="notContainsBlanks" dxfId="1498" priority="36">
      <formula>LEN(TRIM(B41))&gt;0</formula>
    </cfRule>
  </conditionalFormatting>
  <conditionalFormatting sqref="F57">
    <cfRule type="cellIs" dxfId="1497" priority="32" operator="equal">
      <formula>$B$57=""</formula>
    </cfRule>
    <cfRule type="notContainsBlanks" dxfId="1496" priority="34">
      <formula>LEN(TRIM(F57))&gt;0</formula>
    </cfRule>
  </conditionalFormatting>
  <conditionalFormatting sqref="B57:E57">
    <cfRule type="notContainsBlanks" dxfId="1495" priority="33">
      <formula>LEN(TRIM(B57))&gt;0</formula>
    </cfRule>
  </conditionalFormatting>
  <conditionalFormatting sqref="F73">
    <cfRule type="cellIs" dxfId="1494" priority="29" operator="equal">
      <formula>$B$73=""</formula>
    </cfRule>
    <cfRule type="notContainsBlanks" dxfId="1493" priority="31">
      <formula>LEN(TRIM(F73))&gt;0</formula>
    </cfRule>
  </conditionalFormatting>
  <conditionalFormatting sqref="B73:E73">
    <cfRule type="notContainsBlanks" dxfId="1492" priority="30">
      <formula>LEN(TRIM(B73))&gt;0</formula>
    </cfRule>
  </conditionalFormatting>
  <conditionalFormatting sqref="F89">
    <cfRule type="cellIs" dxfId="1491" priority="26" operator="equal">
      <formula>$B$89=""</formula>
    </cfRule>
    <cfRule type="notContainsBlanks" dxfId="1490" priority="28">
      <formula>LEN(TRIM(F89))&gt;0</formula>
    </cfRule>
  </conditionalFormatting>
  <conditionalFormatting sqref="B89:E89">
    <cfRule type="notContainsBlanks" dxfId="1489" priority="27">
      <formula>LEN(TRIM(B89))&gt;0</formula>
    </cfRule>
  </conditionalFormatting>
  <conditionalFormatting sqref="F105">
    <cfRule type="cellIs" dxfId="1488" priority="23" operator="equal">
      <formula>$B$105=""</formula>
    </cfRule>
    <cfRule type="notContainsBlanks" dxfId="1487" priority="25">
      <formula>LEN(TRIM(F105))&gt;0</formula>
    </cfRule>
  </conditionalFormatting>
  <conditionalFormatting sqref="B105:E105">
    <cfRule type="notContainsBlanks" dxfId="1486" priority="24">
      <formula>LEN(TRIM(B105))&gt;0</formula>
    </cfRule>
  </conditionalFormatting>
  <conditionalFormatting sqref="F121">
    <cfRule type="cellIs" dxfId="1485" priority="20" operator="equal">
      <formula>$B$121=""</formula>
    </cfRule>
    <cfRule type="notContainsBlanks" dxfId="1484" priority="22">
      <formula>LEN(TRIM(F121))&gt;0</formula>
    </cfRule>
  </conditionalFormatting>
  <conditionalFormatting sqref="B121:E121">
    <cfRule type="notContainsBlanks" dxfId="1483" priority="21">
      <formula>LEN(TRIM(B121))&gt;0</formula>
    </cfRule>
  </conditionalFormatting>
  <conditionalFormatting sqref="F137">
    <cfRule type="cellIs" dxfId="1482" priority="17" operator="equal">
      <formula>$B$137=""</formula>
    </cfRule>
    <cfRule type="notContainsBlanks" dxfId="1481" priority="19">
      <formula>LEN(TRIM(F137))&gt;0</formula>
    </cfRule>
  </conditionalFormatting>
  <conditionalFormatting sqref="B137:E137">
    <cfRule type="notContainsBlanks" dxfId="1480" priority="18">
      <formula>LEN(TRIM(B137))&gt;0</formula>
    </cfRule>
  </conditionalFormatting>
  <conditionalFormatting sqref="F153">
    <cfRule type="cellIs" dxfId="1479" priority="14" operator="equal">
      <formula>$B$153=""</formula>
    </cfRule>
    <cfRule type="notContainsBlanks" dxfId="1478" priority="16">
      <formula>LEN(TRIM(F153))&gt;0</formula>
    </cfRule>
  </conditionalFormatting>
  <conditionalFormatting sqref="B153:E153">
    <cfRule type="notContainsBlanks" dxfId="1477" priority="15">
      <formula>LEN(TRIM(B153))&gt;0</formula>
    </cfRule>
  </conditionalFormatting>
  <conditionalFormatting sqref="F169">
    <cfRule type="cellIs" dxfId="1476" priority="11" operator="equal">
      <formula>$B$169=""</formula>
    </cfRule>
    <cfRule type="notContainsBlanks" dxfId="1475" priority="13">
      <formula>LEN(TRIM(F169))&gt;0</formula>
    </cfRule>
  </conditionalFormatting>
  <conditionalFormatting sqref="B169:E169">
    <cfRule type="notContainsBlanks" dxfId="1474" priority="12">
      <formula>LEN(TRIM(B169))&gt;0</formula>
    </cfRule>
  </conditionalFormatting>
  <dataValidations count="3">
    <dataValidation type="list" allowBlank="1" showInputMessage="1" showErrorMessage="1" sqref="J21:J30 J38:J47 J54:J63 J70:J79 J86:J95 J102:J111 J118:J127 J134:J143 J150:J159 J166:J175" xr:uid="{00000000-0002-0000-0300-000000000000}">
      <formula1>ConcreteProcesses</formula1>
    </dataValidation>
    <dataValidation type="whole" allowBlank="1" showInputMessage="1" showErrorMessage="1" sqref="C18:F18 D4:F4 G5" xr:uid="{00000000-0002-0000-0300-000001000000}">
      <formula1>0</formula1>
      <formula2>100</formula2>
    </dataValidation>
    <dataValidation type="list" allowBlank="1" showInputMessage="1" showErrorMessage="1" sqref="F24 F41 F57 F73 F89 F105 F121 F137 F153 F169" xr:uid="{00000000-0002-0000-0300-000002000000}">
      <formula1>CHECK</formula1>
    </dataValidation>
  </dataValidations>
  <pageMargins left="0.25" right="0.25" top="0.75" bottom="0.75" header="0.3" footer="0.3"/>
  <pageSetup scale="65" fitToHeight="0" orientation="landscape" verticalDpi="300" r:id="rId1"/>
  <legacyDrawing r:id="rId2"/>
  <extLst>
    <ext xmlns:x14="http://schemas.microsoft.com/office/spreadsheetml/2009/9/main" uri="{78C0D931-6437-407d-A8EE-F0AAD7539E65}">
      <x14:conditionalFormattings>
        <x14:conditionalFormatting xmlns:xm="http://schemas.microsoft.com/office/excel/2006/main">
          <x14:cfRule type="notContainsBlanks" priority="4" stopIfTrue="1" id="{B2C44126-B68A-4359-BB3A-EC4FB1346AE5}">
            <xm:f>LEN(TRIM('Concrete Plant (CP-1)'!M177))&gt;0</xm:f>
            <x14:dxf>
              <border>
                <left style="thin">
                  <color indexed="64"/>
                </left>
                <right style="thin">
                  <color indexed="64"/>
                </right>
                <top style="thin">
                  <color indexed="64"/>
                </top>
                <bottom style="thin">
                  <color indexed="64"/>
                </bottom>
              </border>
            </x14:dxf>
          </x14:cfRule>
          <xm:sqref>M178:N178</xm:sqref>
        </x14:conditionalFormatting>
        <x14:conditionalFormatting xmlns:xm="http://schemas.microsoft.com/office/excel/2006/main">
          <x14:cfRule type="cellIs" priority="3" stopIfTrue="1" operator="equal" id="{695EF894-1B5B-4A4E-9225-3ECEAA9F46CF}">
            <xm:f>'Concrete Plant (CP-1)'!$B$51="batch plant"</xm:f>
            <x14:dxf>
              <fill>
                <patternFill patternType="none">
                  <bgColor indexed="65"/>
                </patternFill>
              </fill>
              <border>
                <left/>
                <right/>
                <top/>
                <bottom/>
              </border>
            </x14:dxf>
          </x14:cfRule>
          <xm:sqref>M64:N67 M53:N53</xm:sqref>
        </x14:conditionalFormatting>
        <x14:conditionalFormatting xmlns:xm="http://schemas.microsoft.com/office/excel/2006/main">
          <x14:cfRule type="cellIs" priority="5" stopIfTrue="1" operator="equal" id="{54E52BC1-ACFA-4EC7-A034-7CE390DED706}">
            <xm:f>'Concrete Plant (CP-1)'!$B$67="batch plant"</xm:f>
            <x14:dxf>
              <fill>
                <patternFill patternType="none">
                  <bgColor indexed="65"/>
                </patternFill>
              </fill>
              <border>
                <left/>
                <right/>
                <top/>
                <bottom/>
              </border>
            </x14:dxf>
          </x14:cfRule>
          <xm:sqref>M80:N83 M69:N69</xm:sqref>
        </x14:conditionalFormatting>
        <x14:conditionalFormatting xmlns:xm="http://schemas.microsoft.com/office/excel/2006/main">
          <x14:cfRule type="cellIs" priority="6" stopIfTrue="1" operator="equal" id="{A053A56A-2AC0-4C0D-A3D0-ECA7E98EA52C}">
            <xm:f>'Concrete Plant (CP-1)'!$B$83="batch plant"</xm:f>
            <x14:dxf>
              <fill>
                <patternFill patternType="none">
                  <bgColor indexed="65"/>
                </patternFill>
              </fill>
              <border>
                <left/>
                <right/>
                <top/>
                <bottom/>
              </border>
            </x14:dxf>
          </x14:cfRule>
          <xm:sqref>M96:N99 M85:N85</xm:sqref>
        </x14:conditionalFormatting>
        <x14:conditionalFormatting xmlns:xm="http://schemas.microsoft.com/office/excel/2006/main">
          <x14:cfRule type="cellIs" priority="7" stopIfTrue="1" operator="equal" id="{6C85E143-431E-44B8-AB37-09B5A7AB73AB}">
            <xm:f>'Concrete Plant (CP-1)'!$B$99="batch plant"</xm:f>
            <x14:dxf>
              <fill>
                <patternFill patternType="none">
                  <bgColor indexed="65"/>
                </patternFill>
              </fill>
              <border>
                <left/>
                <right/>
                <top/>
                <bottom/>
              </border>
            </x14:dxf>
          </x14:cfRule>
          <xm:sqref>M112:N115 M101:N101</xm:sqref>
        </x14:conditionalFormatting>
        <x14:conditionalFormatting xmlns:xm="http://schemas.microsoft.com/office/excel/2006/main">
          <x14:cfRule type="cellIs" priority="8" stopIfTrue="1" operator="equal" id="{4FB806F1-FDDC-4B6F-B5BC-BA3760240141}">
            <xm:f>'Concrete Plant (CP-1)'!$B$115="batch plant"</xm:f>
            <x14:dxf>
              <fill>
                <patternFill patternType="none">
                  <bgColor indexed="65"/>
                </patternFill>
              </fill>
              <border>
                <left/>
                <right/>
                <top/>
                <bottom/>
              </border>
            </x14:dxf>
          </x14:cfRule>
          <xm:sqref>M128:N131 M117:N117</xm:sqref>
        </x14:conditionalFormatting>
        <x14:conditionalFormatting xmlns:xm="http://schemas.microsoft.com/office/excel/2006/main">
          <x14:cfRule type="cellIs" priority="9" stopIfTrue="1" operator="equal" id="{42632CAD-7431-419C-A131-C3CF3126EB38}">
            <xm:f>'Concrete Plant (CP-1)'!$B$131="batch plant"</xm:f>
            <x14:dxf>
              <fill>
                <patternFill patternType="none">
                  <bgColor indexed="65"/>
                </patternFill>
              </fill>
              <border>
                <left/>
                <right/>
                <top/>
                <bottom/>
              </border>
            </x14:dxf>
          </x14:cfRule>
          <xm:sqref>M144:N147 M133:N133</xm:sqref>
        </x14:conditionalFormatting>
        <x14:conditionalFormatting xmlns:xm="http://schemas.microsoft.com/office/excel/2006/main">
          <x14:cfRule type="cellIs" priority="10" stopIfTrue="1" operator="equal" id="{E0DC57C5-0C21-4ACA-9FEE-48F4416D8A19}">
            <xm:f>'Concrete Plant (CP-1)'!$B$147="batch plant"</xm:f>
            <x14:dxf>
              <fill>
                <patternFill patternType="none">
                  <bgColor indexed="65"/>
                </patternFill>
              </fill>
              <border>
                <left/>
                <right/>
                <top/>
                <bottom/>
              </border>
            </x14:dxf>
          </x14:cfRule>
          <xm:sqref>M160:N163 M149:N149</xm:sqref>
        </x14:conditionalFormatting>
        <x14:conditionalFormatting xmlns:xm="http://schemas.microsoft.com/office/excel/2006/main">
          <x14:cfRule type="cellIs" priority="2" operator="equal" id="{2F651E5E-EAD9-4870-9EF5-04CA4454FA77}">
            <xm:f>'Concrete Plant (CP-1)'!$B$36="batch plant"</xm:f>
            <x14:dxf>
              <fill>
                <patternFill patternType="none">
                  <bgColor auto="1"/>
                </patternFill>
              </fill>
              <border>
                <left/>
                <right/>
                <top/>
                <bottom/>
                <vertical/>
                <horizontal/>
              </border>
            </x14:dxf>
          </x14:cfRule>
          <xm:sqref>M52:N52</xm:sqref>
        </x14:conditionalFormatting>
        <x14:conditionalFormatting xmlns:xm="http://schemas.microsoft.com/office/excel/2006/main">
          <x14:cfRule type="cellIs" priority="1" stopIfTrue="1" operator="equal" id="{E2AF4F17-030B-48E5-AAD9-FEE9744BBA70}">
            <xm:f>'Concrete Plant (CP-1)'!$B$164="batch plant"</xm:f>
            <x14:dxf>
              <fill>
                <patternFill patternType="none">
                  <bgColor indexed="65"/>
                </patternFill>
              </fill>
              <border>
                <left/>
                <right/>
                <top/>
                <bottom/>
              </border>
            </x14:dxf>
          </x14:cfRule>
          <xm:sqref>M179:N179</xm:sqref>
        </x14:conditionalFormatting>
        <x14:conditionalFormatting xmlns:xm="http://schemas.microsoft.com/office/excel/2006/main">
          <x14:cfRule type="notContainsBlanks" priority="1180" stopIfTrue="1" id="{B2C44126-B68A-4359-BB3A-EC4FB1346AE5}">
            <xm:f>LEN(TRIM('Concrete Plant (CP-1)'!#REF!))&gt;0</xm:f>
            <x14:dxf>
              <border>
                <left style="thin">
                  <color indexed="64"/>
                </left>
                <right style="thin">
                  <color indexed="64"/>
                </right>
                <top style="thin">
                  <color indexed="64"/>
                </top>
                <bottom style="thin">
                  <color indexed="64"/>
                </bottom>
              </border>
            </x14:dxf>
          </x14:cfRule>
          <xm:sqref>M50:N51</xm:sqref>
        </x14:conditionalFormatting>
        <x14:conditionalFormatting xmlns:xm="http://schemas.microsoft.com/office/excel/2006/main">
          <x14:cfRule type="notContainsBlanks" priority="7264" stopIfTrue="1" id="{B2C44126-B68A-4359-BB3A-EC4FB1346AE5}">
            <xm:f>LEN(TRIM('Concrete Plant (CP-1)'!M64))&gt;0</xm:f>
            <x14:dxf>
              <border>
                <left style="thin">
                  <color indexed="64"/>
                </left>
                <right style="thin">
                  <color indexed="64"/>
                </right>
                <top style="thin">
                  <color indexed="64"/>
                </top>
                <bottom style="thin">
                  <color indexed="64"/>
                </bottom>
              </border>
            </x14:dxf>
          </x14:cfRule>
          <xm:sqref>M162:N162 M146:N146 M66:N66 M82:N82 M98:N98 M114:N114 M130:N130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W181"/>
  <sheetViews>
    <sheetView topLeftCell="B1" zoomScaleNormal="100" workbookViewId="0">
      <selection activeCell="B1" sqref="B1"/>
    </sheetView>
  </sheetViews>
  <sheetFormatPr defaultColWidth="8.85546875" defaultRowHeight="14.25" customHeight="1" x14ac:dyDescent="0.2"/>
  <cols>
    <col min="1" max="1" width="15.42578125" style="67" hidden="1" customWidth="1"/>
    <col min="2" max="2" width="31.85546875" style="67" customWidth="1"/>
    <col min="3" max="3" width="9.42578125" style="67" customWidth="1"/>
    <col min="4" max="4" width="11.28515625" style="67" customWidth="1"/>
    <col min="5" max="5" width="9.42578125" style="67" customWidth="1"/>
    <col min="6" max="6" width="11.140625" style="67" customWidth="1"/>
    <col min="7" max="7" width="2.85546875" style="67" customWidth="1"/>
    <col min="8" max="8" width="13.85546875" style="67" customWidth="1"/>
    <col min="9" max="9" width="14" style="67" customWidth="1"/>
    <col min="10" max="10" width="31.140625" style="67" customWidth="1"/>
    <col min="11" max="11" width="37.7109375" style="67" customWidth="1"/>
    <col min="12" max="12" width="27.42578125" style="67" customWidth="1"/>
    <col min="13" max="13" width="6.28515625" style="177" hidden="1" customWidth="1"/>
    <col min="14" max="14" width="7.42578125" style="177" hidden="1" customWidth="1"/>
    <col min="15" max="15" width="7" style="67" customWidth="1"/>
    <col min="16" max="16" width="31.28515625" style="67" customWidth="1"/>
    <col min="17" max="17" width="18.140625" style="67" customWidth="1"/>
    <col min="18" max="18" width="17.42578125" style="67" customWidth="1"/>
    <col min="19" max="19" width="18.140625" style="67" hidden="1" customWidth="1"/>
    <col min="20" max="20" width="16.42578125" style="67" hidden="1" customWidth="1"/>
    <col min="21" max="21" width="16.140625" style="67" hidden="1" customWidth="1"/>
    <col min="22" max="22" width="16.28515625" style="67" customWidth="1"/>
    <col min="23" max="23" width="0" style="67" hidden="1" customWidth="1"/>
    <col min="24" max="16384" width="8.85546875" style="67"/>
  </cols>
  <sheetData>
    <row r="1" spans="2:21" ht="14.25" customHeight="1" x14ac:dyDescent="0.2">
      <c r="B1" s="322" t="s">
        <v>221</v>
      </c>
      <c r="C1" s="322"/>
      <c r="D1" s="313"/>
      <c r="E1" s="313"/>
      <c r="F1" s="167"/>
    </row>
    <row r="2" spans="2:21" ht="14.25" customHeight="1" x14ac:dyDescent="0.25">
      <c r="B2" s="325" t="s">
        <v>37</v>
      </c>
      <c r="C2" s="326"/>
      <c r="D2" s="326"/>
      <c r="E2" s="326"/>
      <c r="F2" s="178"/>
      <c r="J2" s="31"/>
      <c r="L2" s="323" t="s">
        <v>144</v>
      </c>
      <c r="M2" s="216"/>
      <c r="N2" s="216"/>
      <c r="P2" s="68" t="s">
        <v>255</v>
      </c>
      <c r="Q2" s="68"/>
      <c r="R2" s="68"/>
      <c r="S2" s="68"/>
    </row>
    <row r="3" spans="2:21" ht="24.75" customHeight="1" x14ac:dyDescent="0.2">
      <c r="P3" s="317" t="s">
        <v>0</v>
      </c>
      <c r="Q3" s="309" t="s">
        <v>242</v>
      </c>
      <c r="R3" s="309" t="s">
        <v>243</v>
      </c>
    </row>
    <row r="4" spans="2:21" ht="14.25" customHeight="1" x14ac:dyDescent="0.2">
      <c r="B4" s="180" t="str">
        <f>"Number of Sites this Plant operated at in "&amp;'Facility Information'!G5&amp;":"</f>
        <v>Number of Sites this Plant operated at in :</v>
      </c>
      <c r="C4" s="181"/>
      <c r="D4" s="166"/>
      <c r="F4" s="173"/>
      <c r="I4" s="146"/>
      <c r="P4" s="90" t="s">
        <v>191</v>
      </c>
      <c r="Q4" s="110">
        <f ca="1">MAX((IFERROR(OFFSET($J$20,MATCH("Aggregate Delivery to Ground Storage",$J$21:$J$30,0),1),0)),((IFERROR((OFFSET($J$37,MATCH("Aggregate Delivery to Ground Storage",$J$38:$J$47,0),1)),0))),((IFERROR((OFFSET($J$53,MATCH("Aggregate Delivery to Ground Storage",$J$54:$J$63,0),1)),0))),((IFERROR((OFFSET($J$69,MATCH("Aggregate Delivery to Ground Storage",$J$70:$J$79,0),1)),0))),((IFERROR((OFFSET($J$85,MATCH("Aggregate Delivery to Ground Storage",$J$86:$J$95,0),1)),0))),((IFERROR((OFFSET($J$101,MATCH("Aggregate Delivery to Ground Storage",$J$102:$J$111,0),1)),0))),((IFERROR((OFFSET($J$117,MATCH("Aggregate Delivery to Ground Storage",$J$118:$J$127,0),1)),0))),((IFERROR((OFFSET($J$133,MATCH("Aggregate Delivery to Ground Storage",$J$134:$J$143,0),1)),0))),((IFERROR((OFFSET($J$149,MATCH("Aggregate Delivery to Ground Storage",$J$150:$J$159,0),1)),0))),((IFERROR((OFFSET($J$165,MATCH("Aggregate Delivery to Ground Storage",$J$166:$J$175,0),1)),0))),)</f>
        <v>0</v>
      </c>
      <c r="R4" s="110">
        <f ca="1">SUM((IFERROR(OFFSET($J$20,MATCH("Aggregate Delivery to Ground Storage",$J$21:$J$30,0),2),0)),((IFERROR((OFFSET($J$37,MATCH("Aggregate Delivery to Ground Storage",$J$38:$J$47,0),2)),0))),((IFERROR((OFFSET($J$53,MATCH("Aggregate Delivery to Ground Storage",$J$54:$J$63,0),2)),0))),((IFERROR((OFFSET($J$69,MATCH("Aggregate Delivery to Ground Storage",$J$70:$J$79,0),2)),0))),((IFERROR((OFFSET($J$85,MATCH("Aggregate Delivery to Ground Storage",$J$86:$J$95,0),2)),0))),((IFERROR((OFFSET($J$101,MATCH("Aggregate Delivery to Ground Storage",$J$102:$J$111,0),2)),0))),((IFERROR((OFFSET($J$117,MATCH("Aggregate Delivery to Ground Storage",$J$118:$J$127,0),2)),0))),((IFERROR((OFFSET($J$133,MATCH("Aggregate Delivery to Ground Storage",$J$134:$J$143,0),2)),0))),((IFERROR((OFFSET($J$149,MATCH("Aggregate Delivery to Ground Storage",$J$150:$J$159,0),2)),0))),((IFERROR((OFFSET($J$165,MATCH("Aggregate Delivery to Ground Storage",$J$166:$J$175,0),2)),0))),)</f>
        <v>0</v>
      </c>
      <c r="S4" s="386" t="s">
        <v>252</v>
      </c>
      <c r="T4" s="386"/>
      <c r="U4" s="386"/>
    </row>
    <row r="5" spans="2:21" ht="14.25" customHeight="1" x14ac:dyDescent="0.2">
      <c r="B5" s="83"/>
      <c r="C5" s="83"/>
      <c r="D5" s="83"/>
      <c r="E5" s="83"/>
      <c r="F5" s="83"/>
      <c r="G5" s="146"/>
      <c r="H5" s="146"/>
      <c r="I5" s="146"/>
      <c r="P5" s="90" t="s">
        <v>192</v>
      </c>
      <c r="Q5" s="110">
        <f ca="1">MAX((IFERROR(OFFSET($J$20,MATCH("Sand Delivery to Ground Storage",$J$21:$J$30,0),1),0)),((IFERROR((OFFSET($J$37,MATCH("Sand Delivery to Ground Storage",$J$38:$J$47,0),1)),0))),((IFERROR((OFFSET($J$53,MATCH("Sand Delivery to Ground Storage",$J$54:$J$63,0),1)),0))),((IFERROR((OFFSET($J$69,MATCH("Sand Delivery to Ground Storage",$J$70:$J$79,0),1)),0))),((IFERROR((OFFSET($J$85,MATCH("Sand Delivery to Ground Storage",$J$86:$J$95,0),1)),0))),((IFERROR((OFFSET($J$101,MATCH("Sand Delivery to Ground Storage",$J$102:$J$111,0),1)),0))),((IFERROR((OFFSET($J$117,MATCH("Sand Delivery to Ground Storage",$J$118:$J$127,0),1)),0))),((IFERROR((OFFSET($J$133,MATCH("Sand Delivery to Ground Storage",$J$134:$J$143,0),1)),0))),((IFERROR((OFFSET($J$149,MATCH("Sand Delivery to Ground Storage",$J$150:$J$159,0),1)),0))),((IFERROR((OFFSET($J$165,MATCH("Sand Delivery to Ground Storage",$J$166:$J$175,0),1)),0))),)</f>
        <v>0</v>
      </c>
      <c r="R5" s="110">
        <f ca="1">SUM((IFERROR(OFFSET($J$20,MATCH("Sand Delivery to Ground Storage",$J$21:$J$30,0),2),0)),((IFERROR((OFFSET($J$37,MATCH("Sand Delivery to Ground Storage",$J$38:$J$47,0),2)),0))),((IFERROR((OFFSET($J$53,MATCH("Sand Delivery to Ground Storage",$J$54:$J$63,0),2)),0))),((IFERROR((OFFSET($J$69,MATCH("Sand Delivery to Ground Storage",$J$70:$J$79,0),2)),0))),((IFERROR((OFFSET($J$85,MATCH("Sand Delivery to Ground Storage",$J$86:$J$95,0),2)),0))),((IFERROR((OFFSET($J$101,MATCH("Sand Delivery to Ground Storage",$J$102:$J$111,0),2)),0))),((IFERROR((OFFSET($J$117,MATCH("Sand Delivery to Ground Storage",$J$118:$J$127,0),2)),0))),((IFERROR((OFFSET($J$133,MATCH("Sand Delivery to Ground Storage",$J$134:$J$143,0),2)),0))),((IFERROR((OFFSET($J$149,MATCH("Sand Delivery to Ground Storage",$J$150:$J$159,0),2)),0))),((IFERROR((OFFSET($J$165,MATCH("Sand Delivery to Ground Storage",$J$166:$J$175,0),2)),0))),)</f>
        <v>0</v>
      </c>
      <c r="S5" s="386"/>
      <c r="T5" s="386"/>
      <c r="U5" s="386"/>
    </row>
    <row r="6" spans="2:21" ht="14.25" customHeight="1" x14ac:dyDescent="0.2">
      <c r="B6" s="327" t="s">
        <v>156</v>
      </c>
      <c r="C6" s="307"/>
      <c r="D6" s="346"/>
      <c r="E6" s="125"/>
      <c r="F6" s="125"/>
      <c r="G6" s="45"/>
      <c r="H6" s="45"/>
      <c r="I6" s="45"/>
      <c r="J6" s="45"/>
      <c r="K6" s="45"/>
      <c r="L6" s="45"/>
      <c r="M6" s="182"/>
      <c r="N6" s="182"/>
      <c r="P6" s="90" t="s">
        <v>193</v>
      </c>
      <c r="Q6" s="110">
        <f ca="1">MAX((IFERROR(OFFSET($J$20,MATCH("Aggregate Transfer to Conveyor",$J$21:$J$30,0),1),0)),((IFERROR((OFFSET($J$37,MATCH("Aggregate Transfer to Conveyor",$J$38:$J$47,0),1)),0))),((IFERROR((OFFSET($J$53,MATCH("Aggregate Transfer to Conveyor",$J$54:$J$63,0),1)),0))),((IFERROR((OFFSET($J$69,MATCH("Aggregate Transfer to Conveyor",$J$70:$J$79,0),1)),0))),((IFERROR((OFFSET($J$85,MATCH("Aggregate Transfer to Conveyor",$J$86:$J$95,0),1)),0))),((IFERROR((OFFSET($J$101,MATCH("Aggregate Transfer to Conveyor",$J$102:$J$111,0),1)),0))),((IFERROR((OFFSET($J$117,MATCH("Aggregate Transfer to Conveyor",$J$118:$J$127,0),1)),0))),((IFERROR((OFFSET($J$133,MATCH("Aggregate Transfer to Conveyor",$J$134:$J$143,0),1)),0))),((IFERROR((OFFSET($J$149,MATCH("Aggregate Transfer to Conveyor",$J$150:$J$159,0),1)),0))),((IFERROR((OFFSET($J$165,MATCH("Aggregate Transfer to Conveyor",$J$166:$J$175,0),1)),0))),)</f>
        <v>0</v>
      </c>
      <c r="R6" s="110">
        <f ca="1">SUM((IFERROR(OFFSET($J$20,MATCH("Aggregate Transfer to Conveyor",$J$21:$J$30,0),2),0)),((IFERROR((OFFSET($J$37,MATCH("Aggregate Transfer to Conveyor",$J$38:$J$47,0),2)),0))),((IFERROR((OFFSET($J$53,MATCH("Aggregate Transfer to Conveyor",$J$54:$J$63,0),2)),0))),((IFERROR((OFFSET($J$69,MATCH("Aggregate Transfer to Conveyor",$J$70:$J$79,0),2)),0))),((IFERROR((OFFSET($J$85,MATCH("Aggregate Transfer to Conveyor",$J$86:$J$95,0),2)),0))),((IFERROR((OFFSET($J$101,MATCH("Aggregate Transfer to Conveyor",$J$102:$J$111,0),2)),0))),((IFERROR((OFFSET($J$117,MATCH("Aggregate Transfer to Conveyor",$J$118:$J$127,0),2)),0))),((IFERROR((OFFSET($J$133,MATCH("Aggregate Transfer to Conveyor",$J$134:$J$143,0),2)),0))),((IFERROR((OFFSET($J$149,MATCH("Aggregate Transfer to Conveyor",$J$150:$J$159,0),2)),0))),((IFERROR((OFFSET($J$165,MATCH("Aggregate Transfer to Conveyor",$J$166:$J$175,0),2)),0))),)</f>
        <v>0</v>
      </c>
    </row>
    <row r="7" spans="2:21" ht="14.25" customHeight="1" x14ac:dyDescent="0.2">
      <c r="B7" s="52"/>
      <c r="C7" s="50"/>
      <c r="D7" s="50"/>
      <c r="E7" s="50"/>
      <c r="F7" s="50"/>
      <c r="G7" s="45"/>
      <c r="H7" s="45"/>
      <c r="I7" s="45"/>
      <c r="J7" s="45"/>
      <c r="K7" s="45"/>
      <c r="L7" s="45"/>
      <c r="M7" s="182"/>
      <c r="N7" s="182"/>
      <c r="P7" s="90" t="s">
        <v>194</v>
      </c>
      <c r="Q7" s="110">
        <f ca="1">MAX((IFERROR(OFFSET($J$20,MATCH("Sand Transfer to Conveyor",$J$21:$J$30,0),1),0)),((IFERROR((OFFSET($J$37,MATCH("Sand Transfer to Conveyor",$J$38:$J$47,0),1)),0))),((IFERROR((OFFSET($J$53,MATCH("Sand Transfer to Conveyor",$J$54:$J$63,0),1)),0))),((IFERROR((OFFSET($J$69,MATCH("Sand Transfer to Conveyor",$J$70:$J$79,0),1)),0))),((IFERROR((OFFSET($J$85,MATCH("Sand Transfer to Conveyor",$J$86:$J$95,0),1)),0))),((IFERROR((OFFSET($J$101,MATCH("Sand Transfer to Conveyor",$J$102:$J$111,0),1)),0))),((IFERROR((OFFSET($J$117,MATCH("Sand Transfer to Conveyor",$J$118:$J$127,0),1)),0))),((IFERROR((OFFSET($J$133,MATCH("Sand Transfer to Conveyor",$J$134:$J$143,0),1)),0))),((IFERROR((OFFSET($J$149,MATCH("Sand Transfer to Conveyor",$J$150:$J$159,0),1)),0))),((IFERROR((OFFSET($J$165,MATCH("Sand Transfer to Conveyor",$J$166:$J$175,0),1)),0))),)</f>
        <v>0</v>
      </c>
      <c r="R7" s="110">
        <f ca="1">SUM((IFERROR(OFFSET($J$20,MATCH("Sand Transfer to Conveyor",$J$21:$J$30,0),2),0)),((IFERROR((OFFSET($J$37,MATCH("Sand Transfer to Conveyor",$J$38:$J$47,0),2)),0))),((IFERROR((OFFSET($J$53,MATCH("Sand Transfer to Conveyor",$J$54:$J$63,0),2)),0))),((IFERROR((OFFSET($J$69,MATCH("Sand Transfer to Conveyor",$J$70:$J$79,0),2)),0))),((IFERROR((OFFSET($J$85,MATCH("Sand Transfer to Conveyor",$J$86:$J$95,0),2)),0))),((IFERROR((OFFSET($J$101,MATCH("Sand Transfer to Conveyor",$J$102:$J$111,0),2)),0))),((IFERROR((OFFSET($J$117,MATCH("Sand Transfer to Conveyor",$J$118:$J$127,0),2)),0))),((IFERROR((OFFSET($J$133,MATCH("Sand Transfer to Conveyor",$J$134:$J$143,0),2)),0))),((IFERROR((OFFSET($J$149,MATCH("Sand Transfer to Conveyor",$J$150:$J$159,0),2)),0))),((IFERROR((OFFSET($J$165,MATCH("Sand Transfer to Conveyor",$J$166:$J$175,0),2)),0))),)</f>
        <v>0</v>
      </c>
    </row>
    <row r="8" spans="2:21" ht="14.25" customHeight="1" x14ac:dyDescent="0.2">
      <c r="B8" s="52" t="s">
        <v>149</v>
      </c>
      <c r="C8" s="45"/>
      <c r="D8" s="45"/>
      <c r="E8" s="45"/>
      <c r="F8" s="45"/>
      <c r="G8" s="50"/>
      <c r="H8" s="56" t="s">
        <v>150</v>
      </c>
      <c r="I8" s="56"/>
      <c r="J8" s="50"/>
      <c r="K8" s="50"/>
      <c r="P8" s="90" t="s">
        <v>195</v>
      </c>
      <c r="Q8" s="110">
        <f ca="1">MAX((IFERROR(OFFSET($J$20,MATCH("Aggregate Transfer to Elevated Storage",$J$21:$J$30,0),1),0)),((IFERROR((OFFSET($J$37,MATCH("Aggregate Transfer to Elevated Storage",$J$38:$J$47,0),1)),0))),((IFERROR((OFFSET($J$53,MATCH("Aggregate Transfer to Elevated Storage",$J$54:$J$63,0),1)),0))),((IFERROR((OFFSET($J$69,MATCH("Aggregate Transfer to Elevated Storage",$J$70:$J$79,0),1)),0))),((IFERROR((OFFSET($J$85,MATCH("Aggregate Transfer to Elevated Storage",$J$86:$J$95,0),1)),0))),((IFERROR((OFFSET($J$101,MATCH("Aggregate Transfer to Elevated Storage",$J$102:$J$111,0),1)),0))),((IFERROR((OFFSET($J$117,MATCH("Aggregate Transfer to Elevated Storage",$J$118:$J$127,0),1)),0))),((IFERROR((OFFSET($J$133,MATCH("Aggregate Transfer to Elevated Storage",$J$134:$J$143,0),1)),0))),((IFERROR((OFFSET($J$149,MATCH("Aggregate Transfer to Elevated Storage",$J$150:$J$159,0),1)),0))),((IFERROR((OFFSET($J$165,MATCH("Aggregate Transfer to Elevated Storage",$J$166:$J$175,0),1)),0))),)</f>
        <v>0</v>
      </c>
      <c r="R8" s="110">
        <f ca="1">SUM((IFERROR(OFFSET($J$20,MATCH("Aggregate Transfer to Elevated Storage",$J$21:$J$30,0),2),0)),((IFERROR((OFFSET($J$37,MATCH("Aggregate Transfer to Elevated Storage",$J$38:$J$47,0),2)),0))),((IFERROR((OFFSET($J$53,MATCH("Aggregate Transfer to Elevated Storage",$J$54:$J$63,0),2)),0))),((IFERROR((OFFSET($J$69,MATCH("Aggregate Transfer to Elevated Storage",$J$70:$J$79,0),2)),0))),((IFERROR((OFFSET($J$85,MATCH("Aggregate Transfer to Elevated Storage",$J$86:$J$95,0),2)),0))),((IFERROR((OFFSET($J$101,MATCH("Aggregate Transfer to Elevated Storage",$J$102:$J$111,0),2)),0))),((IFERROR((OFFSET($J$117,MATCH("Aggregate Transfer to Elevated Storage",$J$118:$J$127,0),2)),0))),((IFERROR((OFFSET($J$133,MATCH("Aggregate Transfer to Elevated Storage",$J$134:$J$143,0),2)),0))),((IFERROR((OFFSET($J$149,MATCH("Aggregate Transfer to Elevated Storage",$J$150:$J$159,0),2)),0))),((IFERROR((OFFSET($J$165,MATCH("Aggregate Transfer to Elevated Storage",$J$166:$J$175,0),2)),0))),)</f>
        <v>0</v>
      </c>
    </row>
    <row r="9" spans="2:21" ht="14.25" customHeight="1" x14ac:dyDescent="0.2">
      <c r="B9" s="389" t="s">
        <v>204</v>
      </c>
      <c r="C9" s="390"/>
      <c r="D9" s="401"/>
      <c r="E9" s="347"/>
      <c r="F9" s="174"/>
      <c r="H9" s="57" t="s">
        <v>141</v>
      </c>
      <c r="I9" s="60" t="s">
        <v>139</v>
      </c>
      <c r="J9" s="60" t="s">
        <v>140</v>
      </c>
      <c r="P9" s="90" t="s">
        <v>196</v>
      </c>
      <c r="Q9" s="110">
        <f ca="1">MAX((IFERROR(OFFSET($J$20,MATCH("Sand Transfer to Elevated Storage",$J$21:$J$30,0),1),0)),((IFERROR((OFFSET($J$37,MATCH("Sand Transfer to Elevated Storage",$J$38:$J$47,0),1)),0))),((IFERROR((OFFSET($J$53,MATCH("Sand Transfer to Elevated Storage",$J$54:$J$63,0),1)),0))),((IFERROR((OFFSET($J$69,MATCH("Sand Transfer to Elevated Storage",$J$70:$J$79,0),1)),0))),((IFERROR((OFFSET($J$85,MATCH("Sand Transfer to Elevated Storage",$J$86:$J$95,0),1)),0))),((IFERROR((OFFSET($J$101,MATCH("Sand Transfer to Elevated Storage",$J$102:$J$111,0),1)),0))),((IFERROR((OFFSET($J$117,MATCH("Sand Transfer to Elevated Storage",$J$118:$J$127,0),1)),0))),((IFERROR((OFFSET($J$133,MATCH("Sand Transfer to Elevated Storage",$J$134:$J$143,0),1)),0))),((IFERROR((OFFSET($J$149,MATCH("Sand Transfer to Elevated Storage",$J$150:$J$159,0),1)),0))),((IFERROR((OFFSET($J$165,MATCH("Sand Transfer to Elevated Storage",$J$166:$J$175,0),1)),0))),)</f>
        <v>0</v>
      </c>
      <c r="R9" s="110">
        <f ca="1">SUM((IFERROR(OFFSET($J$20,MATCH("Sand Transfer to Elevated Storage",$J$21:$J$30,0),2),0)),((IFERROR((OFFSET($J$37,MATCH("Sand Transfer to Elevated Storage",$J$38:$J$47,0),2)),0))),((IFERROR((OFFSET($J$53,MATCH("Sand Transfer to Elevated Storage",$J$54:$J$63,0),2)),0))),((IFERROR((OFFSET($J$69,MATCH("Sand Transfer to Elevated Storage",$J$70:$J$79,0),2)),0))),((IFERROR((OFFSET($J$85,MATCH("Sand Transfer to Elevated Storage",$J$86:$J$95,0),2)),0))),((IFERROR((OFFSET($J$101,MATCH("Sand Transfer to Elevated Storage",$J$102:$J$111,0),2)),0))),((IFERROR((OFFSET($J$117,MATCH("Sand Transfer to Elevated Storage",$J$118:$J$127,0),2)),0))),((IFERROR((OFFSET($J$133,MATCH("Sand Transfer to Elevated Storage",$J$134:$J$143,0),2)),0))),((IFERROR((OFFSET($J$149,MATCH("Sand Transfer to Elevated Storage",$J$150:$J$159,0),2)),0))),((IFERROR((OFFSET($J$165,MATCH("Sand Transfer to Elevated Storage",$J$166:$J$175,0),2)),0))),)</f>
        <v>0</v>
      </c>
    </row>
    <row r="10" spans="2:21" ht="14.25" customHeight="1" x14ac:dyDescent="0.2">
      <c r="B10" s="335" t="s">
        <v>205</v>
      </c>
      <c r="C10" s="393"/>
      <c r="D10" s="401"/>
      <c r="E10" s="347"/>
      <c r="F10" s="174"/>
      <c r="H10" s="59" t="s">
        <v>110</v>
      </c>
      <c r="I10" s="144"/>
      <c r="J10" s="144"/>
      <c r="P10" s="90" t="s">
        <v>203</v>
      </c>
      <c r="Q10" s="110">
        <f ca="1">MAX((IFERROR(OFFSET($J$20,MATCH("Weigh Hopper Loading",$J$21:$J$30,0),1),0)),((IFERROR((OFFSET($J$37,MATCH("Weigh Hopper Loading",$J$38:$J$47,0),1)),0))),((IFERROR((OFFSET($J$53,MATCH("Weigh Hopper Loading",$J$54:$J$63,0),1)),0))),((IFERROR((OFFSET($J$69,MATCH("Weigh Hopper Loading",$J$70:$J$79,0),1)),0))),((IFERROR((OFFSET($J$85,MATCH("Weigh Hopper Loading",$J$86:$J$95,0),1)),0))),((IFERROR((OFFSET($J$101,MATCH("Weigh Hopper Loading",$J$102:$J$111,0),1)),0))),((IFERROR((OFFSET($J$117,MATCH("Weigh Hopper Loading",$J$118:$J$127,0),1)),0))),((IFERROR((OFFSET($J$133,MATCH("Weigh Hopper Loading",$J$134:$J$143,0),1)),0))),((IFERROR((OFFSET($J$149,MATCH("Weigh Hopper Loading",$J$150:$J$159,0),1)),0))),((IFERROR((OFFSET($J$165,MATCH("Weigh Hopper Loading",$J$166:$J$175,0),1)),0))),)</f>
        <v>0</v>
      </c>
      <c r="R10" s="110">
        <f ca="1">SUM((IFERROR(OFFSET($J$20,MATCH("Weigh Hopper Loading",$J$21:$J$30,0),2),0)),((IFERROR((OFFSET($J$37,MATCH("Weigh Hopper Loading",$J$38:$J$47,0),2)),0))),((IFERROR((OFFSET($J$53,MATCH("Weigh Hopper Loading",$J$54:$J$63,0),2)),0))),((IFERROR((OFFSET($J$69,MATCH("Weigh Hopper Loading",$J$70:$J$79,0),2)),0))),((IFERROR((OFFSET($J$85,MATCH("Weigh Hopper Loading",$J$86:$J$95,0),2)),0))),((IFERROR((OFFSET($J$101,MATCH("Weigh Hopper Loading",$J$102:$J$111,0),2)),0))),((IFERROR((OFFSET($J$117,MATCH("Weigh Hopper Loading",$J$118:$J$127,0),2)),0))),((IFERROR((OFFSET($J$133,MATCH("Weigh Hopper Loading",$J$134:$J$143,0),2)),0))),((IFERROR((OFFSET($J$149,MATCH("Weigh Hopper Loading",$J$150:$J$159,0),2)),0))),((IFERROR((OFFSET($J$165,MATCH("Weigh Hopper Loading",$J$166:$J$175,0),2)),0))),)</f>
        <v>0</v>
      </c>
    </row>
    <row r="11" spans="2:21" ht="14.25" customHeight="1" x14ac:dyDescent="0.2">
      <c r="B11" s="391" t="s">
        <v>146</v>
      </c>
      <c r="C11" s="392"/>
      <c r="D11" s="401"/>
      <c r="E11" s="347"/>
      <c r="F11" s="174"/>
      <c r="H11" s="58" t="s">
        <v>17</v>
      </c>
      <c r="I11" s="144"/>
      <c r="J11" s="144"/>
      <c r="P11" s="90" t="s">
        <v>197</v>
      </c>
      <c r="Q11" s="110">
        <f ca="1">MAX((IFERROR(OFFSET($J$20,MATCH("Central Mix Loading",$J$21:$J$30,0),1),0)),((IFERROR((OFFSET($J$37,MATCH("Central Mix Loading",$J$38:$J$47,0),1)),0))),((IFERROR((OFFSET($J$53,MATCH("Central Mix Loading",$J$54:$J$63,0),1)),0))),((IFERROR((OFFSET($J$69,MATCH("Central Mix Loading",$J$70:$J$79,0),1)),0))),((IFERROR((OFFSET($J$85,MATCH("Central Mix Loading",$J$86:$J$95,0),1)),0))),((IFERROR((OFFSET($J$101,MATCH("Central Mix Loading",$J$102:$J$111,0),1)),0))),((IFERROR((OFFSET($J$117,MATCH("Central Mix Loading",$J$118:$J$127,0),1)),0))),((IFERROR((OFFSET($J$133,MATCH("Central Mix Loading",$J$134:$J$143,0),1)),0))),((IFERROR((OFFSET($J$149,MATCH("Central Mix Loading",$J$150:$J$159,0),1)),0))),((IFERROR((OFFSET($J$165,MATCH("Central Mix Loading",$J$166:$J$175,0),1)),0))),)</f>
        <v>0</v>
      </c>
      <c r="R11" s="110">
        <f ca="1">SUM((IFERROR(OFFSET($J$20,MATCH("Central Mix Loading",$J$21:$J$30,0),2),0)),((IFERROR((OFFSET($J$37,MATCH("Central Mix Loading",$J$38:$J$47,0),2)),0))),((IFERROR((OFFSET($J$53,MATCH("Central Mix Loading",$J$54:$J$63,0),2)),0))),((IFERROR((OFFSET($J$69,MATCH("Central Mix Loading",$J$70:$J$79,0),2)),0))),((IFERROR((OFFSET($J$85,MATCH("Central Mix Loading",$J$86:$J$95,0),2)),0))),((IFERROR((OFFSET($J$101,MATCH("Central Mix Loading",$J$102:$J$111,0),2)),0))),((IFERROR((OFFSET($J$117,MATCH("Central Mix Loading",$J$118:$J$127,0),2)),0))),((IFERROR((OFFSET($J$133,MATCH("Central Mix Loading",$J$134:$J$143,0),2)),0))),((IFERROR((OFFSET($J$149,MATCH("Central Mix Loading",$J$150:$J$159,0),2)),0))),((IFERROR((OFFSET($J$165,MATCH("Central Mix Loading",$J$166:$J$175,0),2)),0))),)</f>
        <v>0</v>
      </c>
    </row>
    <row r="12" spans="2:21" ht="14.25" customHeight="1" x14ac:dyDescent="0.25">
      <c r="B12" s="320" t="s">
        <v>269</v>
      </c>
      <c r="C12" s="319"/>
      <c r="D12" s="319"/>
      <c r="E12" s="319"/>
      <c r="F12" s="165"/>
      <c r="G12" s="30"/>
      <c r="H12" s="58" t="s">
        <v>3</v>
      </c>
      <c r="I12" s="144"/>
      <c r="J12" s="144"/>
      <c r="P12" s="90" t="s">
        <v>198</v>
      </c>
      <c r="Q12" s="110">
        <f ca="1">MAX((IFERROR(OFFSET($J$20,MATCH("Truck Mix Loading",$J$21:$J$30,0),1),0)),((IFERROR((OFFSET($J$37,MATCH("Truck Mix Loading",$J$38:$J$47,0),1)),0))),((IFERROR((OFFSET($J$53,MATCH("Truck Mix Loading",$J$54:$J$63,0),1)),0))),((IFERROR((OFFSET($J$69,MATCH("Truck Mix Loading",$J$70:$J$79,0),1)),0))),((IFERROR((OFFSET($J$85,MATCH("Truck Mix Loading",$J$86:$J$95,0),1)),0))),((IFERROR((OFFSET($J$101,MATCH("Truck Mix Loading",$J$102:$J$111,0),1)),0))),((IFERROR((OFFSET($J$117,MATCH("Truck Mix Loading",$J$118:$J$127,0),1)),0))),((IFERROR((OFFSET($J$133,MATCH("Truck Mix Loading",$J$134:$J$143,0),1)),0))),((IFERROR((OFFSET($J$149,MATCH("Truck Mix Loading",$J$150:$J$159,0),1)),0))),((IFERROR((OFFSET($J$165,MATCH("Truck Mix Loading",$J$166:$J$175,0),1)),0))),)</f>
        <v>0</v>
      </c>
      <c r="R12" s="110">
        <f ca="1">SUM((IFERROR(OFFSET($J$20,MATCH("Truck Mix Loading",$J$21:$J$30,0),2),0)),((IFERROR((OFFSET($J$37,MATCH("Truck Mix Loading",$J$38:$J$47,0),2)),0))),((IFERROR((OFFSET($J$53,MATCH("Truck Mix Loading",$J$54:$J$63,0),2)),0))),((IFERROR((OFFSET($J$69,MATCH("Truck Mix Loading",$J$70:$J$79,0),2)),0))),((IFERROR((OFFSET($J$85,MATCH("Truck Mix Loading",$J$86:$J$95,0),2)),0))),((IFERROR((OFFSET($J$101,MATCH("Truck Mix Loading",$J$102:$J$111,0),2)),0))),((IFERROR((OFFSET($J$117,MATCH("Truck Mix Loading",$J$118:$J$127,0),2)),0))),((IFERROR((OFFSET($J$133,MATCH("Truck Mix Loading",$J$134:$J$143,0),2)),0))),((IFERROR((OFFSET($J$149,MATCH("Truck Mix Loading",$J$150:$J$159,0),2)),0))),((IFERROR((OFFSET($J$165,MATCH("Truck Mix Loading",$J$166:$J$175,0),2)),0))),)</f>
        <v>0</v>
      </c>
    </row>
    <row r="13" spans="2:21" ht="14.25" customHeight="1" x14ac:dyDescent="0.25">
      <c r="B13" s="320" t="s">
        <v>271</v>
      </c>
      <c r="C13" s="319"/>
      <c r="D13" s="319"/>
      <c r="E13" s="319"/>
      <c r="F13" s="165"/>
      <c r="G13" s="30"/>
      <c r="H13" s="58" t="s">
        <v>27</v>
      </c>
      <c r="I13" s="144"/>
      <c r="J13" s="144"/>
      <c r="P13" s="90" t="s">
        <v>199</v>
      </c>
      <c r="Q13" s="110">
        <f ca="1">MAX((IFERROR(OFFSET($J$20,MATCH("Cement Delivery to Silo",$J$21:$J$30,0),1),0)),((IFERROR((OFFSET($J$37,MATCH("Cement Delivery to Silo",$J$38:$J$47,0),1)),0))),((IFERROR((OFFSET($J$53,MATCH("Cement Delivery to Silo",$J$54:$J$63,0),1)),0))),((IFERROR((OFFSET($J$69,MATCH("Cement Delivery to Silo",$J$70:$J$79,0),1)),0))),((IFERROR((OFFSET($J$85,MATCH("Cement Delivery to Silo",$J$86:$J$95,0),1)),0))),((IFERROR((OFFSET($J$101,MATCH("Cement Delivery to Silo",$J$102:$J$111,0),1)),0))),((IFERROR((OFFSET($J$117,MATCH("Cement Delivery to Silo",$J$118:$J$127,0),1)),0))),((IFERROR((OFFSET($J$133,MATCH("Cement Delivery to Silo",$J$134:$J$143,0),1)),0))),((IFERROR((OFFSET($J$149,MATCH("Cement Delivery to Silo",$J$150:$J$159,0),1)),0))),((IFERROR((OFFSET($J$165,MATCH("Cement Delivery to Silo",$J$166:$J$175,0),1)),0))),)</f>
        <v>0</v>
      </c>
      <c r="R13" s="110">
        <f ca="1">SUM((IFERROR(OFFSET($J$20,MATCH("Cement Delivery to Silo",$J$21:$J$30,0),2),0)),((IFERROR((OFFSET($J$37,MATCH("Cement Delivery to Silo",$J$38:$J$47,0),2)),0))),((IFERROR((OFFSET($J$53,MATCH("Cement Delivery to Silo",$J$54:$J$63,0),2)),0))),((IFERROR((OFFSET($J$69,MATCH("Cement Delivery to Silo",$J$70:$J$79,0),2)),0))),((IFERROR((OFFSET($J$85,MATCH("Cement Delivery to Silo",$J$86:$J$95,0),2)),0))),((IFERROR((OFFSET($J$101,MATCH("Cement Delivery to Silo",$J$102:$J$111,0),2)),0))),((IFERROR((OFFSET($J$117,MATCH("Cement Delivery to Silo",$J$118:$J$127,0),2)),0))),((IFERROR((OFFSET($J$133,MATCH("Cement Delivery to Silo",$J$134:$J$143,0),2)),0))),((IFERROR((OFFSET($J$149,MATCH("Cement Delivery to Silo",$J$150:$J$159,0),2)),0))),((IFERROR((OFFSET($J$165,MATCH("Cement Delivery to Silo",$J$166:$J$175,0),2)),0))),)</f>
        <v>0</v>
      </c>
    </row>
    <row r="14" spans="2:21" ht="14.25" customHeight="1" x14ac:dyDescent="0.25">
      <c r="B14" s="320" t="s">
        <v>270</v>
      </c>
      <c r="C14" s="319"/>
      <c r="D14" s="319"/>
      <c r="E14" s="319"/>
      <c r="F14" s="165"/>
      <c r="G14" s="30"/>
      <c r="H14" s="58" t="s">
        <v>5</v>
      </c>
      <c r="I14" s="144"/>
      <c r="J14" s="144"/>
      <c r="P14" s="90" t="s">
        <v>200</v>
      </c>
      <c r="Q14" s="110">
        <f ca="1">MAX((IFERROR(OFFSET($J$20,MATCH("Cement Supplement Delivery to Silo",$J$21:$J$30,0),1),0)),((IFERROR((OFFSET($J$37,MATCH("Cement Supplement Delivery to Silo",$J$38:$J$47,0),1)),0))),((IFERROR((OFFSET($J$53,MATCH("Cement Supplement Delivery to Silo",$J$54:$J$63,0),1)),0))),((IFERROR((OFFSET($J$69,MATCH("Cement Supplement Delivery to Silo",$J$70:$J$79,0),1)),0))),((IFERROR((OFFSET($J$85,MATCH("Cement Supplement Delivery to Silo",$J$86:$J$95,0),1)),0))),((IFERROR((OFFSET($J$101,MATCH("Cement Supplement Delivery to Silo",$J$102:$J$111,0),1)),0))),((IFERROR((OFFSET($J$117,MATCH("Cement Supplement Delivery to Silo",$J$118:$J$127,0),1)),0))),((IFERROR((OFFSET($J$133,MATCH("Cement Supplement Delivery to Silo",$J$134:$J$143,0),1)),0))),((IFERROR((OFFSET($J$149,MATCH("Cement Supplement Delivery to Silo",$J$150:$J$159,0),1)),0))),((IFERROR((OFFSET($J$165,MATCH("Cement Supplement Delivery to Silo",$J$166:$J$175,0),1)),0))),)</f>
        <v>0</v>
      </c>
      <c r="R14" s="110">
        <f ca="1">SUM((IFERROR(OFFSET($J$20,MATCH("Cement Supplement Delivery to Silo",$J$21:$J$30,0),2),0)),((IFERROR((OFFSET($J$37,MATCH("Cement Supplement Delivery to Silo",$J$38:$J$47,0),2)),0))),((IFERROR((OFFSET($J$53,MATCH("Cement Supplement Delivery to Silo",$J$54:$J$63,0),2)),0))),((IFERROR((OFFSET($J$69,MATCH("Cement Supplement Delivery to Silo",$J$70:$J$79,0),2)),0))),((IFERROR((OFFSET($J$85,MATCH("Cement Supplement Delivery to Silo",$J$86:$J$95,0),2)),0))),((IFERROR((OFFSET($J$101,MATCH("Cement Supplement Delivery to Silo",$J$102:$J$111,0),2)),0))),((IFERROR((OFFSET($J$117,MATCH("Cement Supplement Delivery to Silo",$J$118:$J$127,0),2)),0))),((IFERROR((OFFSET($J$133,MATCH("Cement Supplement Delivery to Silo",$J$134:$J$143,0),2)),0))),((IFERROR((OFFSET($J$149,MATCH("Cement Supplement Delivery to Silo",$J$150:$J$159,0),2)),0))),((IFERROR((OFFSET($J$165,MATCH("Cement Supplement Delivery to Silo",$J$166:$J$175,0),2)),0))),)</f>
        <v>0</v>
      </c>
    </row>
    <row r="15" spans="2:21" ht="14.25" customHeight="1" x14ac:dyDescent="0.25">
      <c r="B15" s="12"/>
      <c r="C15" s="12"/>
      <c r="D15" s="12"/>
      <c r="E15" s="12"/>
      <c r="F15" s="12"/>
      <c r="G15" s="12"/>
      <c r="H15" s="58" t="s">
        <v>6</v>
      </c>
      <c r="I15" s="144"/>
      <c r="J15" s="144"/>
    </row>
    <row r="16" spans="2:21" ht="15" customHeight="1" thickBot="1" x14ac:dyDescent="0.3">
      <c r="B16" s="85"/>
      <c r="C16" s="85"/>
      <c r="D16" s="85"/>
      <c r="E16" s="85"/>
      <c r="F16" s="85"/>
      <c r="G16" s="85"/>
      <c r="H16" s="86"/>
      <c r="I16" s="86"/>
      <c r="J16" s="124"/>
      <c r="K16" s="124"/>
      <c r="L16" s="87"/>
      <c r="M16" s="71"/>
      <c r="N16" s="71"/>
      <c r="P16" s="68"/>
      <c r="Q16" s="89" t="s">
        <v>155</v>
      </c>
      <c r="R16" s="145" t="s">
        <v>154</v>
      </c>
      <c r="S16" s="88"/>
    </row>
    <row r="17" spans="1:23" ht="14.25" customHeight="1" x14ac:dyDescent="0.25">
      <c r="B17" s="12"/>
      <c r="C17" s="12"/>
      <c r="D17" s="12"/>
      <c r="E17" s="12"/>
      <c r="F17" s="12"/>
      <c r="G17" s="12"/>
      <c r="H17" s="84"/>
      <c r="I17" s="84"/>
      <c r="J17" s="50"/>
      <c r="K17" s="50"/>
      <c r="P17" s="90" t="s">
        <v>40</v>
      </c>
      <c r="Q17" s="143">
        <f>SUM(J34,J50,J67,J83,J99,J115,J131,J147,J163,J179)</f>
        <v>0</v>
      </c>
      <c r="R17" s="143">
        <f>SUM(K34*L34,K50*L50,K67*L67,K83*L83,K99*L99,K115*L115,K131*L131,K147*L147,K163*L163,K179*L179)</f>
        <v>0</v>
      </c>
      <c r="S17" s="68"/>
    </row>
    <row r="18" spans="1:23" ht="6.75" customHeight="1" x14ac:dyDescent="0.2">
      <c r="A18" s="71"/>
      <c r="B18" s="345"/>
      <c r="C18" s="50"/>
      <c r="D18" s="50"/>
      <c r="E18" s="50"/>
      <c r="F18" s="50"/>
    </row>
    <row r="19" spans="1:23" ht="13.5" customHeight="1" x14ac:dyDescent="0.2">
      <c r="D19" s="71"/>
      <c r="E19" s="71"/>
      <c r="F19" s="71"/>
      <c r="M19" s="217"/>
      <c r="N19" s="217"/>
      <c r="P19" s="45" t="s">
        <v>254</v>
      </c>
    </row>
    <row r="20" spans="1:23" ht="27" customHeight="1" x14ac:dyDescent="0.25">
      <c r="B20" s="69" t="s">
        <v>201</v>
      </c>
      <c r="C20" s="361" t="s">
        <v>145</v>
      </c>
      <c r="G20" s="45"/>
      <c r="H20" s="310" t="s">
        <v>1</v>
      </c>
      <c r="I20" s="310" t="s">
        <v>181</v>
      </c>
      <c r="J20" s="310" t="s">
        <v>142</v>
      </c>
      <c r="K20" s="311" t="s">
        <v>241</v>
      </c>
      <c r="L20" s="310" t="str">
        <f>('Facility Information'!G5&amp;" Annual Throughput (cubic yards)")</f>
        <v xml:space="preserve"> Annual Throughput (cubic yards)</v>
      </c>
      <c r="M20" s="218" t="s">
        <v>250</v>
      </c>
      <c r="N20" s="218" t="s">
        <v>251</v>
      </c>
      <c r="P20" s="89" t="s">
        <v>110</v>
      </c>
      <c r="Q20" s="308" t="s">
        <v>242</v>
      </c>
      <c r="R20" s="308" t="s">
        <v>240</v>
      </c>
      <c r="S20" s="308" t="s">
        <v>147</v>
      </c>
      <c r="T20" s="308" t="s">
        <v>130</v>
      </c>
      <c r="U20" s="308" t="s">
        <v>14</v>
      </c>
      <c r="V20" s="308" t="s">
        <v>148</v>
      </c>
    </row>
    <row r="21" spans="1:23" ht="14.25" customHeight="1" x14ac:dyDescent="0.2">
      <c r="A21" s="67" t="s">
        <v>38</v>
      </c>
      <c r="B21" s="186" t="s">
        <v>89</v>
      </c>
      <c r="C21" s="349"/>
      <c r="D21" s="356"/>
      <c r="E21" s="357"/>
      <c r="F21" s="175"/>
      <c r="G21" s="45"/>
      <c r="H21" s="126" t="str">
        <f>IF(J21="cement delivery to silo","CP-1 EP-2",IF(J21="cement supplement delivery to silo","CP-1 EP-3",IF(J21="weigh hopper loading","CP-1 EP-4",IF(J21="truck mix loading","CP-1 EP-5",IF(J21="central mix loading","CP-1 EP-6",IF(J21="","","CP-1 EP-1"))))))</f>
        <v/>
      </c>
      <c r="I21" s="126" t="str">
        <f t="shared" ref="I21:I30" si="0">IF(J21="","",IF(J21="aggregate delivery to ground storage","CP-4 EU-1",IF(J21="sand delivery to ground storage","CP-4 EU-2",IF(J21="aggregate transfer to conveyor","CP-4 EU-3",IF(J21="sand transfer to conveyor","CP-4 EU-4",IF(J21="aggregate transfer to elevated storage","CP-4 EU-5",IF(J21="sand transfer to elevated storage","CP-4 EU-6",IF(J21="weigh hopper loading","CP-4 EU-7",IF(J21="central mix loading","CP-4 EU-8",IF(J21="truck mix loading","CP-4 EU-9",IF(J21="cement delivery to silo","CP-4 EU-10",IF(J21="cement supplement delivery to silo","CP-4 EU-11"))))))))))))</f>
        <v/>
      </c>
      <c r="J21" s="82"/>
      <c r="K21" s="61"/>
      <c r="L21" s="156"/>
      <c r="M21" s="219" t="str">
        <f>IF(J21="truck mix loading",IF($F$24="yes",L21*0.05/2000,L21/2000),"")</f>
        <v/>
      </c>
      <c r="N21" s="219" t="str">
        <f>IF(J21="central mix loading",IF($F$24="yes",L21*0.05/2000,L21/2000),"")</f>
        <v/>
      </c>
      <c r="P21" s="90" t="s">
        <v>191</v>
      </c>
      <c r="Q21" s="105">
        <f t="shared" ref="Q21:Q31" ca="1" si="1">Q4</f>
        <v>0</v>
      </c>
      <c r="R21" s="111">
        <f ca="1">IF(Q21=0,0,LOOKUP(P21,'Emission Factors'!$A$5:$A$16,'Emission Factors'!$D$5:$D$16))</f>
        <v>0</v>
      </c>
      <c r="S21" s="105">
        <f t="shared" ref="S21:S29" ca="1" si="2">Q21*R21</f>
        <v>0</v>
      </c>
      <c r="T21" s="105" t="str">
        <f ca="1">IF(Q21=0,"",IF($I$10&gt;0,$I$10,""))</f>
        <v/>
      </c>
      <c r="U21" s="105">
        <f ca="1">IF($J$10&gt;0,$J$10,IF($D$9&gt;0,$D$9*R21/2000,IF($D$10&gt;0,$D$10*365*R21/2000,IF($D$11&gt;0,$D$11*365*R21*Q21/2000,IF(T21="",S21*8760/2000,T21*8760/2000)))))</f>
        <v>0</v>
      </c>
      <c r="V21" s="113">
        <f t="shared" ref="V21:V27" ca="1" si="3">(R4*R21/2000)</f>
        <v>0</v>
      </c>
    </row>
    <row r="22" spans="1:23" ht="14.25" customHeight="1" x14ac:dyDescent="0.2">
      <c r="A22" s="67" t="s">
        <v>39</v>
      </c>
      <c r="B22" s="186" t="s">
        <v>90</v>
      </c>
      <c r="C22" s="339"/>
      <c r="D22" s="342"/>
      <c r="E22" s="343"/>
      <c r="F22" s="175"/>
      <c r="G22" s="45"/>
      <c r="H22" s="126" t="str">
        <f t="shared" ref="H22:H30" si="4">IF(J22="cement delivery to silo","CP-1 EP-2",IF(J22="cement supplement delivery to silo","CP-1 EP-3",IF(J22="weigh hopper loading","CP-1 EP-4",IF(J22="truck mix loading","CP-1 EP-5",IF(J22="central mix loading","CP-1 EP-6",IF(J22="","","CP-1 EP-1"))))))</f>
        <v/>
      </c>
      <c r="I22" s="126" t="str">
        <f t="shared" si="0"/>
        <v/>
      </c>
      <c r="J22" s="82"/>
      <c r="K22" s="61"/>
      <c r="L22" s="156"/>
      <c r="M22" s="219" t="str">
        <f t="shared" ref="M22:M30" si="5">IF(J22="truck mix loading",IF($F$24="yes",L22*0.05/2000,L22/2000),"")</f>
        <v/>
      </c>
      <c r="N22" s="219" t="str">
        <f t="shared" ref="N22:N30" si="6">IF(J22="central mix loading",IF($F$24="yes",L22*0.05/2000,L22/2000),"")</f>
        <v/>
      </c>
      <c r="P22" s="90" t="s">
        <v>192</v>
      </c>
      <c r="Q22" s="105">
        <f t="shared" ca="1" si="1"/>
        <v>0</v>
      </c>
      <c r="R22" s="111">
        <f ca="1">IF(Q22=0,0,LOOKUP(P22,'Emission Factors'!$A$5:$A$16,'Emission Factors'!$D$5:$D$16))</f>
        <v>0</v>
      </c>
      <c r="S22" s="105">
        <f t="shared" ca="1" si="2"/>
        <v>0</v>
      </c>
      <c r="T22" s="105" t="str">
        <f t="shared" ref="T22:T27" ca="1" si="7">IF(Q22=0,"",IF($I$10&gt;0,$I$10,""))</f>
        <v/>
      </c>
      <c r="U22" s="105">
        <f t="shared" ref="U22:U27" ca="1" si="8">IF($J$10&gt;0,"",IF($D$9&gt;0,$D$9*R22/2000,IF($D$10&gt;0,$D$10*365*R22/2000,IF($D$11&gt;0,$D$11*365*R22*Q22/2000,IF(T22="",S22*8760/2000,T22*8760/2000)))))</f>
        <v>0</v>
      </c>
      <c r="V22" s="113">
        <f t="shared" ca="1" si="3"/>
        <v>0</v>
      </c>
    </row>
    <row r="23" spans="1:23" ht="14.25" customHeight="1" x14ac:dyDescent="0.2">
      <c r="B23" s="186" t="s">
        <v>202</v>
      </c>
      <c r="C23" s="352"/>
      <c r="D23" s="358"/>
      <c r="E23" s="359"/>
      <c r="F23" s="175"/>
      <c r="G23" s="45"/>
      <c r="H23" s="126" t="str">
        <f t="shared" si="4"/>
        <v/>
      </c>
      <c r="I23" s="126" t="str">
        <f t="shared" si="0"/>
        <v/>
      </c>
      <c r="J23" s="82"/>
      <c r="K23" s="61"/>
      <c r="L23" s="156"/>
      <c r="M23" s="219" t="str">
        <f t="shared" si="5"/>
        <v/>
      </c>
      <c r="N23" s="219" t="str">
        <f t="shared" si="6"/>
        <v/>
      </c>
      <c r="P23" s="90" t="s">
        <v>193</v>
      </c>
      <c r="Q23" s="105">
        <f t="shared" ca="1" si="1"/>
        <v>0</v>
      </c>
      <c r="R23" s="111">
        <f ca="1">IF(Q23=0,0,LOOKUP(P23,'Emission Factors'!$A$5:$A$16,'Emission Factors'!$D$5:$D$16))</f>
        <v>0</v>
      </c>
      <c r="S23" s="105">
        <f t="shared" ca="1" si="2"/>
        <v>0</v>
      </c>
      <c r="T23" s="105" t="str">
        <f t="shared" ca="1" si="7"/>
        <v/>
      </c>
      <c r="U23" s="105">
        <f t="shared" ca="1" si="8"/>
        <v>0</v>
      </c>
      <c r="V23" s="113">
        <f t="shared" ca="1" si="3"/>
        <v>0</v>
      </c>
    </row>
    <row r="24" spans="1:23" ht="14.25" customHeight="1" x14ac:dyDescent="0.25">
      <c r="A24" s="6" t="s">
        <v>191</v>
      </c>
      <c r="B24" s="51" t="str">
        <f>IF(OR(COUNTIF(J21:J30,"Truck Mix Loading")&gt;0,(COUNTIF(J21:J30,"Central Mix Loading")&gt;0)),"Is the Central/Truck Mix Loading process controlled by a baghouse?","")</f>
        <v/>
      </c>
      <c r="C24" s="51"/>
      <c r="D24" s="51"/>
      <c r="E24" s="51"/>
      <c r="F24" s="221"/>
      <c r="G24" s="45"/>
      <c r="H24" s="126" t="str">
        <f t="shared" si="4"/>
        <v/>
      </c>
      <c r="I24" s="126" t="str">
        <f t="shared" si="0"/>
        <v/>
      </c>
      <c r="J24" s="82"/>
      <c r="K24" s="61"/>
      <c r="L24" s="156"/>
      <c r="M24" s="219" t="str">
        <f t="shared" si="5"/>
        <v/>
      </c>
      <c r="N24" s="219" t="str">
        <f t="shared" si="6"/>
        <v/>
      </c>
      <c r="P24" s="90" t="s">
        <v>194</v>
      </c>
      <c r="Q24" s="105">
        <f t="shared" ca="1" si="1"/>
        <v>0</v>
      </c>
      <c r="R24" s="111">
        <f ca="1">IF(Q24=0,0,LOOKUP(P24,'Emission Factors'!$A$5:$A$16,'Emission Factors'!$D$5:$D$16))</f>
        <v>0</v>
      </c>
      <c r="S24" s="105">
        <f t="shared" ca="1" si="2"/>
        <v>0</v>
      </c>
      <c r="T24" s="105" t="str">
        <f t="shared" ca="1" si="7"/>
        <v/>
      </c>
      <c r="U24" s="105">
        <f t="shared" ca="1" si="8"/>
        <v>0</v>
      </c>
      <c r="V24" s="113">
        <f t="shared" ca="1" si="3"/>
        <v>0</v>
      </c>
    </row>
    <row r="25" spans="1:23" ht="14.25" customHeight="1" x14ac:dyDescent="0.25">
      <c r="A25" s="6" t="s">
        <v>192</v>
      </c>
      <c r="B25" s="45"/>
      <c r="C25" s="45"/>
      <c r="D25" s="45"/>
      <c r="E25" s="45"/>
      <c r="F25" s="182"/>
      <c r="G25" s="45"/>
      <c r="H25" s="126" t="str">
        <f t="shared" si="4"/>
        <v/>
      </c>
      <c r="I25" s="126" t="str">
        <f t="shared" si="0"/>
        <v/>
      </c>
      <c r="J25" s="82"/>
      <c r="K25" s="61"/>
      <c r="L25" s="156"/>
      <c r="M25" s="219" t="str">
        <f t="shared" si="5"/>
        <v/>
      </c>
      <c r="N25" s="219" t="str">
        <f t="shared" si="6"/>
        <v/>
      </c>
      <c r="P25" s="90" t="s">
        <v>195</v>
      </c>
      <c r="Q25" s="105">
        <f t="shared" ca="1" si="1"/>
        <v>0</v>
      </c>
      <c r="R25" s="111">
        <f ca="1">IF(Q25=0,0,LOOKUP(P25,'Emission Factors'!$A$5:$A$16,'Emission Factors'!$D$5:$D$16))</f>
        <v>0</v>
      </c>
      <c r="S25" s="105">
        <f t="shared" ca="1" si="2"/>
        <v>0</v>
      </c>
      <c r="T25" s="105" t="str">
        <f t="shared" ca="1" si="7"/>
        <v/>
      </c>
      <c r="U25" s="105">
        <f t="shared" ca="1" si="8"/>
        <v>0</v>
      </c>
      <c r="V25" s="113">
        <f t="shared" ca="1" si="3"/>
        <v>0</v>
      </c>
    </row>
    <row r="26" spans="1:23" ht="27.75" customHeight="1" x14ac:dyDescent="0.25">
      <c r="A26" s="6" t="s">
        <v>193</v>
      </c>
      <c r="B26" s="312" t="str">
        <f>IF(AND(B28="",B29="",B32="",B31="",B30=""),"","Process (complete stack information if applicable):")</f>
        <v/>
      </c>
      <c r="C26" s="312" t="str">
        <f>IF(AND(B28="",B29="",B32="",B31="",B30=""),"","Stack Height (ft):")</f>
        <v/>
      </c>
      <c r="D26" s="312" t="str">
        <f>IF(AND(B28="",B29="",B32="",B31="",B30=""),"","Stack Diameter (inches):")</f>
        <v/>
      </c>
      <c r="E26" s="312" t="str">
        <f>IF(AND(B28="",B29="",B32="",B31="",B30=""),"","Flow Rate (acfm):")</f>
        <v/>
      </c>
      <c r="F26" s="312" t="str">
        <f>IF(AND(B28="",B29="",B32="",B31="",B30=""),"","Temp (Deg F):")</f>
        <v/>
      </c>
      <c r="G26" s="45"/>
      <c r="H26" s="126" t="str">
        <f t="shared" si="4"/>
        <v/>
      </c>
      <c r="I26" s="126" t="str">
        <f t="shared" si="0"/>
        <v/>
      </c>
      <c r="J26" s="82"/>
      <c r="K26" s="61"/>
      <c r="L26" s="156"/>
      <c r="M26" s="219" t="str">
        <f t="shared" si="5"/>
        <v/>
      </c>
      <c r="N26" s="219" t="str">
        <f t="shared" si="6"/>
        <v/>
      </c>
      <c r="P26" s="90" t="s">
        <v>196</v>
      </c>
      <c r="Q26" s="105">
        <f t="shared" ca="1" si="1"/>
        <v>0</v>
      </c>
      <c r="R26" s="111">
        <f ca="1">IF(Q26=0,0,LOOKUP(P26,'Emission Factors'!$A$5:$A$16,'Emission Factors'!$D$5:$D$16))</f>
        <v>0</v>
      </c>
      <c r="S26" s="105">
        <f t="shared" ca="1" si="2"/>
        <v>0</v>
      </c>
      <c r="T26" s="105" t="str">
        <f t="shared" ca="1" si="7"/>
        <v/>
      </c>
      <c r="U26" s="105">
        <f t="shared" ca="1" si="8"/>
        <v>0</v>
      </c>
      <c r="V26" s="113">
        <f t="shared" ca="1" si="3"/>
        <v>0</v>
      </c>
    </row>
    <row r="27" spans="1:23" ht="14.25" customHeight="1" x14ac:dyDescent="0.25">
      <c r="A27" s="6" t="s">
        <v>194</v>
      </c>
      <c r="B27" s="312"/>
      <c r="C27" s="312"/>
      <c r="D27" s="312"/>
      <c r="E27" s="312"/>
      <c r="F27" s="312"/>
      <c r="G27" s="45"/>
      <c r="H27" s="126" t="str">
        <f t="shared" si="4"/>
        <v/>
      </c>
      <c r="I27" s="126" t="str">
        <f t="shared" si="0"/>
        <v/>
      </c>
      <c r="J27" s="82"/>
      <c r="K27" s="61"/>
      <c r="L27" s="156"/>
      <c r="M27" s="219" t="str">
        <f t="shared" si="5"/>
        <v/>
      </c>
      <c r="N27" s="219" t="str">
        <f t="shared" si="6"/>
        <v/>
      </c>
      <c r="P27" s="90" t="s">
        <v>203</v>
      </c>
      <c r="Q27" s="105">
        <f t="shared" ca="1" si="1"/>
        <v>0</v>
      </c>
      <c r="R27" s="111">
        <f ca="1">IF(Q27=0,0,LOOKUP(P27,'Emission Factors'!$A$5:$A$16,'Emission Factors'!$D$5:$D$16))</f>
        <v>0</v>
      </c>
      <c r="S27" s="105">
        <f t="shared" ca="1" si="2"/>
        <v>0</v>
      </c>
      <c r="T27" s="105" t="str">
        <f t="shared" ca="1" si="7"/>
        <v/>
      </c>
      <c r="U27" s="105">
        <f t="shared" ca="1" si="8"/>
        <v>0</v>
      </c>
      <c r="V27" s="113">
        <f t="shared" ca="1" si="3"/>
        <v>0</v>
      </c>
    </row>
    <row r="28" spans="1:23" ht="14.25" customHeight="1" x14ac:dyDescent="0.25">
      <c r="A28" s="6" t="s">
        <v>195</v>
      </c>
      <c r="B28" s="45" t="str">
        <f>IF(COUNTIF(J21:J30,"Cement Delivery to Silo")&gt;0,"EP-2 Cement Silo Stack:","")</f>
        <v/>
      </c>
      <c r="C28" s="221"/>
      <c r="D28" s="221"/>
      <c r="E28" s="221"/>
      <c r="F28" s="221"/>
      <c r="G28" s="45"/>
      <c r="H28" s="126" t="str">
        <f t="shared" si="4"/>
        <v/>
      </c>
      <c r="I28" s="126" t="str">
        <f t="shared" si="0"/>
        <v/>
      </c>
      <c r="J28" s="82"/>
      <c r="K28" s="61"/>
      <c r="L28" s="156"/>
      <c r="M28" s="219" t="str">
        <f t="shared" si="5"/>
        <v/>
      </c>
      <c r="N28" s="219" t="str">
        <f t="shared" si="6"/>
        <v/>
      </c>
      <c r="P28" s="90" t="s">
        <v>197</v>
      </c>
      <c r="Q28" s="105">
        <f t="shared" ca="1" si="1"/>
        <v>0</v>
      </c>
      <c r="R28" s="111">
        <f ca="1">IF(Q28=0,0,LOOKUP(P28,'Emission Factors'!$A$5:$A$16,'Emission Factors'!$D$5:$D$16))</f>
        <v>0</v>
      </c>
      <c r="S28" s="105">
        <f t="shared" ca="1" si="2"/>
        <v>0</v>
      </c>
      <c r="T28" s="105" t="str">
        <f ca="1">IF(Q28=0,"",IF($I$10&gt;0,$I$10,IF(COUNTIF($F$24:$F$169,"no")&gt;0,"",S28*(1-0.95))))</f>
        <v/>
      </c>
      <c r="U28" s="105">
        <f ca="1">IF($J$10&gt;0,"",IF($D$9&gt;0,$D$9*R28*((100-$W$30)/100)/2000,IF($D$10&gt;0,$D$10*365*R28*((100-$W$30)/100)/2000,IF($D$11&gt;0,$D$11*365*R28*((100-$W$30)/100)*Q28/2000,IF(T28="",S28*8760/2000,T28*8760/2000)))))</f>
        <v>0</v>
      </c>
      <c r="V28" s="113">
        <f ca="1">(R28*N181)</f>
        <v>0</v>
      </c>
    </row>
    <row r="29" spans="1:23" ht="14.25" customHeight="1" x14ac:dyDescent="0.25">
      <c r="A29" s="138" t="s">
        <v>196</v>
      </c>
      <c r="B29" s="45" t="str">
        <f>IF(COUNTIF(J21:J30,"Cement Supplement Delivery to Silo")&gt;0,"EP-3 Cement Supplement Silo Stack:","")</f>
        <v/>
      </c>
      <c r="C29" s="221"/>
      <c r="D29" s="221"/>
      <c r="E29" s="221"/>
      <c r="F29" s="221"/>
      <c r="G29" s="45"/>
      <c r="H29" s="126" t="str">
        <f t="shared" si="4"/>
        <v/>
      </c>
      <c r="I29" s="126" t="str">
        <f t="shared" si="0"/>
        <v/>
      </c>
      <c r="J29" s="82"/>
      <c r="K29" s="61"/>
      <c r="L29" s="156"/>
      <c r="M29" s="219" t="str">
        <f t="shared" si="5"/>
        <v/>
      </c>
      <c r="N29" s="219" t="str">
        <f t="shared" si="6"/>
        <v/>
      </c>
      <c r="P29" s="90" t="s">
        <v>198</v>
      </c>
      <c r="Q29" s="105">
        <f t="shared" ca="1" si="1"/>
        <v>0</v>
      </c>
      <c r="R29" s="111">
        <f ca="1">IF(Q29=0,0,LOOKUP(P29,'Emission Factors'!$A$5:$A$16,'Emission Factors'!$D$5:$D$16))</f>
        <v>0</v>
      </c>
      <c r="S29" s="105">
        <f t="shared" ca="1" si="2"/>
        <v>0</v>
      </c>
      <c r="T29" s="105" t="str">
        <f ca="1">IF(Q29=0,"",IF($I$10&gt;0,$I$10,IF(COUNTIF($F$24:$F$169,"no")&gt;0,"",S29*(1-0.95))))</f>
        <v/>
      </c>
      <c r="U29" s="105">
        <f ca="1">IF($J$10&gt;0,"",IF($D$9&gt;0,$D$9*R29*((100-$W$30)/100)/2000,IF($D$10&gt;0,$D$10*365*R29*((100-$W$30)/100)/2000,IF($D$11&gt;0,$D$11*365*R29*((100-$W$30)/100)*Q29/2000,IF(T29="",S29*8760/2000,T29*8760/2000)))))</f>
        <v>0</v>
      </c>
      <c r="V29" s="113">
        <f ca="1">(R29*M181)</f>
        <v>0</v>
      </c>
    </row>
    <row r="30" spans="1:23" ht="14.25" customHeight="1" x14ac:dyDescent="0.25">
      <c r="A30" s="138" t="s">
        <v>203</v>
      </c>
      <c r="B30" s="45" t="str">
        <f>IF(COUNTIF(J21:J30,"Weigh Hopper Loading")&gt;0,"EP-4 Weigh Hopper Loading Stack:","")</f>
        <v/>
      </c>
      <c r="C30" s="221"/>
      <c r="D30" s="221"/>
      <c r="E30" s="221"/>
      <c r="F30" s="221"/>
      <c r="H30" s="126" t="str">
        <f t="shared" si="4"/>
        <v/>
      </c>
      <c r="I30" s="126" t="str">
        <f t="shared" si="0"/>
        <v/>
      </c>
      <c r="J30" s="82"/>
      <c r="K30" s="61"/>
      <c r="L30" s="156"/>
      <c r="M30" s="219" t="str">
        <f t="shared" si="5"/>
        <v/>
      </c>
      <c r="N30" s="219" t="str">
        <f t="shared" si="6"/>
        <v/>
      </c>
      <c r="P30" s="90" t="s">
        <v>199</v>
      </c>
      <c r="Q30" s="105">
        <f t="shared" ca="1" si="1"/>
        <v>0</v>
      </c>
      <c r="R30" s="111">
        <f ca="1">IF(Q30=0,0,LOOKUP(P30,'Emission Factors'!$A$5:$A$16,'Emission Factors'!$D$5:$D$16))</f>
        <v>0</v>
      </c>
      <c r="S30" s="148"/>
      <c r="T30" s="105">
        <f ca="1">IF(Q30=0,0,IF($I$10&gt;0,$I$10,Q30*R30))</f>
        <v>0</v>
      </c>
      <c r="U30" s="105">
        <f ca="1">IF($J$10&gt;0,"",IF($D$9&gt;0,$D$9*R30/2000,IF($D$10&gt;0,$D$10*365*R30/2000,IF($D$11&gt;0,$D$11*365*R30*Q30/2000,IF($I$10&gt;0,0,T30*8760/2000)))))</f>
        <v>0</v>
      </c>
      <c r="V30" s="113">
        <f ca="1">(R13*R30/2000)</f>
        <v>0</v>
      </c>
      <c r="W30" s="67">
        <f>IF(COUNTIF($F$24:$F$169,"no")&gt;0,0,95)</f>
        <v>95</v>
      </c>
    </row>
    <row r="31" spans="1:23" ht="14.25" customHeight="1" x14ac:dyDescent="0.25">
      <c r="A31" s="138" t="s">
        <v>197</v>
      </c>
      <c r="B31" s="45" t="str">
        <f>IF(COUNTIF(J21:J30,"Truck Mix Loading")&gt;0,"EP-5 Truck Mix Loading Stack:","")</f>
        <v/>
      </c>
      <c r="C31" s="221"/>
      <c r="D31" s="221"/>
      <c r="E31" s="221"/>
      <c r="F31" s="221"/>
      <c r="G31" s="76"/>
      <c r="H31" s="45"/>
      <c r="I31" s="45"/>
      <c r="P31" s="90" t="s">
        <v>200</v>
      </c>
      <c r="Q31" s="105">
        <f t="shared" ca="1" si="1"/>
        <v>0</v>
      </c>
      <c r="R31" s="111">
        <f ca="1">IF(Q31=0,0,LOOKUP(P31,'Emission Factors'!$A$5:$A$16,'Emission Factors'!$D$5:$D$16))</f>
        <v>0</v>
      </c>
      <c r="S31" s="148"/>
      <c r="T31" s="105">
        <f ca="1">IF(Q31=0,0,IF($I$10&gt;0,$I$10,Q31*R31))</f>
        <v>0</v>
      </c>
      <c r="U31" s="105">
        <f ca="1">IF($J$10&gt;0,"",IF($D$9&gt;0,$D$9*R31/2000,IF($D$10&gt;0,$D$10*365*R31/2000,IF($D$11&gt;0,$D$11*365*R31*Q31/2000,IF($I$10&gt;0,0,T31*8760/2000)))))</f>
        <v>0</v>
      </c>
      <c r="V31" s="113">
        <f ca="1">(R14*R31/2000)</f>
        <v>0</v>
      </c>
    </row>
    <row r="32" spans="1:23" ht="14.25" customHeight="1" x14ac:dyDescent="0.25">
      <c r="A32" s="138" t="s">
        <v>198</v>
      </c>
      <c r="B32" s="45" t="str">
        <f>IF(COUNTIF(J21:J30,"Central Mix Loading")&gt;0,"EP-6 Central Mix Loading Stack:","")</f>
        <v/>
      </c>
      <c r="C32" s="221"/>
      <c r="D32" s="221"/>
      <c r="E32" s="221"/>
      <c r="F32" s="221"/>
      <c r="H32" s="74" t="s">
        <v>85</v>
      </c>
      <c r="I32" s="74"/>
      <c r="J32" s="75"/>
    </row>
    <row r="33" spans="1:23" ht="14.25" customHeight="1" x14ac:dyDescent="0.25">
      <c r="A33" s="138" t="s">
        <v>199</v>
      </c>
      <c r="B33" s="73"/>
      <c r="C33" s="163"/>
      <c r="D33" s="163"/>
      <c r="E33" s="163"/>
      <c r="F33" s="176"/>
      <c r="I33" s="77" t="s">
        <v>61</v>
      </c>
      <c r="J33" s="43" t="s">
        <v>86</v>
      </c>
      <c r="K33" s="142" t="s">
        <v>87</v>
      </c>
      <c r="L33" s="43" t="s">
        <v>88</v>
      </c>
      <c r="M33" s="146"/>
      <c r="N33" s="146"/>
    </row>
    <row r="34" spans="1:23" ht="14.25" customHeight="1" x14ac:dyDescent="0.25">
      <c r="A34" s="138" t="s">
        <v>200</v>
      </c>
      <c r="B34" s="73"/>
      <c r="C34" s="163"/>
      <c r="D34" s="163"/>
      <c r="E34" s="163"/>
      <c r="F34" s="176"/>
      <c r="I34" s="63"/>
      <c r="J34" s="144"/>
      <c r="K34" s="64"/>
      <c r="L34" s="144"/>
      <c r="M34" s="146"/>
      <c r="N34" s="146"/>
      <c r="P34" s="89" t="s">
        <v>17</v>
      </c>
      <c r="Q34" s="107"/>
      <c r="R34" s="112"/>
      <c r="S34" s="108"/>
      <c r="T34" s="108"/>
      <c r="U34" s="108"/>
      <c r="V34" s="114"/>
    </row>
    <row r="35" spans="1:23" ht="13.5" customHeight="1" x14ac:dyDescent="0.2">
      <c r="B35" s="73"/>
      <c r="C35" s="163"/>
      <c r="D35" s="163"/>
      <c r="E35" s="163"/>
      <c r="F35" s="176"/>
      <c r="P35" s="90" t="s">
        <v>191</v>
      </c>
      <c r="Q35" s="105">
        <f t="shared" ref="Q35:Q45" ca="1" si="9">Q4</f>
        <v>0</v>
      </c>
      <c r="R35" s="111">
        <f ca="1">IF(Q35=0,0,LOOKUP(P35,'Emission Factors'!$A$5:$A$16,'Emission Factors'!$H$5:$H$16))</f>
        <v>0</v>
      </c>
      <c r="S35" s="105">
        <f t="shared" ref="S35:S37" ca="1" si="10">Q35*R35</f>
        <v>0</v>
      </c>
      <c r="T35" s="105" t="str">
        <f ca="1">IF(Q35=0,"",IF($I$11&gt;0,$I$11,""))</f>
        <v/>
      </c>
      <c r="U35" s="105">
        <f ca="1">IF($J$11&gt;0,$J$11,IF($D$9&gt;0,$D$9*R35/2000,IF($D$10&gt;0,$D$10*365*R35/2000,IF($D$11&gt;0,$D$11*365*R35*Q35/2000,IF(T35="",S35*8760/2000,T35*8760/2000)))))</f>
        <v>0</v>
      </c>
      <c r="V35" s="113">
        <f t="shared" ref="V35:V41" ca="1" si="11">(R4*R35/2000)</f>
        <v>0</v>
      </c>
    </row>
    <row r="36" spans="1:23" ht="14.25" customHeight="1" x14ac:dyDescent="0.2">
      <c r="B36" s="45"/>
      <c r="F36" s="177"/>
      <c r="G36" s="45"/>
      <c r="P36" s="90" t="s">
        <v>192</v>
      </c>
      <c r="Q36" s="105">
        <f t="shared" ca="1" si="9"/>
        <v>0</v>
      </c>
      <c r="R36" s="111">
        <f ca="1">IF(Q36=0,0,LOOKUP(P36,'Emission Factors'!$A$5:$A$16,'Emission Factors'!$H$5:$H$16))</f>
        <v>0</v>
      </c>
      <c r="S36" s="109">
        <f t="shared" ca="1" si="10"/>
        <v>0</v>
      </c>
      <c r="T36" s="105" t="str">
        <f t="shared" ref="T36:T37" ca="1" si="12">IF(Q36=0,"",IF($I$11&gt;0,$I$11,""))</f>
        <v/>
      </c>
      <c r="U36" s="105">
        <f t="shared" ref="U36:U37" ca="1" si="13">IF($J$11&gt;0,"",IF($D$9&gt;0,$D$9*R36/2000,IF($D$10&gt;0,$D$10*365*R36/2000,IF($D$11&gt;0,$D$11*365*R36*Q36/2000,IF(T36="",S36*8760/2000,T36*8760/2000)))))</f>
        <v>0</v>
      </c>
      <c r="V36" s="113">
        <f t="shared" ca="1" si="11"/>
        <v>0</v>
      </c>
    </row>
    <row r="37" spans="1:23" ht="27.75" customHeight="1" x14ac:dyDescent="0.25">
      <c r="B37" s="78" t="str">
        <f>IF('Concrete Plant (CP-4)'!$D$4&gt;1,"Batch Plant","")</f>
        <v/>
      </c>
      <c r="C37" s="71" t="str">
        <f>IF('Concrete Plant (CP-4)'!$D$4&gt;1,"Site 2","")</f>
        <v/>
      </c>
      <c r="D37" s="71"/>
      <c r="E37" s="71"/>
      <c r="F37" s="71"/>
      <c r="G37" s="45"/>
      <c r="H37" s="310" t="str">
        <f>IF('Concrete Plant (CP-4)'!$D$4&gt;1,"Emission Point #","")</f>
        <v/>
      </c>
      <c r="I37" s="310" t="str">
        <f>IF('Concrete Plant (CP-4)'!$D$4&gt;1,"Emission     Unit #","")</f>
        <v/>
      </c>
      <c r="J37" s="310" t="str">
        <f>IF('Concrete Plant (CP-4)'!$D$4&gt;1,"Processes","")</f>
        <v/>
      </c>
      <c r="K37" s="311" t="str">
        <f>IF('Concrete Plant (CP-4)'!$D$4&gt;1,"Combined Maximum Hourly Design Rate for all Like Processes (cubic yard/hr)","")</f>
        <v/>
      </c>
      <c r="L37" s="310" t="str">
        <f>IF('Concrete Plant (CP-4)'!$D$4&gt;1,('Facility Information'!G5&amp;" Annual Throughput (cubic yards)"),"")</f>
        <v/>
      </c>
      <c r="M37" s="217"/>
      <c r="N37" s="217"/>
      <c r="P37" s="90" t="s">
        <v>193</v>
      </c>
      <c r="Q37" s="105">
        <f t="shared" ca="1" si="9"/>
        <v>0</v>
      </c>
      <c r="R37" s="111">
        <f ca="1">IF(Q37=0,0,LOOKUP(P37,'Emission Factors'!$A$5:$A$16,'Emission Factors'!$H$5:$H$16))</f>
        <v>0</v>
      </c>
      <c r="S37" s="105">
        <f t="shared" ca="1" si="10"/>
        <v>0</v>
      </c>
      <c r="T37" s="105" t="str">
        <f t="shared" ca="1" si="12"/>
        <v/>
      </c>
      <c r="U37" s="105">
        <f t="shared" ca="1" si="13"/>
        <v>0</v>
      </c>
      <c r="V37" s="113">
        <f t="shared" ca="1" si="11"/>
        <v>0</v>
      </c>
    </row>
    <row r="38" spans="1:23" ht="14.25" customHeight="1" x14ac:dyDescent="0.2">
      <c r="B38" s="79" t="str">
        <f>IF('Concrete Plant (CP-4)'!$D$4&gt;1,"Site Name:","")</f>
        <v/>
      </c>
      <c r="C38" s="349"/>
      <c r="D38" s="356"/>
      <c r="E38" s="357"/>
      <c r="F38" s="175"/>
      <c r="G38" s="45"/>
      <c r="H38" s="127" t="str">
        <f>IF(J38="cement delivery to silo","CP-1 EP-2",IF(J38="cement supplement delivery to silo","CP-1 EP-3",IF(J38="weigh hopper loading","CP-1 EP-4",IF(J38="truck mix loading","CP-1 EP-5",IF(J38="central mix loading","CP-1 EP-6",IF(J38="","","CP-1 EP-1"))))))</f>
        <v/>
      </c>
      <c r="I38" s="127" t="str">
        <f t="shared" ref="I38:I47" si="14">IF(J38="","",IF(J38="aggregate delivery to ground storage","CP-4 EU-1",IF(J38="sand delivery to ground storage","CP-4 EU-2",IF(J38="aggregate transfer to conveyor","CP-4 EU-3",IF(J38="sand transfer to conveyor","CP-4 EU-4",IF(J38="aggregate transfer to elevated storage","CP-4 EU-5",IF(J38="sand transfer to elevated storage","CP-4 EU-6",IF(J38="weigh hopper loading","CP-4 EU-7",IF(J38="central mix loading","CP-4 EU-8",IF(J38="truck mix loading","CP-4 EU-9",IF(J38="cement delivery to silo","CP-4 EU-10",IF(J38="cement supplement delivery to silo","CP-4 EU-11"))))))))))))</f>
        <v/>
      </c>
      <c r="J38" s="82"/>
      <c r="K38" s="61"/>
      <c r="L38" s="156"/>
      <c r="M38" s="219" t="str">
        <f>IF(J38="truck mix loading",IF($F$41="yes",L38*0.05/2000,L38/2000),"")</f>
        <v/>
      </c>
      <c r="N38" s="219" t="str">
        <f>IF(J38="central mix loading",IF($F$41="yes",L38*0.05/2000,L38/2000),"")</f>
        <v/>
      </c>
      <c r="P38" s="90" t="s">
        <v>194</v>
      </c>
      <c r="Q38" s="105">
        <f t="shared" ca="1" si="9"/>
        <v>0</v>
      </c>
      <c r="R38" s="111">
        <f ca="1">IF(Q38=0,0,LOOKUP(P38,'Emission Factors'!$A$5:$A$16,'Emission Factors'!$H$5:$H$16))</f>
        <v>0</v>
      </c>
      <c r="S38" s="105">
        <f t="shared" ref="S38:S43" ca="1" si="15">Q38*R38</f>
        <v>0</v>
      </c>
      <c r="T38" s="105" t="str">
        <f ca="1">IF(Q38=0,"",IF($I$11&gt;0,$I$11,""))</f>
        <v/>
      </c>
      <c r="U38" s="105">
        <f ca="1">IF($J$11&gt;0,"",IF($D$9&gt;0,$D$9*R38/2000,IF($D$10&gt;0,$D$10*365*R38/2000,IF($D$11&gt;0,$D$11*365*R38*Q38/2000,IF(T38="",S38*8760/2000,T38*8760/2000)))))</f>
        <v>0</v>
      </c>
      <c r="V38" s="113">
        <f t="shared" ca="1" si="11"/>
        <v>0</v>
      </c>
    </row>
    <row r="39" spans="1:23" ht="14.25" customHeight="1" x14ac:dyDescent="0.2">
      <c r="B39" s="79" t="str">
        <f>IF('Concrete Plant (CP-4)'!$D$4&gt;1,"County:","")</f>
        <v/>
      </c>
      <c r="C39" s="339"/>
      <c r="D39" s="342"/>
      <c r="E39" s="343"/>
      <c r="F39" s="175"/>
      <c r="G39" s="45"/>
      <c r="H39" s="127" t="str">
        <f t="shared" ref="H39:H47" si="16">IF(J39="cement delivery to silo","CP-1 EP-2",IF(J39="cement supplement delivery to silo","CP-1 EP-3",IF(J39="weigh hopper loading","CP-1 EP-4",IF(J39="truck mix loading","CP-1 EP-5",IF(J39="central mix loading","CP-1 EP-6",IF(J39="","","CP-1 EP-1"))))))</f>
        <v/>
      </c>
      <c r="I39" s="127" t="str">
        <f t="shared" si="14"/>
        <v/>
      </c>
      <c r="J39" s="82"/>
      <c r="K39" s="61"/>
      <c r="L39" s="156"/>
      <c r="M39" s="219" t="str">
        <f t="shared" ref="M39:M47" si="17">IF(J39="truck mix loading",IF($F$41="yes",L39*0.05/2000,L39/2000),"")</f>
        <v/>
      </c>
      <c r="N39" s="219" t="str">
        <f t="shared" ref="N39:N47" si="18">IF(J39="central mix loading",IF($F$41="yes",L39*0.05/2000,L39/2000),"")</f>
        <v/>
      </c>
      <c r="P39" s="90" t="s">
        <v>195</v>
      </c>
      <c r="Q39" s="105">
        <f t="shared" ca="1" si="9"/>
        <v>0</v>
      </c>
      <c r="R39" s="111">
        <f ca="1">IF(Q39=0,0,LOOKUP(P39,'Emission Factors'!$A$5:$A$16,'Emission Factors'!$H$5:$H$16))</f>
        <v>0</v>
      </c>
      <c r="S39" s="105">
        <f t="shared" ca="1" si="15"/>
        <v>0</v>
      </c>
      <c r="T39" s="105" t="str">
        <f ca="1">IF(Q39=0,"",IF($I$11&gt;0,$I$11,""))</f>
        <v/>
      </c>
      <c r="U39" s="105">
        <f ca="1">IF($J$11&gt;0,"",IF($D$9&gt;0,$D$9*R39/2000,IF($D$10&gt;0,$D$10*365*R39/2000,IF($D$11&gt;0,$D$11*365*R39*Q39/2000,IF(T39="",S39*8760/2000,T39*8760/2000)))))</f>
        <v>0</v>
      </c>
      <c r="V39" s="113">
        <f t="shared" ca="1" si="11"/>
        <v>0</v>
      </c>
    </row>
    <row r="40" spans="1:23" ht="14.25" customHeight="1" x14ac:dyDescent="0.2">
      <c r="B40" s="79" t="str">
        <f>IF('Concrete Plant (CP-4)'!$D$4&gt;1,"Batching Period (Dates):","")</f>
        <v/>
      </c>
      <c r="C40" s="352"/>
      <c r="D40" s="358"/>
      <c r="E40" s="359"/>
      <c r="F40" s="175"/>
      <c r="G40" s="45"/>
      <c r="H40" s="127" t="str">
        <f t="shared" si="16"/>
        <v/>
      </c>
      <c r="I40" s="127" t="str">
        <f t="shared" si="14"/>
        <v/>
      </c>
      <c r="J40" s="82"/>
      <c r="K40" s="61"/>
      <c r="L40" s="156"/>
      <c r="M40" s="219" t="str">
        <f t="shared" si="17"/>
        <v/>
      </c>
      <c r="N40" s="219" t="str">
        <f t="shared" si="18"/>
        <v/>
      </c>
      <c r="P40" s="90" t="s">
        <v>196</v>
      </c>
      <c r="Q40" s="105">
        <f t="shared" ca="1" si="9"/>
        <v>0</v>
      </c>
      <c r="R40" s="111">
        <f ca="1">IF(Q40=0,0,LOOKUP(P40,'Emission Factors'!$A$5:$A$16,'Emission Factors'!$H$5:$H$16))</f>
        <v>0</v>
      </c>
      <c r="S40" s="105">
        <f t="shared" ca="1" si="15"/>
        <v>0</v>
      </c>
      <c r="T40" s="105" t="str">
        <f ca="1">IF(Q40=0,"",IF($I$11&gt;0,$I$11,""))</f>
        <v/>
      </c>
      <c r="U40" s="105">
        <f ca="1">IF($J$11&gt;0,"",IF($D$9&gt;0,$D$9*R40/2000,IF($D$10&gt;0,$D$10*365*R40/2000,IF($D$11&gt;0,$D$11*365*R40*Q40/2000,IF(T40="",S40*8760/2000,T40*8760/2000)))))</f>
        <v>0</v>
      </c>
      <c r="V40" s="113">
        <f t="shared" ca="1" si="11"/>
        <v>0</v>
      </c>
    </row>
    <row r="41" spans="1:23" ht="14.25" customHeight="1" x14ac:dyDescent="0.2">
      <c r="B41" s="51" t="str">
        <f>IF(OR(COUNTIF(J38:J47,"Truck Mix Loading")&gt;0,(COUNTIF(J38:J47,"Central Mix Loading")&gt;0)),"Is the Central/Truck Mix Loading process controlled by a baghouse?","")</f>
        <v/>
      </c>
      <c r="C41" s="51"/>
      <c r="D41" s="51"/>
      <c r="E41" s="51"/>
      <c r="F41" s="221"/>
      <c r="G41" s="45"/>
      <c r="H41" s="127" t="str">
        <f t="shared" si="16"/>
        <v/>
      </c>
      <c r="I41" s="127" t="str">
        <f t="shared" si="14"/>
        <v/>
      </c>
      <c r="J41" s="82"/>
      <c r="K41" s="61"/>
      <c r="L41" s="156"/>
      <c r="M41" s="219" t="str">
        <f t="shared" si="17"/>
        <v/>
      </c>
      <c r="N41" s="219" t="str">
        <f t="shared" si="18"/>
        <v/>
      </c>
      <c r="P41" s="90" t="s">
        <v>203</v>
      </c>
      <c r="Q41" s="105">
        <f t="shared" ca="1" si="9"/>
        <v>0</v>
      </c>
      <c r="R41" s="111">
        <f ca="1">IF(Q41=0,0,LOOKUP(P41,'Emission Factors'!$A$5:$A$16,'Emission Factors'!$H$5:$H$16))</f>
        <v>0</v>
      </c>
      <c r="S41" s="105">
        <f t="shared" ca="1" si="15"/>
        <v>0</v>
      </c>
      <c r="T41" s="105" t="str">
        <f ca="1">IF(Q41=0,"",IF($I$11&gt;0,$I$11,""))</f>
        <v/>
      </c>
      <c r="U41" s="105">
        <f ca="1">IF($J$11&gt;0,"",IF($D$9&gt;0,$D$9*R41/2000,IF($D$10&gt;0,$D$10*365*R41/2000,IF($D$11&gt;0,$D$11*365*R41*Q41/2000,IF(T41="",S41*8760/2000,T41*8760/2000)))))</f>
        <v>0</v>
      </c>
      <c r="V41" s="113">
        <f t="shared" ca="1" si="11"/>
        <v>0</v>
      </c>
      <c r="W41" s="67">
        <f>IF(COUNTIF($F$24:$F$169,"no")&gt;0,0,95)</f>
        <v>95</v>
      </c>
    </row>
    <row r="42" spans="1:23" ht="14.25" customHeight="1" x14ac:dyDescent="0.2">
      <c r="F42" s="177"/>
      <c r="G42" s="45"/>
      <c r="H42" s="127" t="str">
        <f t="shared" si="16"/>
        <v/>
      </c>
      <c r="I42" s="127" t="str">
        <f t="shared" si="14"/>
        <v/>
      </c>
      <c r="J42" s="82"/>
      <c r="K42" s="61"/>
      <c r="L42" s="156"/>
      <c r="M42" s="219" t="str">
        <f t="shared" si="17"/>
        <v/>
      </c>
      <c r="N42" s="219" t="str">
        <f t="shared" si="18"/>
        <v/>
      </c>
      <c r="P42" s="90" t="s">
        <v>197</v>
      </c>
      <c r="Q42" s="105">
        <f t="shared" ca="1" si="9"/>
        <v>0</v>
      </c>
      <c r="R42" s="111">
        <f ca="1">IF(Q42=0,0,LOOKUP(P42,'Emission Factors'!$A$5:$A$16,'Emission Factors'!$H$5:$H$16))</f>
        <v>0</v>
      </c>
      <c r="S42" s="105">
        <f t="shared" ca="1" si="15"/>
        <v>0</v>
      </c>
      <c r="T42" s="105" t="str">
        <f ca="1">IF(Q42=0,"",IF($I$11&gt;0,$I$11,IF(COUNTIF($F$24:$F$169,"no")&gt;0,"",S42*(1-0.95))))</f>
        <v/>
      </c>
      <c r="U42" s="105">
        <f ca="1">IF($J$11&gt;0,"",IF($D$9&gt;0,$D$9*R42*((100-$W$30)/100)/2000,IF($D$10&gt;0,$D$10*365*R42*((100-$W$30)/100)/2000,IF($D$11&gt;0,$D$11*365*R42*((100-$W$30)/100)*Q42/2000,IF(T42="",S42*8760/2000,T42*8760/2000)))))</f>
        <v>0</v>
      </c>
      <c r="V42" s="113">
        <f ca="1">(N181*R42)</f>
        <v>0</v>
      </c>
    </row>
    <row r="43" spans="1:23" ht="28.5" customHeight="1" x14ac:dyDescent="0.2">
      <c r="B43" s="312" t="str">
        <f>IF(AND(B45="",B46="",B47="",B48="",B49=""),"","Process (complete stack information if applicable):")</f>
        <v/>
      </c>
      <c r="C43" s="312" t="str">
        <f>IF(AND(B45="",B46="",B47="",B48="",B49=""),"","Stack Height (ft):")</f>
        <v/>
      </c>
      <c r="D43" s="312" t="str">
        <f>IF(AND(B45="",B46="",B47="",B48="",B49=""),"","Stack Diameter (inches):")</f>
        <v/>
      </c>
      <c r="E43" s="312" t="str">
        <f>IF(AND(B45="",B46="",B47="",B48="",B49=""),"","Flow Rate (acfm):")</f>
        <v/>
      </c>
      <c r="F43" s="312" t="str">
        <f>IF(AND(B45="",B46="",B47="",B48="",B49=""),"","Temp (Deg F):")</f>
        <v/>
      </c>
      <c r="G43" s="45"/>
      <c r="H43" s="127" t="str">
        <f t="shared" si="16"/>
        <v/>
      </c>
      <c r="I43" s="127" t="str">
        <f t="shared" si="14"/>
        <v/>
      </c>
      <c r="J43" s="82"/>
      <c r="K43" s="61"/>
      <c r="L43" s="156"/>
      <c r="M43" s="219" t="str">
        <f t="shared" si="17"/>
        <v/>
      </c>
      <c r="N43" s="219" t="str">
        <f t="shared" si="18"/>
        <v/>
      </c>
      <c r="P43" s="90" t="s">
        <v>198</v>
      </c>
      <c r="Q43" s="105">
        <f t="shared" ca="1" si="9"/>
        <v>0</v>
      </c>
      <c r="R43" s="111">
        <f ca="1">IF(Q43=0,0,LOOKUP(P43,'Emission Factors'!$A$5:$A$16,'Emission Factors'!$H$5:$H$16))</f>
        <v>0</v>
      </c>
      <c r="S43" s="105">
        <f t="shared" ca="1" si="15"/>
        <v>0</v>
      </c>
      <c r="T43" s="105" t="str">
        <f ca="1">IF(Q43=0,"",IF($I$11&gt;0,$I$11,IF(COUNTIF($F$24:$F$169,"no")&gt;0,"",S43*(1-0.95))))</f>
        <v/>
      </c>
      <c r="U43" s="105">
        <f ca="1">IF($J$11&gt;0,"",IF($D$9&gt;0,$D$9*R43*((100-$W$30)/100)/2000,IF($D$10&gt;0,$D$10*365*R43*((100-$W$30)/100)/2000,IF($D$11&gt;0,$D$11*365*R43*((100-$W$30)/100)*Q43/2000,IF(T43="",S43*8760/2000,T43*8760/2000)))))</f>
        <v>0</v>
      </c>
      <c r="V43" s="113">
        <f ca="1">(M181*R43)</f>
        <v>0</v>
      </c>
    </row>
    <row r="44" spans="1:23" ht="14.25" customHeight="1" x14ac:dyDescent="0.2">
      <c r="B44" s="312"/>
      <c r="C44" s="312"/>
      <c r="D44" s="312"/>
      <c r="E44" s="312"/>
      <c r="F44" s="312"/>
      <c r="G44" s="45"/>
      <c r="H44" s="127" t="str">
        <f t="shared" si="16"/>
        <v/>
      </c>
      <c r="I44" s="127" t="str">
        <f t="shared" si="14"/>
        <v/>
      </c>
      <c r="J44" s="82"/>
      <c r="K44" s="61"/>
      <c r="L44" s="156"/>
      <c r="M44" s="219" t="str">
        <f t="shared" si="17"/>
        <v/>
      </c>
      <c r="N44" s="219" t="str">
        <f t="shared" si="18"/>
        <v/>
      </c>
      <c r="P44" s="90" t="s">
        <v>199</v>
      </c>
      <c r="Q44" s="105">
        <f t="shared" ca="1" si="9"/>
        <v>0</v>
      </c>
      <c r="R44" s="111">
        <f ca="1">IF(Q44=0,0,LOOKUP(P44,'Emission Factors'!$A$5:$A$16,'Emission Factors'!$H$5:$H$16))</f>
        <v>0</v>
      </c>
      <c r="S44" s="148"/>
      <c r="T44" s="105">
        <f ca="1">IF(Q44=0,0,IF($I$10&gt;0,$I$10,Q44*R44))</f>
        <v>0</v>
      </c>
      <c r="U44" s="105">
        <f ca="1">IF($J$11&gt;0,"",IF($D$9&gt;0,$D$9*R44/2000,IF($D$10&gt;0,$D$10*365*R44/2000,IF($D$11&gt;0,$D$11*365*R44*Q44/2000,IF($I$11&gt;0,0,T44*8760/2000)))))</f>
        <v>0</v>
      </c>
      <c r="V44" s="113">
        <f ca="1">(R13*R44/2000)</f>
        <v>0</v>
      </c>
    </row>
    <row r="45" spans="1:23" ht="14.25" customHeight="1" x14ac:dyDescent="0.2">
      <c r="B45" s="45" t="str">
        <f>IF(COUNTIF(J38:J47,"Cement Delivery to Silo")&gt;0,"EP-2 Cement Silo Stack:","")</f>
        <v/>
      </c>
      <c r="C45" s="221"/>
      <c r="D45" s="221"/>
      <c r="E45" s="221"/>
      <c r="F45" s="221"/>
      <c r="H45" s="127" t="str">
        <f t="shared" si="16"/>
        <v/>
      </c>
      <c r="I45" s="127" t="str">
        <f t="shared" si="14"/>
        <v/>
      </c>
      <c r="J45" s="82"/>
      <c r="K45" s="61"/>
      <c r="L45" s="156"/>
      <c r="M45" s="219" t="str">
        <f t="shared" si="17"/>
        <v/>
      </c>
      <c r="N45" s="219" t="str">
        <f t="shared" si="18"/>
        <v/>
      </c>
      <c r="P45" s="90" t="s">
        <v>200</v>
      </c>
      <c r="Q45" s="105">
        <f t="shared" ca="1" si="9"/>
        <v>0</v>
      </c>
      <c r="R45" s="111">
        <f ca="1">IF(Q45=0,0,LOOKUP(P45,'Emission Factors'!$A$5:$A$16,'Emission Factors'!$H$5:$H$16))</f>
        <v>0</v>
      </c>
      <c r="S45" s="148"/>
      <c r="T45" s="105">
        <f ca="1">IF(Q45=0,0,IF($I$10&gt;0,$I$10,Q45*R45))</f>
        <v>0</v>
      </c>
      <c r="U45" s="105">
        <f ca="1">IF($J$11&gt;0,"",IF($D$9&gt;0,$D$9*R45/2000,IF($D$10&gt;0,$D$10*365*R45/2000,IF($D$11&gt;0,$D$11*365*R45*Q45/2000,IF($I$11&gt;0,0,T45*8760/2000)))))</f>
        <v>0</v>
      </c>
      <c r="V45" s="113">
        <f ca="1">(R14*R45/2000)</f>
        <v>0</v>
      </c>
    </row>
    <row r="46" spans="1:23" ht="14.25" customHeight="1" x14ac:dyDescent="0.2">
      <c r="B46" s="45" t="str">
        <f>IF(COUNTIF(J38:J47,"Cement Supplement Delivery to Silo")&gt;0,"EP-3 Cement Supplement Silo Stack:","")</f>
        <v/>
      </c>
      <c r="C46" s="221"/>
      <c r="D46" s="221"/>
      <c r="E46" s="221"/>
      <c r="F46" s="221"/>
      <c r="G46" s="76"/>
      <c r="H46" s="127" t="str">
        <f t="shared" si="16"/>
        <v/>
      </c>
      <c r="I46" s="127" t="str">
        <f t="shared" si="14"/>
        <v/>
      </c>
      <c r="J46" s="82"/>
      <c r="K46" s="61"/>
      <c r="L46" s="156"/>
      <c r="M46" s="219" t="str">
        <f t="shared" si="17"/>
        <v/>
      </c>
      <c r="N46" s="219" t="str">
        <f t="shared" si="18"/>
        <v/>
      </c>
      <c r="O46" s="76"/>
    </row>
    <row r="47" spans="1:23" ht="14.25" customHeight="1" x14ac:dyDescent="0.2">
      <c r="B47" s="45" t="str">
        <f>IF(COUNTIF(J38:J47,"Weigh Hopper Loading")&gt;0,"EP-4 Weigh Hopper Loading Stack:","")</f>
        <v/>
      </c>
      <c r="C47" s="221"/>
      <c r="D47" s="221"/>
      <c r="E47" s="221"/>
      <c r="F47" s="221"/>
      <c r="H47" s="127" t="str">
        <f t="shared" si="16"/>
        <v/>
      </c>
      <c r="I47" s="127" t="str">
        <f t="shared" si="14"/>
        <v/>
      </c>
      <c r="J47" s="82"/>
      <c r="K47" s="61"/>
      <c r="L47" s="156"/>
      <c r="M47" s="219" t="str">
        <f t="shared" si="17"/>
        <v/>
      </c>
      <c r="N47" s="219" t="str">
        <f t="shared" si="18"/>
        <v/>
      </c>
    </row>
    <row r="48" spans="1:23" ht="27.75" customHeight="1" x14ac:dyDescent="0.2">
      <c r="B48" s="45" t="str">
        <f>IF(COUNTIF(J38:J47,"Truck Mix Loading")&gt;0,"EP-5 Truck Mix Loading Stack:","")</f>
        <v/>
      </c>
      <c r="C48" s="221"/>
      <c r="D48" s="221"/>
      <c r="E48" s="221"/>
      <c r="F48" s="221"/>
      <c r="G48" s="146"/>
      <c r="H48" s="74" t="str">
        <f>IF('Concrete Plant (CP-4)'!$D$4&gt;1,"Stock Pile Area","")</f>
        <v/>
      </c>
      <c r="I48" s="74"/>
      <c r="J48" s="74"/>
      <c r="L48" s="76"/>
      <c r="P48" s="68" t="s">
        <v>40</v>
      </c>
      <c r="Q48" s="309" t="s">
        <v>151</v>
      </c>
      <c r="R48" s="309" t="s">
        <v>152</v>
      </c>
      <c r="S48" s="308" t="s">
        <v>147</v>
      </c>
      <c r="T48" s="308" t="s">
        <v>130</v>
      </c>
      <c r="U48" s="308" t="s">
        <v>14</v>
      </c>
      <c r="V48" s="308" t="s">
        <v>148</v>
      </c>
    </row>
    <row r="49" spans="2:22" ht="14.25" customHeight="1" x14ac:dyDescent="0.2">
      <c r="B49" s="45" t="str">
        <f>IF(COUNTIF(J38:J47,"Central Mix Loading")&gt;0,"EP-6 Central Mix Loading Stack:","")</f>
        <v/>
      </c>
      <c r="C49" s="221"/>
      <c r="D49" s="221"/>
      <c r="E49" s="221"/>
      <c r="F49" s="221"/>
      <c r="G49" s="71"/>
      <c r="I49" s="51" t="str">
        <f>IF('Concrete Plant (CP-4)'!$D$4&gt;1,"Emission Unit #","")</f>
        <v/>
      </c>
      <c r="J49" s="81" t="str">
        <f>IF('Concrete Plant (CP-4)'!$D$4&gt;1,"Maximum Storage Area (acres)","")</f>
        <v/>
      </c>
      <c r="K49" s="81" t="str">
        <f>IF('Concrete Plant (CP-4)'!$D$4&gt;1,"Actual Storage Area (acres)","")</f>
        <v/>
      </c>
      <c r="L49" s="81" t="str">
        <f>IF('Concrete Plant (CP-4)'!$D$4&gt;1,"Actual Days in Existence (days)","")</f>
        <v/>
      </c>
      <c r="M49" s="71"/>
      <c r="N49" s="71"/>
      <c r="P49" s="92" t="s">
        <v>153</v>
      </c>
      <c r="Q49" s="143">
        <f>Q17</f>
        <v>0</v>
      </c>
      <c r="R49" s="143">
        <v>3.64</v>
      </c>
      <c r="S49" s="143">
        <f>Q49*R49*(1/24)</f>
        <v>0</v>
      </c>
      <c r="T49" s="143"/>
      <c r="U49" s="143">
        <f>Q49*R49*365/2000</f>
        <v>0</v>
      </c>
      <c r="V49" s="143">
        <f>R17*R49/2000</f>
        <v>0</v>
      </c>
    </row>
    <row r="50" spans="2:22" ht="14.25" customHeight="1" x14ac:dyDescent="0.2">
      <c r="B50" s="73"/>
      <c r="C50" s="163"/>
      <c r="D50" s="163"/>
      <c r="E50" s="163"/>
      <c r="F50" s="176"/>
      <c r="I50" s="63"/>
      <c r="J50" s="144"/>
      <c r="K50" s="144"/>
      <c r="L50" s="144"/>
      <c r="M50" s="146"/>
      <c r="N50" s="146"/>
      <c r="Q50" s="68"/>
      <c r="R50" s="68"/>
      <c r="S50" s="68"/>
    </row>
    <row r="51" spans="2:22" ht="14.25" customHeight="1" x14ac:dyDescent="0.2">
      <c r="B51" s="73"/>
      <c r="C51" s="146"/>
      <c r="D51" s="146"/>
      <c r="E51" s="146"/>
      <c r="F51" s="146"/>
      <c r="G51" s="45"/>
      <c r="M51" s="146"/>
      <c r="N51" s="146"/>
      <c r="Q51" s="68"/>
      <c r="R51" s="68"/>
      <c r="S51" s="68"/>
    </row>
    <row r="52" spans="2:22" ht="14.25" customHeight="1" x14ac:dyDescent="0.2">
      <c r="B52" s="73"/>
      <c r="C52" s="146"/>
      <c r="D52" s="146"/>
      <c r="E52" s="146"/>
      <c r="F52" s="146"/>
      <c r="G52" s="45"/>
      <c r="M52" s="146"/>
      <c r="N52" s="146"/>
      <c r="Q52" s="68"/>
      <c r="R52" s="68"/>
      <c r="S52" s="68"/>
    </row>
    <row r="53" spans="2:22" ht="29.25" customHeight="1" x14ac:dyDescent="0.25">
      <c r="B53" s="78" t="str">
        <f>IF('Concrete Plant (CP-4)'!$D$4&gt;2,"Batch Plant","")</f>
        <v/>
      </c>
      <c r="C53" s="71" t="str">
        <f>IF('Concrete Plant (CP-4)'!$D$4&gt;2,"Site 3","")</f>
        <v/>
      </c>
      <c r="D53" s="71"/>
      <c r="E53" s="71"/>
      <c r="F53" s="71"/>
      <c r="G53" s="45"/>
      <c r="H53" s="310" t="str">
        <f>IF('Concrete Plant (CP-4)'!$D$4&gt;2,"Emission Point #","")</f>
        <v/>
      </c>
      <c r="I53" s="310" t="str">
        <f>IF('Concrete Plant (CP-4)'!$D$4&gt;2,"Emission     Unit #","")</f>
        <v/>
      </c>
      <c r="J53" s="310" t="str">
        <f>IF('Concrete Plant (CP-4)'!$D$4&gt;2,"Processes","")</f>
        <v/>
      </c>
      <c r="K53" s="311" t="str">
        <f>IF('Concrete Plant (CP-4)'!$D$4&gt;2,"Combined Maximum Hourly Design Rate for all Like Processes (cubic yard/hr)","")</f>
        <v/>
      </c>
      <c r="L53" s="310" t="str">
        <f>IF('Concrete Plant (CP-4)'!$D$4&gt;2,('Facility Information'!G5&amp;" Annual Throughput (cubic yards)"),"")</f>
        <v/>
      </c>
      <c r="M53" s="217"/>
      <c r="N53" s="217"/>
    </row>
    <row r="54" spans="2:22" ht="14.25" customHeight="1" x14ac:dyDescent="0.2">
      <c r="B54" s="79" t="str">
        <f>IF('Concrete Plant (CP-4)'!$D$4&gt;2,"Site Name:","")</f>
        <v/>
      </c>
      <c r="C54" s="349"/>
      <c r="D54" s="356"/>
      <c r="E54" s="357"/>
      <c r="F54" s="175"/>
      <c r="G54" s="45"/>
      <c r="H54" s="127" t="str">
        <f>IF(J54="cement delivery to silo","CP-1 EP-2",IF(J54="cement supplement delivery to silo","CP-1 EP-3",IF(J54="weigh hopper loading","CP-1 EP-4",IF(J54="truck mix loading","CP-1 EP-5",IF(J54="central mix loading","CP-1 EP-6",IF(J54="","","CP-1 EP-1"))))))</f>
        <v/>
      </c>
      <c r="I54" s="127" t="str">
        <f t="shared" ref="I54:I63" si="19">IF(J54="","",IF(J54="aggregate delivery to ground storage","CP-4 EU-1",IF(J54="sand delivery to ground storage","CP-4 EU-2",IF(J54="aggregate transfer to conveyor","CP-4 EU-3",IF(J54="sand transfer to conveyor","CP-4 EU-4",IF(J54="aggregate transfer to elevated storage","CP-4 EU-5",IF(J54="sand transfer to elevated storage","CP-4 EU-6",IF(J54="weigh hopper loading","CP-4 EU-7",IF(J54="central mix loading","CP-4 EU-8",IF(J54="truck mix loading","CP-4 EU-9",IF(J54="cement delivery to silo","CP-4 EU-10",IF(J54="cement supplement delivery to silo","CP-4 EU-11"))))))))))))</f>
        <v/>
      </c>
      <c r="J54" s="82"/>
      <c r="K54" s="61"/>
      <c r="L54" s="156"/>
      <c r="M54" s="219" t="str">
        <f>IF(J54="truck mix loading",IF($F$57="yes",L54*0.05/2000,L54/2000),"")</f>
        <v/>
      </c>
      <c r="N54" s="219" t="str">
        <f>IF(J54="central mix loading",IF($F$57="yes",L54*0.05/2000,L54/2000),"")</f>
        <v/>
      </c>
      <c r="Q54" s="68"/>
      <c r="R54" s="68"/>
      <c r="S54" s="68"/>
    </row>
    <row r="55" spans="2:22" ht="14.25" customHeight="1" x14ac:dyDescent="0.2">
      <c r="B55" s="79" t="str">
        <f>IF('Concrete Plant (CP-4)'!$D$4&gt;2,"County:","")</f>
        <v/>
      </c>
      <c r="C55" s="339"/>
      <c r="D55" s="342"/>
      <c r="E55" s="343"/>
      <c r="F55" s="175"/>
      <c r="G55" s="45"/>
      <c r="H55" s="127" t="str">
        <f t="shared" ref="H55:H63" si="20">IF(J55="cement delivery to silo","CP-1 EP-2",IF(J55="cement supplement delivery to silo","CP-1 EP-3",IF(J55="weigh hopper loading","CP-1 EP-4",IF(J55="truck mix loading","CP-1 EP-5",IF(J55="central mix loading","CP-1 EP-6",IF(J55="","","CP-1 EP-1"))))))</f>
        <v/>
      </c>
      <c r="I55" s="127" t="str">
        <f t="shared" si="19"/>
        <v/>
      </c>
      <c r="J55" s="82"/>
      <c r="K55" s="61"/>
      <c r="L55" s="156"/>
      <c r="M55" s="219" t="str">
        <f t="shared" ref="M55:M63" si="21">IF(J55="truck mix loading",IF($F$57="yes",L55*0.05/2000,L55/2000),"")</f>
        <v/>
      </c>
      <c r="N55" s="219" t="str">
        <f t="shared" ref="N55:N63" si="22">IF(J55="central mix loading",IF($F$57="yes",L55*0.05/2000,L55/2000),"")</f>
        <v/>
      </c>
      <c r="Q55" s="68"/>
      <c r="R55" s="68"/>
      <c r="S55" s="68"/>
    </row>
    <row r="56" spans="2:22" ht="14.25" customHeight="1" x14ac:dyDescent="0.2">
      <c r="B56" s="79" t="str">
        <f>IF('Concrete Plant (CP-4)'!$D$4&gt;2,"Batching Period (Dates):","")</f>
        <v/>
      </c>
      <c r="C56" s="352"/>
      <c r="D56" s="358"/>
      <c r="E56" s="359"/>
      <c r="F56" s="175"/>
      <c r="G56" s="45"/>
      <c r="H56" s="127" t="str">
        <f t="shared" si="20"/>
        <v/>
      </c>
      <c r="I56" s="127" t="str">
        <f t="shared" si="19"/>
        <v/>
      </c>
      <c r="J56" s="82"/>
      <c r="K56" s="61"/>
      <c r="L56" s="156"/>
      <c r="M56" s="219" t="str">
        <f t="shared" si="21"/>
        <v/>
      </c>
      <c r="N56" s="219" t="str">
        <f t="shared" si="22"/>
        <v/>
      </c>
      <c r="Q56" s="68"/>
      <c r="R56" s="68"/>
      <c r="S56" s="68"/>
    </row>
    <row r="57" spans="2:22" ht="14.25" customHeight="1" x14ac:dyDescent="0.2">
      <c r="B57" s="51" t="str">
        <f>IF(OR(COUNTIF(J54:J63,"Truck Mix Loading")&gt;0,(COUNTIF(J54:J63,"Central Mix Loading")&gt;0)),"Is the Central/Truck Mix Loading process controlled by a baghouse?","")</f>
        <v/>
      </c>
      <c r="C57" s="51"/>
      <c r="D57" s="51"/>
      <c r="E57" s="51"/>
      <c r="F57" s="221"/>
      <c r="G57" s="45"/>
      <c r="H57" s="127" t="str">
        <f t="shared" si="20"/>
        <v/>
      </c>
      <c r="I57" s="127" t="str">
        <f t="shared" si="19"/>
        <v/>
      </c>
      <c r="J57" s="82"/>
      <c r="K57" s="61"/>
      <c r="L57" s="156"/>
      <c r="M57" s="219" t="str">
        <f t="shared" si="21"/>
        <v/>
      </c>
      <c r="N57" s="219" t="str">
        <f t="shared" si="22"/>
        <v/>
      </c>
      <c r="Q57" s="68"/>
      <c r="R57" s="68"/>
      <c r="S57" s="68"/>
    </row>
    <row r="58" spans="2:22" ht="14.25" customHeight="1" x14ac:dyDescent="0.2">
      <c r="F58" s="177"/>
      <c r="G58" s="45"/>
      <c r="H58" s="127" t="str">
        <f t="shared" si="20"/>
        <v/>
      </c>
      <c r="I58" s="127" t="str">
        <f t="shared" si="19"/>
        <v/>
      </c>
      <c r="J58" s="82"/>
      <c r="K58" s="61"/>
      <c r="L58" s="156"/>
      <c r="M58" s="219" t="str">
        <f t="shared" si="21"/>
        <v/>
      </c>
      <c r="N58" s="219" t="str">
        <f t="shared" si="22"/>
        <v/>
      </c>
      <c r="Q58" s="68"/>
      <c r="R58" s="68"/>
      <c r="S58" s="68"/>
    </row>
    <row r="59" spans="2:22" ht="29.25" customHeight="1" x14ac:dyDescent="0.2">
      <c r="B59" s="312" t="str">
        <f>IF(AND(B61="",B62="",B63="",B64="",B65=""),"","Process (complete stack information if applicable):")</f>
        <v/>
      </c>
      <c r="C59" s="312" t="str">
        <f>IF(AND(B61="",B62="",B63="",B64="",B65=""),"","Stack Height (ft):")</f>
        <v/>
      </c>
      <c r="D59" s="312" t="str">
        <f>IF(AND(B61="",B62="",B63="",B64="",B65=""),"","Stack Diameter (inches):")</f>
        <v/>
      </c>
      <c r="E59" s="312" t="str">
        <f>IF(AND(B61="",B62="",B63="",B64="",B65=""),"","Flow Rate (acfm):")</f>
        <v/>
      </c>
      <c r="F59" s="312" t="str">
        <f>IF(AND(B61="",B62="",B63="",B64="",B65=""),"","Temp (Deg F):")</f>
        <v/>
      </c>
      <c r="H59" s="127" t="str">
        <f t="shared" si="20"/>
        <v/>
      </c>
      <c r="I59" s="127" t="str">
        <f t="shared" si="19"/>
        <v/>
      </c>
      <c r="J59" s="82"/>
      <c r="K59" s="61"/>
      <c r="L59" s="156"/>
      <c r="M59" s="219" t="str">
        <f t="shared" si="21"/>
        <v/>
      </c>
      <c r="N59" s="219" t="str">
        <f t="shared" si="22"/>
        <v/>
      </c>
    </row>
    <row r="60" spans="2:22" ht="14.25" customHeight="1" x14ac:dyDescent="0.2">
      <c r="B60" s="312"/>
      <c r="C60" s="312"/>
      <c r="D60" s="312"/>
      <c r="E60" s="312"/>
      <c r="F60" s="312"/>
      <c r="G60" s="76"/>
      <c r="H60" s="127" t="str">
        <f t="shared" si="20"/>
        <v/>
      </c>
      <c r="I60" s="127" t="str">
        <f t="shared" si="19"/>
        <v/>
      </c>
      <c r="J60" s="82"/>
      <c r="K60" s="61"/>
      <c r="L60" s="156"/>
      <c r="M60" s="219" t="str">
        <f t="shared" si="21"/>
        <v/>
      </c>
      <c r="N60" s="219" t="str">
        <f t="shared" si="22"/>
        <v/>
      </c>
    </row>
    <row r="61" spans="2:22" ht="14.25" customHeight="1" x14ac:dyDescent="0.2">
      <c r="B61" s="45" t="str">
        <f>IF(COUNTIF(J54:J63,"Cement Delivery to Silo")&gt;0,"EP-2 Cement Silo Stack:","")</f>
        <v/>
      </c>
      <c r="C61" s="221"/>
      <c r="D61" s="221"/>
      <c r="E61" s="221"/>
      <c r="F61" s="221"/>
      <c r="H61" s="127" t="str">
        <f t="shared" si="20"/>
        <v/>
      </c>
      <c r="I61" s="127" t="str">
        <f t="shared" si="19"/>
        <v/>
      </c>
      <c r="J61" s="82"/>
      <c r="K61" s="61"/>
      <c r="L61" s="156"/>
      <c r="M61" s="219" t="str">
        <f t="shared" si="21"/>
        <v/>
      </c>
      <c r="N61" s="219" t="str">
        <f t="shared" si="22"/>
        <v/>
      </c>
    </row>
    <row r="62" spans="2:22" ht="14.25" customHeight="1" x14ac:dyDescent="0.2">
      <c r="B62" s="45" t="str">
        <f>IF(COUNTIF(J54:J63,"Cement Supplement Delivery to Silo")&gt;0,"EP-3 Cement Supplement Silo Stack:","")</f>
        <v/>
      </c>
      <c r="C62" s="221"/>
      <c r="D62" s="221"/>
      <c r="E62" s="221"/>
      <c r="F62" s="221"/>
      <c r="H62" s="127" t="str">
        <f t="shared" si="20"/>
        <v/>
      </c>
      <c r="I62" s="127" t="str">
        <f t="shared" si="19"/>
        <v/>
      </c>
      <c r="J62" s="82"/>
      <c r="K62" s="61"/>
      <c r="L62" s="156"/>
      <c r="M62" s="219" t="str">
        <f t="shared" si="21"/>
        <v/>
      </c>
      <c r="N62" s="219" t="str">
        <f t="shared" si="22"/>
        <v/>
      </c>
    </row>
    <row r="63" spans="2:22" ht="14.25" customHeight="1" x14ac:dyDescent="0.2">
      <c r="B63" s="45" t="str">
        <f>IF(COUNTIF(J54:J63,"Weigh Hopper Loading")&gt;0,"EP-4 Weigh Hopper Loading Stack:","")</f>
        <v/>
      </c>
      <c r="C63" s="221"/>
      <c r="D63" s="221"/>
      <c r="E63" s="221"/>
      <c r="F63" s="221"/>
      <c r="H63" s="127" t="str">
        <f t="shared" si="20"/>
        <v/>
      </c>
      <c r="I63" s="127" t="str">
        <f t="shared" si="19"/>
        <v/>
      </c>
      <c r="J63" s="82"/>
      <c r="K63" s="61"/>
      <c r="L63" s="156"/>
      <c r="M63" s="219" t="str">
        <f t="shared" si="21"/>
        <v/>
      </c>
      <c r="N63" s="219" t="str">
        <f t="shared" si="22"/>
        <v/>
      </c>
    </row>
    <row r="64" spans="2:22" ht="14.25" customHeight="1" x14ac:dyDescent="0.2">
      <c r="B64" s="45" t="str">
        <f>IF(COUNTIF(J54:J63,"Truck Mix Loading")&gt;0,"EP-5 Truck Mix Loading Stack:","")</f>
        <v/>
      </c>
      <c r="C64" s="221"/>
      <c r="D64" s="221"/>
      <c r="E64" s="221"/>
      <c r="F64" s="221"/>
      <c r="H64" s="45"/>
      <c r="I64" s="45"/>
    </row>
    <row r="65" spans="2:14" ht="14.25" customHeight="1" x14ac:dyDescent="0.2">
      <c r="B65" s="45" t="str">
        <f>IF(COUNTIF(J54:J63,"Central Mix Loading")&gt;0,"EP-6 Central Mix Loading Stack:","")</f>
        <v/>
      </c>
      <c r="C65" s="221"/>
      <c r="D65" s="221"/>
      <c r="E65" s="221"/>
      <c r="F65" s="221"/>
      <c r="G65" s="45"/>
      <c r="H65" s="74" t="str">
        <f>IF('Concrete Plant (CP-4)'!$D$4&gt;2,"Stock Pile Area","")</f>
        <v/>
      </c>
      <c r="I65" s="74"/>
      <c r="J65" s="75"/>
    </row>
    <row r="66" spans="2:14" ht="14.25" customHeight="1" x14ac:dyDescent="0.2">
      <c r="B66" s="73"/>
      <c r="C66" s="163"/>
      <c r="D66" s="163"/>
      <c r="E66" s="163"/>
      <c r="F66" s="176"/>
      <c r="G66" s="45"/>
      <c r="I66" s="51" t="str">
        <f>IF('Concrete Plant (CP-4)'!$D$4&gt;2,"Emission Unit #","")</f>
        <v/>
      </c>
      <c r="J66" s="80" t="str">
        <f>IF('Concrete Plant (CP-4)'!$D$4&gt;2,"Maximum Storage Area (acres)","")</f>
        <v/>
      </c>
      <c r="K66" s="81" t="str">
        <f>IF('Concrete Plant (CP-4)'!$D$4&gt;2,"Actual Storage Area (acres)","")</f>
        <v/>
      </c>
      <c r="L66" s="80" t="str">
        <f>IF('Concrete Plant (CP-4)'!$D$4&gt;2,"Actual Days in Existence (days)","")</f>
        <v/>
      </c>
      <c r="M66" s="146"/>
      <c r="N66" s="146"/>
    </row>
    <row r="67" spans="2:14" ht="14.25" customHeight="1" x14ac:dyDescent="0.2">
      <c r="B67" s="73"/>
      <c r="C67" s="163"/>
      <c r="D67" s="163"/>
      <c r="E67" s="163"/>
      <c r="F67" s="176"/>
      <c r="G67" s="45"/>
      <c r="I67" s="65"/>
      <c r="J67" s="144"/>
      <c r="K67" s="66"/>
      <c r="L67" s="144"/>
      <c r="M67" s="146"/>
      <c r="N67" s="146"/>
    </row>
    <row r="68" spans="2:14" ht="14.25" customHeight="1" x14ac:dyDescent="0.2">
      <c r="B68" s="73"/>
      <c r="C68" s="163"/>
      <c r="D68" s="163"/>
      <c r="E68" s="163"/>
      <c r="F68" s="176"/>
      <c r="G68" s="45"/>
    </row>
    <row r="69" spans="2:14" ht="28.5" customHeight="1" x14ac:dyDescent="0.25">
      <c r="B69" s="78" t="str">
        <f>IF('Concrete Plant (CP-4)'!$D$4&gt;3,"Batch Plant","")</f>
        <v/>
      </c>
      <c r="C69" s="71" t="str">
        <f>IF('Concrete Plant (CP-4)'!$D$4&gt;3,"Site 4","")</f>
        <v/>
      </c>
      <c r="D69" s="71"/>
      <c r="E69" s="71"/>
      <c r="F69" s="71"/>
      <c r="G69" s="45"/>
      <c r="H69" s="310" t="str">
        <f>IF('Concrete Plant (CP-4)'!$D$4&gt;3,"Emission Point #","")</f>
        <v/>
      </c>
      <c r="I69" s="310" t="str">
        <f>IF('Concrete Plant (CP-4)'!$D$4&gt;3,"Emission     Unit #","")</f>
        <v/>
      </c>
      <c r="J69" s="310" t="str">
        <f>IF('Concrete Plant (CP-4)'!$D$4&gt;3,"Processes","")</f>
        <v/>
      </c>
      <c r="K69" s="311" t="str">
        <f>IF('Concrete Plant (CP-4)'!$D$4&gt;3,"Combined Maximum Hourly Design Rate for all Like Processes (cubic yard/hr)","")</f>
        <v/>
      </c>
      <c r="L69" s="310" t="str">
        <f>IF('Concrete Plant (CP-4)'!$D$4&gt;3,('Facility Information'!G5&amp;" Annual Throughput (cubic yards)"),"")</f>
        <v/>
      </c>
      <c r="M69" s="217"/>
      <c r="N69" s="217"/>
    </row>
    <row r="70" spans="2:14" ht="14.25" customHeight="1" x14ac:dyDescent="0.2">
      <c r="B70" s="79" t="str">
        <f>IF('Concrete Plant (CP-4)'!$D$4&gt;3,"Site Name:","")</f>
        <v/>
      </c>
      <c r="C70" s="349"/>
      <c r="D70" s="356"/>
      <c r="E70" s="357"/>
      <c r="F70" s="175"/>
      <c r="G70" s="45"/>
      <c r="H70" s="127" t="str">
        <f>IF(J70="cement delivery to silo","CP-1 EP-2",IF(J70="cement supplement delivery to silo","CP-1 EP-3",IF(J70="weigh hopper loading","CP-1 EP-4",IF(J70="truck mix loading","CP-1 EP-5",IF(J70="central mix loading","CP-1 EP-6",IF(J70="","","CP-1 EP-1"))))))</f>
        <v/>
      </c>
      <c r="I70" s="127" t="str">
        <f t="shared" ref="I70:I79" si="23">IF(J70="","",IF(J70="aggregate delivery to ground storage","CP-4 EU-1",IF(J70="sand delivery to ground storage","CP-4 EU-2",IF(J70="aggregate transfer to conveyor","CP-4 EU-3",IF(J70="sand transfer to conveyor","CP-4 EU-4",IF(J70="aggregate transfer to elevated storage","CP-4 EU-5",IF(J70="sand transfer to elevated storage","CP-4 EU-6",IF(J70="weigh hopper loading","CP-4 EU-7",IF(J70="central mix loading","CP-4 EU-8",IF(J70="truck mix loading","CP-4 EU-9",IF(J70="cement delivery to silo","CP-4 EU-10",IF(J70="cement supplement delivery to silo","CP-4 EU-11"))))))))))))</f>
        <v/>
      </c>
      <c r="J70" s="82"/>
      <c r="K70" s="61"/>
      <c r="L70" s="156"/>
      <c r="M70" s="219" t="str">
        <f>IF(J70="truck mix loading",IF($F$73="yes",L70*0.05/2000,L70/2000),"")</f>
        <v/>
      </c>
      <c r="N70" s="219" t="str">
        <f>IF(J70="central mix loading",IF($F$73="yes",L70*0.05/2000,L70/2000),"")</f>
        <v/>
      </c>
    </row>
    <row r="71" spans="2:14" ht="14.25" customHeight="1" x14ac:dyDescent="0.2">
      <c r="B71" s="79" t="str">
        <f>IF('Concrete Plant (CP-4)'!$D$4&gt;3,"County:","")</f>
        <v/>
      </c>
      <c r="C71" s="339"/>
      <c r="D71" s="342"/>
      <c r="E71" s="343"/>
      <c r="F71" s="175"/>
      <c r="G71" s="45"/>
      <c r="H71" s="127" t="str">
        <f t="shared" ref="H71:H79" si="24">IF(J71="cement delivery to silo","CP-1 EP-2",IF(J71="cement supplement delivery to silo","CP-1 EP-3",IF(J71="weigh hopper loading","CP-1 EP-4",IF(J71="truck mix loading","CP-1 EP-5",IF(J71="central mix loading","CP-1 EP-6",IF(J71="","","CP-1 EP-1"))))))</f>
        <v/>
      </c>
      <c r="I71" s="127" t="str">
        <f t="shared" si="23"/>
        <v/>
      </c>
      <c r="J71" s="82"/>
      <c r="K71" s="61"/>
      <c r="L71" s="156"/>
      <c r="M71" s="219" t="str">
        <f t="shared" ref="M71:M79" si="25">IF(J71="truck mix loading",IF($F$73="yes",L71*0.05/2000,L71/2000),"")</f>
        <v/>
      </c>
      <c r="N71" s="219" t="str">
        <f t="shared" ref="N71:N79" si="26">IF(J71="central mix loading",IF($F$73="yes",L71*0.05/2000,L71/2000),"")</f>
        <v/>
      </c>
    </row>
    <row r="72" spans="2:14" ht="14.25" customHeight="1" x14ac:dyDescent="0.2">
      <c r="B72" s="79" t="str">
        <f>IF('Concrete Plant (CP-4)'!$D$4&gt;3,"Batching Period (Dates):","")</f>
        <v/>
      </c>
      <c r="C72" s="352"/>
      <c r="D72" s="358"/>
      <c r="E72" s="359"/>
      <c r="F72" s="175"/>
      <c r="G72" s="45"/>
      <c r="H72" s="127" t="str">
        <f t="shared" si="24"/>
        <v/>
      </c>
      <c r="I72" s="127" t="str">
        <f t="shared" si="23"/>
        <v/>
      </c>
      <c r="J72" s="82"/>
      <c r="K72" s="61"/>
      <c r="L72" s="156"/>
      <c r="M72" s="219" t="str">
        <f t="shared" si="25"/>
        <v/>
      </c>
      <c r="N72" s="219" t="str">
        <f t="shared" si="26"/>
        <v/>
      </c>
    </row>
    <row r="73" spans="2:14" ht="14.25" customHeight="1" x14ac:dyDescent="0.2">
      <c r="B73" s="51" t="str">
        <f>IF(OR(COUNTIF(J70:J79,"Truck Mix Loading")&gt;0,(COUNTIF(J70:J79,"Central Mix Loading")&gt;0)),"Is the Central/Truck Mix Loading process controlled by a baghouse?","")</f>
        <v/>
      </c>
      <c r="C73" s="51"/>
      <c r="D73" s="51"/>
      <c r="E73" s="51"/>
      <c r="F73" s="221"/>
      <c r="H73" s="127" t="str">
        <f t="shared" si="24"/>
        <v/>
      </c>
      <c r="I73" s="127" t="str">
        <f t="shared" si="23"/>
        <v/>
      </c>
      <c r="J73" s="82"/>
      <c r="K73" s="61"/>
      <c r="L73" s="156"/>
      <c r="M73" s="219" t="str">
        <f t="shared" si="25"/>
        <v/>
      </c>
      <c r="N73" s="219" t="str">
        <f t="shared" si="26"/>
        <v/>
      </c>
    </row>
    <row r="74" spans="2:14" ht="14.25" customHeight="1" x14ac:dyDescent="0.2">
      <c r="F74" s="177"/>
      <c r="G74" s="76"/>
      <c r="H74" s="127" t="str">
        <f t="shared" si="24"/>
        <v/>
      </c>
      <c r="I74" s="127" t="str">
        <f t="shared" si="23"/>
        <v/>
      </c>
      <c r="J74" s="82"/>
      <c r="K74" s="61"/>
      <c r="L74" s="156"/>
      <c r="M74" s="219" t="str">
        <f t="shared" si="25"/>
        <v/>
      </c>
      <c r="N74" s="219" t="str">
        <f t="shared" si="26"/>
        <v/>
      </c>
    </row>
    <row r="75" spans="2:14" ht="29.25" customHeight="1" x14ac:dyDescent="0.2">
      <c r="B75" s="312" t="str">
        <f>IF(AND(B77="",B78="",B79="",B80="",B81=""),"","Process (complete stack information if applicable):")</f>
        <v/>
      </c>
      <c r="C75" s="312" t="str">
        <f>IF(AND(B77="",B78="",B79="",B80="",B81=""),"","Stack Height (ft):")</f>
        <v/>
      </c>
      <c r="D75" s="312" t="str">
        <f>IF(AND(B77="",B78="",B79="",B80="",B81=""),"","Stack Diameter (inches):")</f>
        <v/>
      </c>
      <c r="E75" s="312" t="str">
        <f>IF(AND(B77="",B78="",B79="",B80="",B81=""),"","Flow Rate (acfm):")</f>
        <v/>
      </c>
      <c r="F75" s="312" t="str">
        <f>IF(AND(B77="",B78="",B79="",B80="",B81=""),"","Temp (Deg F):")</f>
        <v/>
      </c>
      <c r="H75" s="127" t="str">
        <f t="shared" si="24"/>
        <v/>
      </c>
      <c r="I75" s="127" t="str">
        <f t="shared" si="23"/>
        <v/>
      </c>
      <c r="J75" s="82"/>
      <c r="K75" s="61"/>
      <c r="L75" s="156"/>
      <c r="M75" s="219" t="str">
        <f t="shared" si="25"/>
        <v/>
      </c>
      <c r="N75" s="219" t="str">
        <f t="shared" si="26"/>
        <v/>
      </c>
    </row>
    <row r="76" spans="2:14" ht="14.25" customHeight="1" x14ac:dyDescent="0.2">
      <c r="B76" s="312"/>
      <c r="C76" s="312"/>
      <c r="D76" s="312"/>
      <c r="E76" s="312"/>
      <c r="F76" s="312"/>
      <c r="H76" s="127" t="str">
        <f t="shared" si="24"/>
        <v/>
      </c>
      <c r="I76" s="127" t="str">
        <f t="shared" si="23"/>
        <v/>
      </c>
      <c r="J76" s="82"/>
      <c r="K76" s="61"/>
      <c r="L76" s="156"/>
      <c r="M76" s="219" t="str">
        <f t="shared" si="25"/>
        <v/>
      </c>
      <c r="N76" s="219" t="str">
        <f t="shared" si="26"/>
        <v/>
      </c>
    </row>
    <row r="77" spans="2:14" ht="14.25" customHeight="1" x14ac:dyDescent="0.2">
      <c r="B77" s="45" t="str">
        <f>IF(COUNTIF(J70:J79,"Cement Delivery to Silo")&gt;0,"EP-2 Cement Silo Stack:","")</f>
        <v/>
      </c>
      <c r="C77" s="221"/>
      <c r="D77" s="221"/>
      <c r="E77" s="221"/>
      <c r="F77" s="221"/>
      <c r="H77" s="127" t="str">
        <f t="shared" si="24"/>
        <v/>
      </c>
      <c r="I77" s="127" t="str">
        <f t="shared" si="23"/>
        <v/>
      </c>
      <c r="J77" s="82"/>
      <c r="K77" s="61"/>
      <c r="L77" s="156"/>
      <c r="M77" s="219" t="str">
        <f t="shared" si="25"/>
        <v/>
      </c>
      <c r="N77" s="219" t="str">
        <f t="shared" si="26"/>
        <v/>
      </c>
    </row>
    <row r="78" spans="2:14" ht="14.25" customHeight="1" x14ac:dyDescent="0.2">
      <c r="B78" s="45" t="str">
        <f>IF(COUNTIF(J70:J79,"Cement Supplement Delivery to Silo")&gt;0,"EP-3 Cement Supplement Silo Stack:","")</f>
        <v/>
      </c>
      <c r="C78" s="221"/>
      <c r="D78" s="221"/>
      <c r="E78" s="221"/>
      <c r="F78" s="221"/>
      <c r="H78" s="127" t="str">
        <f t="shared" si="24"/>
        <v/>
      </c>
      <c r="I78" s="127" t="str">
        <f t="shared" si="23"/>
        <v/>
      </c>
      <c r="J78" s="82"/>
      <c r="K78" s="61"/>
      <c r="L78" s="156"/>
      <c r="M78" s="219" t="str">
        <f t="shared" si="25"/>
        <v/>
      </c>
      <c r="N78" s="219" t="str">
        <f t="shared" si="26"/>
        <v/>
      </c>
    </row>
    <row r="79" spans="2:14" ht="14.25" customHeight="1" x14ac:dyDescent="0.2">
      <c r="B79" s="45" t="str">
        <f>IF(COUNTIF(J70:J79,"Weigh Hopper Loading")&gt;0,"EP-4 Weigh Hopper Loading Stack:","")</f>
        <v/>
      </c>
      <c r="C79" s="221"/>
      <c r="D79" s="221"/>
      <c r="E79" s="221"/>
      <c r="F79" s="221"/>
      <c r="G79" s="45"/>
      <c r="H79" s="127" t="str">
        <f t="shared" si="24"/>
        <v/>
      </c>
      <c r="I79" s="127" t="str">
        <f t="shared" si="23"/>
        <v/>
      </c>
      <c r="J79" s="82"/>
      <c r="K79" s="61"/>
      <c r="L79" s="156"/>
      <c r="M79" s="219" t="str">
        <f t="shared" si="25"/>
        <v/>
      </c>
      <c r="N79" s="219" t="str">
        <f t="shared" si="26"/>
        <v/>
      </c>
    </row>
    <row r="80" spans="2:14" ht="14.25" customHeight="1" x14ac:dyDescent="0.2">
      <c r="B80" s="45" t="str">
        <f>IF(COUNTIF(J70:J79,"Truck Mix Loading")&gt;0,"EP-5 Truck Mix Loading Stack:","")</f>
        <v/>
      </c>
      <c r="C80" s="221"/>
      <c r="D80" s="221"/>
      <c r="E80" s="221"/>
      <c r="F80" s="221"/>
      <c r="G80" s="45"/>
      <c r="H80" s="45"/>
      <c r="I80" s="45"/>
    </row>
    <row r="81" spans="2:14" ht="14.25" customHeight="1" x14ac:dyDescent="0.2">
      <c r="B81" s="45" t="str">
        <f>IF(COUNTIF(J70:J79,"Central Mix Loading")&gt;0,"EP-6 Central Mix Loading Stack:","")</f>
        <v/>
      </c>
      <c r="C81" s="221"/>
      <c r="D81" s="221"/>
      <c r="E81" s="221"/>
      <c r="F81" s="221"/>
      <c r="G81" s="45"/>
      <c r="H81" s="74" t="str">
        <f>IF('Concrete Plant (CP-4)'!$D$4&gt;3,"Stock Pile Area","")</f>
        <v/>
      </c>
      <c r="I81" s="74"/>
      <c r="J81" s="75"/>
    </row>
    <row r="82" spans="2:14" ht="14.25" customHeight="1" x14ac:dyDescent="0.2">
      <c r="B82" s="73"/>
      <c r="C82" s="163"/>
      <c r="D82" s="163"/>
      <c r="E82" s="163"/>
      <c r="F82" s="176"/>
      <c r="G82" s="45"/>
      <c r="I82" s="51" t="str">
        <f>IF('Concrete Plant (CP-4)'!$D$4&gt;3,"Emission Unit #","")</f>
        <v/>
      </c>
      <c r="J82" s="80" t="str">
        <f>IF('Concrete Plant (CP-4)'!$D$4&gt;3,"Maximum Storage Area (acres)","")</f>
        <v/>
      </c>
      <c r="K82" s="81" t="str">
        <f>IF('Concrete Plant (CP-4)'!$D$4&gt;3,"Actual Storage Area (acres)","")</f>
        <v/>
      </c>
      <c r="L82" s="80" t="str">
        <f>IF('Concrete Plant (CP-4)'!$D$4&gt;3,"Actual Days in Existence (days)","")</f>
        <v/>
      </c>
      <c r="M82" s="146"/>
      <c r="N82" s="146"/>
    </row>
    <row r="83" spans="2:14" ht="14.25" customHeight="1" x14ac:dyDescent="0.2">
      <c r="B83" s="73"/>
      <c r="C83" s="163"/>
      <c r="D83" s="163"/>
      <c r="E83" s="163"/>
      <c r="F83" s="176"/>
      <c r="G83" s="45"/>
      <c r="I83" s="65"/>
      <c r="J83" s="144"/>
      <c r="K83" s="66"/>
      <c r="L83" s="144"/>
      <c r="M83" s="146"/>
      <c r="N83" s="146"/>
    </row>
    <row r="84" spans="2:14" ht="14.25" customHeight="1" x14ac:dyDescent="0.2">
      <c r="F84" s="177"/>
      <c r="G84" s="45"/>
    </row>
    <row r="85" spans="2:14" ht="27" customHeight="1" x14ac:dyDescent="0.25">
      <c r="B85" s="78" t="str">
        <f>IF('Concrete Plant (CP-4)'!$D$4&gt;4,"Batch Plant","")</f>
        <v/>
      </c>
      <c r="C85" s="71" t="str">
        <f>IF('Concrete Plant (CP-4)'!$D$4&gt;4,"Site 5","")</f>
        <v/>
      </c>
      <c r="D85" s="71"/>
      <c r="E85" s="71"/>
      <c r="F85" s="71"/>
      <c r="G85" s="45"/>
      <c r="H85" s="310" t="str">
        <f>IF('Concrete Plant (CP-4)'!$D$4&gt;4,"Emission Point #","")</f>
        <v/>
      </c>
      <c r="I85" s="310" t="str">
        <f>IF('Concrete Plant (CP-4)'!$D$4&gt;4,"Emission     Unit #","")</f>
        <v/>
      </c>
      <c r="J85" s="310" t="str">
        <f>IF('Concrete Plant (CP-4)'!$D$4&gt;4,"Processes","")</f>
        <v/>
      </c>
      <c r="K85" s="311" t="str">
        <f>IF('Concrete Plant (CP-4)'!$D$4&gt;4,"Combined Maximum Hourly Design Rate for all Like Processes (cubic yard/hr)","")</f>
        <v/>
      </c>
      <c r="L85" s="310" t="str">
        <f>IF('Concrete Plant (CP-4)'!$D$4&gt;4,('Facility Information'!G5&amp;" Annual Throughput (cubic yards)"),"")</f>
        <v/>
      </c>
      <c r="M85" s="217"/>
      <c r="N85" s="217"/>
    </row>
    <row r="86" spans="2:14" ht="14.25" customHeight="1" x14ac:dyDescent="0.2">
      <c r="B86" s="79" t="str">
        <f>IF('Concrete Plant (CP-4)'!$D$4&gt;4,"Site Name:","")</f>
        <v/>
      </c>
      <c r="C86" s="349"/>
      <c r="D86" s="356"/>
      <c r="E86" s="357"/>
      <c r="F86" s="175"/>
      <c r="G86" s="45"/>
      <c r="H86" s="127" t="str">
        <f>IF(J86="cement delivery to silo","CP-1 EP-2",IF(J86="cement supplement delivery to silo","CP-1 EP-3",IF(J86="weigh hopper loading","CP-1 EP-4",IF(J86="truck mix loading","CP-1 EP-5",IF(J86="central mix loading","CP-1 EP-6",IF(J86="","","CP-1 EP-1"))))))</f>
        <v/>
      </c>
      <c r="I86" s="127" t="str">
        <f t="shared" ref="I86:I95" si="27">IF(J86="","",IF(J86="aggregate delivery to ground storage","CP-4 EU-1",IF(J86="sand delivery to ground storage","CP-4 EU-2",IF(J86="aggregate transfer to conveyor","CP-4 EU-3",IF(J86="sand transfer to conveyor","CP-4 EU-4",IF(J86="aggregate transfer to elevated storage","CP-4 EU-5",IF(J86="sand transfer to elevated storage","CP-4 EU-6",IF(J86="weigh hopper loading","CP-4 EU-7",IF(J86="central mix loading","CP-4 EU-8",IF(J86="truck mix loading","CP-4 EU-9",IF(J86="cement delivery to silo","CP-4 EU-10",IF(J86="cement supplement delivery to silo","CP-4 EU-11"))))))))))))</f>
        <v/>
      </c>
      <c r="J86" s="82"/>
      <c r="K86" s="61"/>
      <c r="L86" s="156"/>
      <c r="M86" s="219" t="str">
        <f>IF(J86="truck mix loading",IF($F$89="yes",L86*0.05/2000,L86/2000),"")</f>
        <v/>
      </c>
      <c r="N86" s="219" t="str">
        <f>IF(J86="central mix loading",IF($F$89="yes",L86*0.05/2000,L86/2000),"")</f>
        <v/>
      </c>
    </row>
    <row r="87" spans="2:14" ht="14.25" customHeight="1" x14ac:dyDescent="0.2">
      <c r="B87" s="79" t="str">
        <f>IF('Concrete Plant (CP-4)'!$D$4&gt;4,"County:","")</f>
        <v/>
      </c>
      <c r="C87" s="339"/>
      <c r="D87" s="342"/>
      <c r="E87" s="343"/>
      <c r="F87" s="175"/>
      <c r="H87" s="127" t="str">
        <f t="shared" ref="H87:H95" si="28">IF(J87="cement delivery to silo","CP-1 EP-2",IF(J87="cement supplement delivery to silo","CP-1 EP-3",IF(J87="weigh hopper loading","CP-1 EP-4",IF(J87="truck mix loading","CP-1 EP-5",IF(J87="central mix loading","CP-1 EP-6",IF(J87="","","CP-1 EP-1"))))))</f>
        <v/>
      </c>
      <c r="I87" s="127" t="str">
        <f t="shared" si="27"/>
        <v/>
      </c>
      <c r="J87" s="82"/>
      <c r="K87" s="61"/>
      <c r="L87" s="156"/>
      <c r="M87" s="219" t="str">
        <f t="shared" ref="M87:M95" si="29">IF(J87="truck mix loading",IF($F$89="yes",L87*0.05/2000,L87/2000),"")</f>
        <v/>
      </c>
      <c r="N87" s="219" t="str">
        <f t="shared" ref="N87:N95" si="30">IF(J87="central mix loading",IF($F$89="yes",L87*0.05/2000,L87/2000),"")</f>
        <v/>
      </c>
    </row>
    <row r="88" spans="2:14" ht="14.25" customHeight="1" x14ac:dyDescent="0.2">
      <c r="B88" s="79" t="str">
        <f>IF('Concrete Plant (CP-4)'!$D$4&gt;4,"Batching Period (Dates):","")</f>
        <v/>
      </c>
      <c r="C88" s="352"/>
      <c r="D88" s="358"/>
      <c r="E88" s="359"/>
      <c r="F88" s="175"/>
      <c r="G88" s="76"/>
      <c r="H88" s="127" t="str">
        <f t="shared" si="28"/>
        <v/>
      </c>
      <c r="I88" s="127" t="str">
        <f t="shared" si="27"/>
        <v/>
      </c>
      <c r="J88" s="82"/>
      <c r="K88" s="61"/>
      <c r="L88" s="156"/>
      <c r="M88" s="219" t="str">
        <f t="shared" si="29"/>
        <v/>
      </c>
      <c r="N88" s="219" t="str">
        <f t="shared" si="30"/>
        <v/>
      </c>
    </row>
    <row r="89" spans="2:14" ht="14.25" customHeight="1" x14ac:dyDescent="0.2">
      <c r="B89" s="51" t="str">
        <f>IF(OR(COUNTIF(J86:J95,"Truck Mix Loading")&gt;0,(COUNTIF(J86:J95,"Central Mix Loading")&gt;0)),"Is the Central/Truck Mix Loading process controlled by a baghouse?","")</f>
        <v/>
      </c>
      <c r="C89" s="51"/>
      <c r="D89" s="51"/>
      <c r="E89" s="51"/>
      <c r="F89" s="221"/>
      <c r="H89" s="127" t="str">
        <f t="shared" si="28"/>
        <v/>
      </c>
      <c r="I89" s="127" t="str">
        <f t="shared" si="27"/>
        <v/>
      </c>
      <c r="J89" s="82"/>
      <c r="K89" s="61"/>
      <c r="L89" s="156"/>
      <c r="M89" s="219" t="str">
        <f t="shared" si="29"/>
        <v/>
      </c>
      <c r="N89" s="219" t="str">
        <f t="shared" si="30"/>
        <v/>
      </c>
    </row>
    <row r="90" spans="2:14" ht="14.25" customHeight="1" x14ac:dyDescent="0.2">
      <c r="F90" s="177"/>
      <c r="H90" s="127" t="str">
        <f t="shared" si="28"/>
        <v/>
      </c>
      <c r="I90" s="127" t="str">
        <f t="shared" si="27"/>
        <v/>
      </c>
      <c r="J90" s="82"/>
      <c r="K90" s="61"/>
      <c r="L90" s="156"/>
      <c r="M90" s="219" t="str">
        <f t="shared" si="29"/>
        <v/>
      </c>
      <c r="N90" s="219" t="str">
        <f t="shared" si="30"/>
        <v/>
      </c>
    </row>
    <row r="91" spans="2:14" ht="27.75" customHeight="1" x14ac:dyDescent="0.2">
      <c r="B91" s="312" t="str">
        <f>IF(AND(B93="",B94="",B95="",B96="",B97=""),"","Process (complete stack information if applicable):")</f>
        <v/>
      </c>
      <c r="C91" s="312" t="str">
        <f>IF(AND(B93="",B94="",B95="",B96="",B97=""),"","Stack Height (ft):")</f>
        <v/>
      </c>
      <c r="D91" s="312" t="str">
        <f>IF(AND(B93="",B94="",B95="",B96="",B97=""),"","Stack Diameter (inches):")</f>
        <v/>
      </c>
      <c r="E91" s="312" t="str">
        <f>IF(AND(B93="",B94="",B95="",B96="",B97=""),"","Flow Rate (acfm):")</f>
        <v/>
      </c>
      <c r="F91" s="312" t="str">
        <f>IF(AND(B93="",B94="",B95="",B96="",B97=""),"","Temp (Deg F):")</f>
        <v/>
      </c>
      <c r="H91" s="127" t="str">
        <f t="shared" si="28"/>
        <v/>
      </c>
      <c r="I91" s="127" t="str">
        <f t="shared" si="27"/>
        <v/>
      </c>
      <c r="J91" s="82"/>
      <c r="K91" s="61"/>
      <c r="L91" s="156"/>
      <c r="M91" s="219" t="str">
        <f t="shared" si="29"/>
        <v/>
      </c>
      <c r="N91" s="219" t="str">
        <f t="shared" si="30"/>
        <v/>
      </c>
    </row>
    <row r="92" spans="2:14" ht="14.25" customHeight="1" x14ac:dyDescent="0.2">
      <c r="B92" s="312"/>
      <c r="C92" s="312"/>
      <c r="D92" s="312"/>
      <c r="E92" s="312"/>
      <c r="F92" s="312"/>
      <c r="H92" s="127" t="str">
        <f t="shared" si="28"/>
        <v/>
      </c>
      <c r="I92" s="127" t="str">
        <f t="shared" si="27"/>
        <v/>
      </c>
      <c r="J92" s="82"/>
      <c r="K92" s="61"/>
      <c r="L92" s="156"/>
      <c r="M92" s="219" t="str">
        <f t="shared" si="29"/>
        <v/>
      </c>
      <c r="N92" s="219" t="str">
        <f t="shared" si="30"/>
        <v/>
      </c>
    </row>
    <row r="93" spans="2:14" ht="14.25" customHeight="1" x14ac:dyDescent="0.2">
      <c r="B93" s="45" t="str">
        <f>IF(COUNTIF(J86:J95,"Cement Delivery to Silo")&gt;0,"EP-2 Cement Silo Stack:","")</f>
        <v/>
      </c>
      <c r="C93" s="221"/>
      <c r="D93" s="221"/>
      <c r="E93" s="221"/>
      <c r="F93" s="221"/>
      <c r="G93" s="45"/>
      <c r="H93" s="127" t="str">
        <f t="shared" si="28"/>
        <v/>
      </c>
      <c r="I93" s="127" t="str">
        <f t="shared" si="27"/>
        <v/>
      </c>
      <c r="J93" s="82"/>
      <c r="K93" s="61"/>
      <c r="L93" s="156"/>
      <c r="M93" s="219" t="str">
        <f t="shared" si="29"/>
        <v/>
      </c>
      <c r="N93" s="219" t="str">
        <f t="shared" si="30"/>
        <v/>
      </c>
    </row>
    <row r="94" spans="2:14" ht="14.25" customHeight="1" x14ac:dyDescent="0.2">
      <c r="B94" s="45" t="str">
        <f>IF(COUNTIF(J86:J95,"Cement Supplement Delivery to Silo")&gt;0,"EP-3 Cement Supplement Silo Stack:","")</f>
        <v/>
      </c>
      <c r="C94" s="221"/>
      <c r="D94" s="221"/>
      <c r="E94" s="221"/>
      <c r="F94" s="221"/>
      <c r="G94" s="45"/>
      <c r="H94" s="127" t="str">
        <f t="shared" si="28"/>
        <v/>
      </c>
      <c r="I94" s="127" t="str">
        <f t="shared" si="27"/>
        <v/>
      </c>
      <c r="J94" s="82"/>
      <c r="K94" s="61"/>
      <c r="L94" s="156"/>
      <c r="M94" s="219" t="str">
        <f t="shared" si="29"/>
        <v/>
      </c>
      <c r="N94" s="219" t="str">
        <f t="shared" si="30"/>
        <v/>
      </c>
    </row>
    <row r="95" spans="2:14" ht="14.25" customHeight="1" x14ac:dyDescent="0.2">
      <c r="B95" s="45" t="str">
        <f>IF(COUNTIF(J86:J95,"Weigh Hopper Loading")&gt;0,"EP-4 Weigh Hopper Loading Stack:","")</f>
        <v/>
      </c>
      <c r="C95" s="221"/>
      <c r="D95" s="221"/>
      <c r="E95" s="221"/>
      <c r="F95" s="221"/>
      <c r="G95" s="45"/>
      <c r="H95" s="127" t="str">
        <f t="shared" si="28"/>
        <v/>
      </c>
      <c r="I95" s="127" t="str">
        <f t="shared" si="27"/>
        <v/>
      </c>
      <c r="J95" s="82"/>
      <c r="K95" s="61"/>
      <c r="L95" s="156"/>
      <c r="M95" s="219" t="str">
        <f t="shared" si="29"/>
        <v/>
      </c>
      <c r="N95" s="219" t="str">
        <f t="shared" si="30"/>
        <v/>
      </c>
    </row>
    <row r="96" spans="2:14" ht="14.25" customHeight="1" x14ac:dyDescent="0.2">
      <c r="B96" s="45" t="str">
        <f>IF(COUNTIF(J86:J95,"Truck Mix Loading")&gt;0,"EP-5 Truck Mix Loading Stack:","")</f>
        <v/>
      </c>
      <c r="C96" s="221"/>
      <c r="D96" s="221"/>
      <c r="E96" s="221"/>
      <c r="F96" s="221"/>
      <c r="G96" s="45"/>
      <c r="H96" s="45"/>
      <c r="I96" s="45"/>
    </row>
    <row r="97" spans="2:14" ht="14.25" customHeight="1" x14ac:dyDescent="0.2">
      <c r="B97" s="45" t="str">
        <f>IF(COUNTIF(J86:J95,"Central Mix Loading")&gt;0,"EP-6 Central Mix Loading Stack:","")</f>
        <v/>
      </c>
      <c r="C97" s="221"/>
      <c r="D97" s="221"/>
      <c r="E97" s="221"/>
      <c r="F97" s="221"/>
      <c r="G97" s="45"/>
      <c r="H97" s="74" t="str">
        <f>IF('Concrete Plant (CP-4)'!$D$4&gt;4,"Stock Pile Area","")</f>
        <v/>
      </c>
      <c r="I97" s="74"/>
      <c r="J97" s="75"/>
    </row>
    <row r="98" spans="2:14" ht="14.25" customHeight="1" x14ac:dyDescent="0.2">
      <c r="B98" s="73"/>
      <c r="C98" s="163"/>
      <c r="D98" s="163"/>
      <c r="E98" s="163"/>
      <c r="F98" s="176"/>
      <c r="G98" s="45"/>
      <c r="I98" s="51" t="str">
        <f>IF('Concrete Plant (CP-4)'!$D$4&gt;4,"Emission Unit #","")</f>
        <v/>
      </c>
      <c r="J98" s="80" t="str">
        <f>IF('Concrete Plant (CP-4)'!$D$4&gt;4,"Maximum Storage Area (acres)","")</f>
        <v/>
      </c>
      <c r="K98" s="81" t="str">
        <f>IF('Concrete Plant (CP-4)'!$D$4&gt;4,"Actual Storage Area (acres)","")</f>
        <v/>
      </c>
      <c r="L98" s="80" t="str">
        <f>IF('Concrete Plant (CP-4)'!$D$4&gt;4,"Actual Days in Existence (days)","")</f>
        <v/>
      </c>
      <c r="M98" s="146"/>
      <c r="N98" s="146"/>
    </row>
    <row r="99" spans="2:14" ht="14.25" customHeight="1" x14ac:dyDescent="0.2">
      <c r="B99" s="73"/>
      <c r="C99" s="163"/>
      <c r="D99" s="163"/>
      <c r="E99" s="163"/>
      <c r="F99" s="176"/>
      <c r="G99" s="45"/>
      <c r="I99" s="62"/>
      <c r="J99" s="144"/>
      <c r="K99" s="66"/>
      <c r="L99" s="144"/>
      <c r="M99" s="146"/>
      <c r="N99" s="146"/>
    </row>
    <row r="100" spans="2:14" ht="14.25" customHeight="1" x14ac:dyDescent="0.2">
      <c r="B100" s="73"/>
      <c r="C100" s="163"/>
      <c r="D100" s="163"/>
      <c r="E100" s="163"/>
      <c r="F100" s="176"/>
      <c r="G100" s="45"/>
      <c r="H100" s="45"/>
    </row>
    <row r="101" spans="2:14" ht="30" customHeight="1" x14ac:dyDescent="0.25">
      <c r="B101" s="78" t="str">
        <f>IF('Concrete Plant (CP-4)'!$D$4&gt;5,"Batch Plant","")</f>
        <v/>
      </c>
      <c r="C101" s="71" t="str">
        <f>IF('Concrete Plant (CP-4)'!$D$4&gt;5,"Site 6","")</f>
        <v/>
      </c>
      <c r="D101" s="71"/>
      <c r="E101" s="71"/>
      <c r="F101" s="71"/>
      <c r="G101" s="45"/>
      <c r="H101" s="310" t="str">
        <f>IF('Concrete Plant (CP-4)'!$D$4&gt;5,"Emission Point #","")</f>
        <v/>
      </c>
      <c r="I101" s="310" t="str">
        <f>IF('Concrete Plant (CP-4)'!$D$4&gt;5,"Emission     Unit #","")</f>
        <v/>
      </c>
      <c r="J101" s="310" t="str">
        <f>IF('Concrete Plant (CP-4)'!$D$4&gt;5,"Processes","")</f>
        <v/>
      </c>
      <c r="K101" s="311" t="str">
        <f>IF('Concrete Plant (CP-4)'!$D$4&gt;5,"Combined Maximum Hourly Design Rate for all Like Processes (cubic yard/hr)","")</f>
        <v/>
      </c>
      <c r="L101" s="310" t="str">
        <f>IF('Concrete Plant (CP-4)'!$D$4&gt;5,('Facility Information'!G5&amp;" Annual Throughput (cubic yards)"),"")</f>
        <v/>
      </c>
      <c r="M101" s="217"/>
      <c r="N101" s="217"/>
    </row>
    <row r="102" spans="2:14" ht="14.25" customHeight="1" x14ac:dyDescent="0.2">
      <c r="B102" s="79" t="str">
        <f>IF('Concrete Plant (CP-4)'!$D$4&gt;5,"Site Name:","")</f>
        <v/>
      </c>
      <c r="C102" s="349"/>
      <c r="D102" s="356"/>
      <c r="E102" s="357"/>
      <c r="F102" s="175"/>
      <c r="G102" s="76"/>
      <c r="H102" s="127" t="str">
        <f>IF(J102="cement delivery to silo","CP-1 EP-2",IF(J102="cement supplement delivery to silo","CP-1 EP-3",IF(J102="weigh hopper loading","CP-1 EP-4",IF(J102="truck mix loading","CP-1 EP-5",IF(J102="central mix loading","CP-1 EP-6",IF(J102="","","CP-1 EP-1"))))))</f>
        <v/>
      </c>
      <c r="I102" s="127" t="str">
        <f t="shared" ref="I102:I111" si="31">IF(J102="","",IF(J102="aggregate delivery to ground storage","CP-4 EU-1",IF(J102="sand delivery to ground storage","CP-4 EU-2",IF(J102="aggregate transfer to conveyor","CP-4 EU-3",IF(J102="sand transfer to conveyor","CP-4 EU-4",IF(J102="aggregate transfer to elevated storage","CP-4 EU-5",IF(J102="sand transfer to elevated storage","CP-4 EU-6",IF(J102="weigh hopper loading","CP-4 EU-7",IF(J102="central mix loading","CP-4 EU-8",IF(J102="truck mix loading","CP-4 EU-9",IF(J102="cement delivery to silo","CP-4 EU-10",IF(J102="cement supplement delivery to silo","CP-4 EU-11"))))))))))))</f>
        <v/>
      </c>
      <c r="J102" s="82"/>
      <c r="K102" s="61"/>
      <c r="L102" s="156"/>
      <c r="M102" s="219" t="str">
        <f>IF(J102="truck mix loading",IF($F$105="yes",L102*0.05/2000,L102/2000),"")</f>
        <v/>
      </c>
      <c r="N102" s="219" t="str">
        <f>IF(J102="central mix loading",IF($F$105="yes",L102*0.05/2000,L102/2000),"")</f>
        <v/>
      </c>
    </row>
    <row r="103" spans="2:14" ht="14.25" customHeight="1" x14ac:dyDescent="0.2">
      <c r="B103" s="79" t="str">
        <f>IF('Concrete Plant (CP-4)'!$D$4&gt;5,"County:","")</f>
        <v/>
      </c>
      <c r="C103" s="339"/>
      <c r="D103" s="342"/>
      <c r="E103" s="343"/>
      <c r="F103" s="175"/>
      <c r="H103" s="127" t="str">
        <f t="shared" ref="H103:H111" si="32">IF(J103="cement delivery to silo","CP-1 EP-2",IF(J103="cement supplement delivery to silo","CP-1 EP-3",IF(J103="weigh hopper loading","CP-1 EP-4",IF(J103="truck mix loading","CP-1 EP-5",IF(J103="central mix loading","CP-1 EP-6",IF(J103="","","CP-1 EP-1"))))))</f>
        <v/>
      </c>
      <c r="I103" s="127" t="str">
        <f t="shared" si="31"/>
        <v/>
      </c>
      <c r="J103" s="82"/>
      <c r="K103" s="61"/>
      <c r="L103" s="156"/>
      <c r="M103" s="219" t="str">
        <f t="shared" ref="M103:M111" si="33">IF(J103="truck mix loading",IF($F$105="yes",L103*0.05/2000,L103/2000),"")</f>
        <v/>
      </c>
      <c r="N103" s="219" t="str">
        <f t="shared" ref="N103:N111" si="34">IF(J103="central mix loading",IF($F$105="yes",L103*0.05/2000,L103/2000),"")</f>
        <v/>
      </c>
    </row>
    <row r="104" spans="2:14" ht="14.25" customHeight="1" x14ac:dyDescent="0.2">
      <c r="B104" s="79" t="str">
        <f>IF('Concrete Plant (CP-4)'!$D$4&gt;5,"Batching Period (Dates):","")</f>
        <v/>
      </c>
      <c r="C104" s="352"/>
      <c r="D104" s="358"/>
      <c r="E104" s="359"/>
      <c r="F104" s="175"/>
      <c r="H104" s="127" t="str">
        <f t="shared" si="32"/>
        <v/>
      </c>
      <c r="I104" s="127" t="str">
        <f t="shared" si="31"/>
        <v/>
      </c>
      <c r="J104" s="82"/>
      <c r="K104" s="61"/>
      <c r="L104" s="156"/>
      <c r="M104" s="219" t="str">
        <f t="shared" si="33"/>
        <v/>
      </c>
      <c r="N104" s="219" t="str">
        <f t="shared" si="34"/>
        <v/>
      </c>
    </row>
    <row r="105" spans="2:14" ht="14.25" customHeight="1" x14ac:dyDescent="0.2">
      <c r="B105" s="51" t="str">
        <f>IF(OR(COUNTIF(J102:J111,"Truck Mix Loading")&gt;0,(COUNTIF(J102:J111,"Central Mix Loading")&gt;0)),"Is the Central/Truck Mix Loading process controlled by a baghouse?","")</f>
        <v/>
      </c>
      <c r="C105" s="51"/>
      <c r="D105" s="51"/>
      <c r="E105" s="51"/>
      <c r="F105" s="221"/>
      <c r="H105" s="127" t="str">
        <f t="shared" si="32"/>
        <v/>
      </c>
      <c r="I105" s="127" t="str">
        <f t="shared" si="31"/>
        <v/>
      </c>
      <c r="J105" s="82"/>
      <c r="K105" s="61"/>
      <c r="L105" s="156"/>
      <c r="M105" s="219" t="str">
        <f t="shared" si="33"/>
        <v/>
      </c>
      <c r="N105" s="219" t="str">
        <f t="shared" si="34"/>
        <v/>
      </c>
    </row>
    <row r="106" spans="2:14" ht="14.25" customHeight="1" x14ac:dyDescent="0.2">
      <c r="F106" s="177"/>
      <c r="H106" s="127" t="str">
        <f t="shared" si="32"/>
        <v/>
      </c>
      <c r="I106" s="127" t="str">
        <f t="shared" si="31"/>
        <v/>
      </c>
      <c r="J106" s="82"/>
      <c r="K106" s="61"/>
      <c r="L106" s="156"/>
      <c r="M106" s="219" t="str">
        <f t="shared" si="33"/>
        <v/>
      </c>
      <c r="N106" s="219" t="str">
        <f t="shared" si="34"/>
        <v/>
      </c>
    </row>
    <row r="107" spans="2:14" ht="28.5" customHeight="1" x14ac:dyDescent="0.2">
      <c r="B107" s="312" t="str">
        <f>IF(AND(B109="",B110="",B111="",B112="",B113=""),"","Process (complete stack information if applicable):")</f>
        <v/>
      </c>
      <c r="C107" s="312" t="str">
        <f>IF(AND(B109="",B110="",B111="",B112="",B113=""),"","Stack Height (ft):")</f>
        <v/>
      </c>
      <c r="D107" s="312" t="str">
        <f>IF(AND(B109="",B110="",B111="",B112="",B113=""),"","Stack Diameter (inches):")</f>
        <v/>
      </c>
      <c r="E107" s="312" t="str">
        <f>IF(AND(B109="",B110="",B111="",B112="",B113=""),"","Flow Rate (acfm):")</f>
        <v/>
      </c>
      <c r="F107" s="312" t="str">
        <f>IF(AND(B109="",B110="",B111="",B112="",B113=""),"","Temp (Deg F):")</f>
        <v/>
      </c>
      <c r="G107" s="45"/>
      <c r="H107" s="127" t="str">
        <f t="shared" si="32"/>
        <v/>
      </c>
      <c r="I107" s="127" t="str">
        <f t="shared" si="31"/>
        <v/>
      </c>
      <c r="J107" s="82"/>
      <c r="K107" s="61"/>
      <c r="L107" s="156"/>
      <c r="M107" s="219" t="str">
        <f t="shared" si="33"/>
        <v/>
      </c>
      <c r="N107" s="219" t="str">
        <f t="shared" si="34"/>
        <v/>
      </c>
    </row>
    <row r="108" spans="2:14" ht="14.25" customHeight="1" x14ac:dyDescent="0.2">
      <c r="B108" s="312"/>
      <c r="C108" s="312"/>
      <c r="D108" s="312"/>
      <c r="E108" s="312"/>
      <c r="F108" s="312"/>
      <c r="G108" s="45"/>
      <c r="H108" s="127" t="str">
        <f t="shared" si="32"/>
        <v/>
      </c>
      <c r="I108" s="127" t="str">
        <f t="shared" si="31"/>
        <v/>
      </c>
      <c r="J108" s="82"/>
      <c r="K108" s="61"/>
      <c r="L108" s="156"/>
      <c r="M108" s="219" t="str">
        <f t="shared" si="33"/>
        <v/>
      </c>
      <c r="N108" s="219" t="str">
        <f t="shared" si="34"/>
        <v/>
      </c>
    </row>
    <row r="109" spans="2:14" ht="14.25" customHeight="1" x14ac:dyDescent="0.2">
      <c r="B109" s="45" t="str">
        <f>IF(COUNTIF(J102:J111,"Cement Delivery to Silo")&gt;0,"EP-2 Cement Silo Stack:","")</f>
        <v/>
      </c>
      <c r="C109" s="221"/>
      <c r="D109" s="221"/>
      <c r="E109" s="221"/>
      <c r="F109" s="221"/>
      <c r="G109" s="45"/>
      <c r="H109" s="127" t="str">
        <f t="shared" si="32"/>
        <v/>
      </c>
      <c r="I109" s="127" t="str">
        <f t="shared" si="31"/>
        <v/>
      </c>
      <c r="J109" s="82"/>
      <c r="K109" s="61"/>
      <c r="L109" s="156"/>
      <c r="M109" s="219" t="str">
        <f t="shared" si="33"/>
        <v/>
      </c>
      <c r="N109" s="219" t="str">
        <f t="shared" si="34"/>
        <v/>
      </c>
    </row>
    <row r="110" spans="2:14" ht="14.25" customHeight="1" x14ac:dyDescent="0.2">
      <c r="B110" s="45" t="str">
        <f>IF(COUNTIF(J102:J111,"Cement Supplement Delivery to Silo")&gt;0,"EP-3 Cement Supplement Silo Stack:","")</f>
        <v/>
      </c>
      <c r="C110" s="221"/>
      <c r="D110" s="221"/>
      <c r="E110" s="221"/>
      <c r="F110" s="221"/>
      <c r="G110" s="45"/>
      <c r="H110" s="127" t="str">
        <f t="shared" si="32"/>
        <v/>
      </c>
      <c r="I110" s="127" t="str">
        <f t="shared" si="31"/>
        <v/>
      </c>
      <c r="J110" s="82"/>
      <c r="K110" s="61"/>
      <c r="L110" s="156"/>
      <c r="M110" s="219" t="str">
        <f t="shared" si="33"/>
        <v/>
      </c>
      <c r="N110" s="219" t="str">
        <f t="shared" si="34"/>
        <v/>
      </c>
    </row>
    <row r="111" spans="2:14" ht="14.25" customHeight="1" x14ac:dyDescent="0.2">
      <c r="B111" s="45" t="str">
        <f>IF(COUNTIF(J102:J111,"Weigh Hopper Loading")&gt;0,"EP-4 Weigh Hopper Loading Stack:","")</f>
        <v/>
      </c>
      <c r="C111" s="221"/>
      <c r="D111" s="221"/>
      <c r="E111" s="221"/>
      <c r="F111" s="221"/>
      <c r="G111" s="45"/>
      <c r="H111" s="127" t="str">
        <f t="shared" si="32"/>
        <v/>
      </c>
      <c r="I111" s="127" t="str">
        <f t="shared" si="31"/>
        <v/>
      </c>
      <c r="J111" s="82"/>
      <c r="K111" s="61"/>
      <c r="L111" s="156"/>
      <c r="M111" s="219" t="str">
        <f t="shared" si="33"/>
        <v/>
      </c>
      <c r="N111" s="219" t="str">
        <f t="shared" si="34"/>
        <v/>
      </c>
    </row>
    <row r="112" spans="2:14" ht="14.25" customHeight="1" x14ac:dyDescent="0.2">
      <c r="B112" s="45" t="str">
        <f>IF(COUNTIF(J102:J111,"Truck Mix Loading")&gt;0,"EP-5 Truck Mix Loading Stack:","")</f>
        <v/>
      </c>
      <c r="C112" s="221"/>
      <c r="D112" s="221"/>
      <c r="E112" s="221"/>
      <c r="F112" s="221"/>
      <c r="G112" s="45"/>
      <c r="H112" s="45"/>
      <c r="I112" s="45"/>
    </row>
    <row r="113" spans="2:14" ht="14.25" customHeight="1" x14ac:dyDescent="0.2">
      <c r="B113" s="45" t="str">
        <f>IF(COUNTIF(J102:J111,"Central Mix Loading")&gt;0,"EP-6 Central Mix Loading Stack:","")</f>
        <v/>
      </c>
      <c r="C113" s="221"/>
      <c r="D113" s="221"/>
      <c r="E113" s="221"/>
      <c r="F113" s="221"/>
      <c r="G113" s="45"/>
      <c r="H113" s="74" t="str">
        <f>IF('Concrete Plant (CP-4)'!$D$4&gt;5,"Stock Pile Area","")</f>
        <v/>
      </c>
      <c r="I113" s="74"/>
      <c r="J113" s="75"/>
    </row>
    <row r="114" spans="2:14" ht="14.25" customHeight="1" x14ac:dyDescent="0.2">
      <c r="B114" s="73"/>
      <c r="C114" s="163"/>
      <c r="D114" s="163"/>
      <c r="E114" s="163"/>
      <c r="F114" s="176"/>
      <c r="G114" s="45"/>
      <c r="I114" s="51" t="str">
        <f>IF('Concrete Plant (CP-4)'!$D$4&gt;5,"Emission Unit #","")</f>
        <v/>
      </c>
      <c r="J114" s="80" t="str">
        <f>IF('Concrete Plant (CP-4)'!$D$4&gt;5,"Maximum Storage Area (acres)","")</f>
        <v/>
      </c>
      <c r="K114" s="81" t="str">
        <f>IF('Concrete Plant (CP-4)'!$D$4&gt;5,"Actual Storage Area (acres)","")</f>
        <v/>
      </c>
      <c r="L114" s="80" t="str">
        <f>IF('Concrete Plant (CP-4)'!$D$4&gt;5,"Actual Days in Existence (days)","")</f>
        <v/>
      </c>
      <c r="M114" s="146"/>
      <c r="N114" s="146"/>
    </row>
    <row r="115" spans="2:14" ht="14.25" customHeight="1" x14ac:dyDescent="0.2">
      <c r="B115" s="73"/>
      <c r="C115" s="163"/>
      <c r="D115" s="163"/>
      <c r="E115" s="163"/>
      <c r="F115" s="176"/>
      <c r="G115" s="45"/>
      <c r="I115" s="65"/>
      <c r="J115" s="144"/>
      <c r="K115" s="66"/>
      <c r="L115" s="144"/>
      <c r="M115" s="146"/>
      <c r="N115" s="146"/>
    </row>
    <row r="116" spans="2:14" ht="14.25" customHeight="1" x14ac:dyDescent="0.2">
      <c r="B116" s="73"/>
      <c r="C116" s="163"/>
      <c r="D116" s="163"/>
      <c r="E116" s="163"/>
      <c r="F116" s="176"/>
      <c r="G116" s="45"/>
      <c r="I116" s="139"/>
      <c r="J116" s="125"/>
      <c r="K116" s="125"/>
      <c r="L116" s="125"/>
      <c r="M116" s="146"/>
      <c r="N116" s="146"/>
    </row>
    <row r="117" spans="2:14" ht="27.75" customHeight="1" x14ac:dyDescent="0.25">
      <c r="B117" s="78" t="str">
        <f>IF('Concrete Plant (CP-4)'!$D$4&gt;6,"Batch Plant","")</f>
        <v/>
      </c>
      <c r="C117" s="71" t="str">
        <f>IF('Concrete Plant (CP-4)'!$D$4&gt;6,"Site 7","")</f>
        <v/>
      </c>
      <c r="D117" s="71"/>
      <c r="E117" s="71"/>
      <c r="F117" s="71"/>
      <c r="G117" s="76"/>
      <c r="H117" s="310" t="str">
        <f>IF('Concrete Plant (CP-4)'!$D$4&gt;6,"Emission Point #","")</f>
        <v/>
      </c>
      <c r="I117" s="310" t="str">
        <f>IF('Concrete Plant (CP-4)'!$D$4&gt;6,"Emission     Unit #","")</f>
        <v/>
      </c>
      <c r="J117" s="310" t="str">
        <f>IF('Concrete Plant (CP-4)'!$D$4&gt;6,"Processes","")</f>
        <v/>
      </c>
      <c r="K117" s="311" t="str">
        <f>IF('Concrete Plant (CP-4)'!$D$4&gt;6,"Combined Maximum Hourly Design Rate for all Like Processes (cubic yard/hr)","")</f>
        <v/>
      </c>
      <c r="L117" s="310" t="str">
        <f>IF('Concrete Plant (CP-4)'!$D$4&gt;6,('Facility Information'!G5&amp;" Annual Throughput (cubic yards)"),"")</f>
        <v/>
      </c>
      <c r="M117" s="217"/>
      <c r="N117" s="217"/>
    </row>
    <row r="118" spans="2:14" ht="14.25" customHeight="1" x14ac:dyDescent="0.2">
      <c r="B118" s="79" t="str">
        <f>IF('Concrete Plant (CP-4)'!$D$4&gt;6,"Site Name:","")</f>
        <v/>
      </c>
      <c r="C118" s="349"/>
      <c r="D118" s="356"/>
      <c r="E118" s="357"/>
      <c r="F118" s="175"/>
      <c r="H118" s="127" t="str">
        <f>IF(J118="cement delivery to silo","CP-1 EP-2",IF(J118="cement supplement delivery to silo","CP-1 EP-3",IF(J118="weigh hopper loading","CP-1 EP-4",IF(J118="truck mix loading","CP-1 EP-5",IF(J118="central mix loading","CP-1 EP-6",IF(J118="","","CP-1 EP-1"))))))</f>
        <v/>
      </c>
      <c r="I118" s="127" t="str">
        <f t="shared" ref="I118:I127" si="35">IF(J118="","",IF(J118="aggregate delivery to ground storage","CP-4 EU-1",IF(J118="sand delivery to ground storage","CP-4 EU-2",IF(J118="aggregate transfer to conveyor","CP-4 EU-3",IF(J118="sand transfer to conveyor","CP-4 EU-4",IF(J118="aggregate transfer to elevated storage","CP-4 EU-5",IF(J118="sand transfer to elevated storage","CP-4 EU-6",IF(J118="weigh hopper loading","CP-4 EU-7",IF(J118="central mix loading","CP-4 EU-8",IF(J118="truck mix loading","CP-4 EU-9",IF(J118="cement delivery to silo","CP-4 EU-10",IF(J118="cement supplement delivery to silo","CP-4 EU-11"))))))))))))</f>
        <v/>
      </c>
      <c r="J118" s="82"/>
      <c r="K118" s="61"/>
      <c r="L118" s="156"/>
      <c r="M118" s="219" t="str">
        <f>IF(J118="truck mix loading",IF($F$121="yes",L118*0.05/2000,L118/2000),"")</f>
        <v/>
      </c>
      <c r="N118" s="219" t="str">
        <f>IF(J118="central mix loading",IF($F$121="yes",L118*0.05/2000,L118/2000),"")</f>
        <v/>
      </c>
    </row>
    <row r="119" spans="2:14" ht="14.25" customHeight="1" x14ac:dyDescent="0.2">
      <c r="B119" s="79" t="str">
        <f>IF('Concrete Plant (CP-4)'!$D$4&gt;6,"County:","")</f>
        <v/>
      </c>
      <c r="C119" s="339"/>
      <c r="D119" s="342"/>
      <c r="E119" s="343"/>
      <c r="F119" s="175"/>
      <c r="H119" s="127" t="str">
        <f t="shared" ref="H119:H127" si="36">IF(J119="cement delivery to silo","CP-1 EP-2",IF(J119="cement supplement delivery to silo","CP-1 EP-3",IF(J119="weigh hopper loading","CP-1 EP-4",IF(J119="truck mix loading","CP-1 EP-5",IF(J119="central mix loading","CP-1 EP-6",IF(J119="","","CP-1 EP-1"))))))</f>
        <v/>
      </c>
      <c r="I119" s="127" t="str">
        <f t="shared" si="35"/>
        <v/>
      </c>
      <c r="J119" s="82"/>
      <c r="K119" s="61"/>
      <c r="L119" s="156"/>
      <c r="M119" s="219" t="str">
        <f t="shared" ref="M119:M127" si="37">IF(J119="truck mix loading",IF($F$121="yes",L119*0.05/2000,L119/2000),"")</f>
        <v/>
      </c>
      <c r="N119" s="219" t="str">
        <f t="shared" ref="N119:N127" si="38">IF(J119="central mix loading",IF($F$121="yes",L119*0.05/2000,L119/2000),"")</f>
        <v/>
      </c>
    </row>
    <row r="120" spans="2:14" ht="14.25" customHeight="1" x14ac:dyDescent="0.2">
      <c r="B120" s="79" t="str">
        <f>IF('Concrete Plant (CP-4)'!$D$4&gt;6,"Batching Period (Dates):","")</f>
        <v/>
      </c>
      <c r="C120" s="352"/>
      <c r="D120" s="358"/>
      <c r="E120" s="359"/>
      <c r="F120" s="175"/>
      <c r="H120" s="127" t="str">
        <f t="shared" si="36"/>
        <v/>
      </c>
      <c r="I120" s="127" t="str">
        <f t="shared" si="35"/>
        <v/>
      </c>
      <c r="J120" s="82"/>
      <c r="K120" s="61"/>
      <c r="L120" s="156"/>
      <c r="M120" s="219" t="str">
        <f t="shared" si="37"/>
        <v/>
      </c>
      <c r="N120" s="219" t="str">
        <f t="shared" si="38"/>
        <v/>
      </c>
    </row>
    <row r="121" spans="2:14" ht="14.25" customHeight="1" x14ac:dyDescent="0.2">
      <c r="B121" s="51" t="str">
        <f>IF(OR(COUNTIF(J118:J127,"Truck Mix Loading")&gt;0,(COUNTIF(J118:J127,"Central Mix Loading")&gt;0)),"Is the Central/Truck Mix Loading process controlled by a baghouse?","")</f>
        <v/>
      </c>
      <c r="C121" s="51"/>
      <c r="D121" s="51"/>
      <c r="E121" s="51"/>
      <c r="F121" s="221"/>
      <c r="G121" s="45"/>
      <c r="H121" s="127" t="str">
        <f t="shared" si="36"/>
        <v/>
      </c>
      <c r="I121" s="127" t="str">
        <f t="shared" si="35"/>
        <v/>
      </c>
      <c r="J121" s="82"/>
      <c r="K121" s="61"/>
      <c r="L121" s="156"/>
      <c r="M121" s="219" t="str">
        <f t="shared" si="37"/>
        <v/>
      </c>
      <c r="N121" s="219" t="str">
        <f t="shared" si="38"/>
        <v/>
      </c>
    </row>
    <row r="122" spans="2:14" ht="14.25" customHeight="1" x14ac:dyDescent="0.2">
      <c r="F122" s="177"/>
      <c r="G122" s="45"/>
      <c r="H122" s="127" t="str">
        <f t="shared" si="36"/>
        <v/>
      </c>
      <c r="I122" s="127" t="str">
        <f t="shared" si="35"/>
        <v/>
      </c>
      <c r="J122" s="82"/>
      <c r="K122" s="61"/>
      <c r="L122" s="156"/>
      <c r="M122" s="219" t="str">
        <f t="shared" si="37"/>
        <v/>
      </c>
      <c r="N122" s="219" t="str">
        <f t="shared" si="38"/>
        <v/>
      </c>
    </row>
    <row r="123" spans="2:14" ht="28.5" customHeight="1" x14ac:dyDescent="0.2">
      <c r="B123" s="312" t="str">
        <f>IF(AND(B125="",B126="",B127="",B128="",B129=""),"","Process (complete stack information if applicable):")</f>
        <v/>
      </c>
      <c r="C123" s="312" t="str">
        <f>IF(AND(B125="",B126="",B127="",B128="",B129=""),"","Stack Height (ft):")</f>
        <v/>
      </c>
      <c r="D123" s="312" t="str">
        <f>IF(AND(B125="",B126="",B127="",B128="",B129=""),"","Stack Diameter (inches):")</f>
        <v/>
      </c>
      <c r="E123" s="312" t="str">
        <f>IF(AND(B125="",B126="",B127="",B128="",B129=""),"","Flow Rate (acfm):")</f>
        <v/>
      </c>
      <c r="F123" s="312" t="str">
        <f>IF(AND(B125="",B126="",B127="",B128="",B129=""),"","Temp (Deg F):")</f>
        <v/>
      </c>
      <c r="G123" s="45"/>
      <c r="H123" s="127" t="str">
        <f t="shared" si="36"/>
        <v/>
      </c>
      <c r="I123" s="127" t="str">
        <f t="shared" si="35"/>
        <v/>
      </c>
      <c r="J123" s="82"/>
      <c r="K123" s="61"/>
      <c r="L123" s="156"/>
      <c r="M123" s="219" t="str">
        <f t="shared" si="37"/>
        <v/>
      </c>
      <c r="N123" s="219" t="str">
        <f t="shared" si="38"/>
        <v/>
      </c>
    </row>
    <row r="124" spans="2:14" ht="14.25" customHeight="1" x14ac:dyDescent="0.2">
      <c r="B124" s="312"/>
      <c r="C124" s="312"/>
      <c r="D124" s="312"/>
      <c r="E124" s="312"/>
      <c r="F124" s="312"/>
      <c r="G124" s="45"/>
      <c r="H124" s="127" t="str">
        <f t="shared" si="36"/>
        <v/>
      </c>
      <c r="I124" s="127" t="str">
        <f t="shared" si="35"/>
        <v/>
      </c>
      <c r="J124" s="82"/>
      <c r="K124" s="61"/>
      <c r="L124" s="156"/>
      <c r="M124" s="219" t="str">
        <f t="shared" si="37"/>
        <v/>
      </c>
      <c r="N124" s="219" t="str">
        <f t="shared" si="38"/>
        <v/>
      </c>
    </row>
    <row r="125" spans="2:14" ht="14.25" customHeight="1" x14ac:dyDescent="0.2">
      <c r="B125" s="45" t="str">
        <f>IF(COUNTIF(J118:J127,"Cement Delivery to Silo")&gt;0,"EP-2 Cement Silo Stack:","")</f>
        <v/>
      </c>
      <c r="C125" s="221"/>
      <c r="D125" s="221"/>
      <c r="E125" s="221"/>
      <c r="F125" s="221"/>
      <c r="G125" s="45"/>
      <c r="H125" s="127" t="str">
        <f t="shared" si="36"/>
        <v/>
      </c>
      <c r="I125" s="127" t="str">
        <f t="shared" si="35"/>
        <v/>
      </c>
      <c r="J125" s="82"/>
      <c r="K125" s="61"/>
      <c r="L125" s="156"/>
      <c r="M125" s="219" t="str">
        <f t="shared" si="37"/>
        <v/>
      </c>
      <c r="N125" s="219" t="str">
        <f t="shared" si="38"/>
        <v/>
      </c>
    </row>
    <row r="126" spans="2:14" ht="14.25" customHeight="1" x14ac:dyDescent="0.2">
      <c r="B126" s="45" t="str">
        <f>IF(COUNTIF(J118:J127,"Cement Supplement Delivery to Silo")&gt;0,"EP-3 Cement Supplement Silo Stack:","")</f>
        <v/>
      </c>
      <c r="C126" s="221"/>
      <c r="D126" s="221"/>
      <c r="E126" s="221"/>
      <c r="F126" s="221"/>
      <c r="G126" s="45"/>
      <c r="H126" s="127" t="str">
        <f t="shared" si="36"/>
        <v/>
      </c>
      <c r="I126" s="127" t="str">
        <f t="shared" si="35"/>
        <v/>
      </c>
      <c r="J126" s="82"/>
      <c r="K126" s="61"/>
      <c r="L126" s="156"/>
      <c r="M126" s="219" t="str">
        <f t="shared" si="37"/>
        <v/>
      </c>
      <c r="N126" s="219" t="str">
        <f t="shared" si="38"/>
        <v/>
      </c>
    </row>
    <row r="127" spans="2:14" ht="14.25" customHeight="1" x14ac:dyDescent="0.2">
      <c r="B127" s="45" t="str">
        <f>IF(COUNTIF(J118:J127,"Weigh Hopper Loading")&gt;0,"EP-4 Weigh Hopper Loading Stack:","")</f>
        <v/>
      </c>
      <c r="C127" s="221"/>
      <c r="D127" s="221"/>
      <c r="E127" s="221"/>
      <c r="F127" s="221"/>
      <c r="G127" s="45"/>
      <c r="H127" s="127" t="str">
        <f t="shared" si="36"/>
        <v/>
      </c>
      <c r="I127" s="127" t="str">
        <f t="shared" si="35"/>
        <v/>
      </c>
      <c r="J127" s="82"/>
      <c r="K127" s="61"/>
      <c r="L127" s="156"/>
      <c r="M127" s="219" t="str">
        <f t="shared" si="37"/>
        <v/>
      </c>
      <c r="N127" s="219" t="str">
        <f t="shared" si="38"/>
        <v/>
      </c>
    </row>
    <row r="128" spans="2:14" ht="14.25" customHeight="1" x14ac:dyDescent="0.2">
      <c r="B128" s="45" t="str">
        <f>IF(COUNTIF(J118:J127,"Truck Mix Loading")&gt;0,"EP-5 Truck Mix Loading Stack:","")</f>
        <v/>
      </c>
      <c r="C128" s="221"/>
      <c r="D128" s="221"/>
      <c r="E128" s="221"/>
      <c r="F128" s="221"/>
      <c r="G128" s="45"/>
      <c r="H128" s="45"/>
      <c r="I128" s="45"/>
    </row>
    <row r="129" spans="2:14" ht="14.25" customHeight="1" x14ac:dyDescent="0.2">
      <c r="B129" s="45" t="str">
        <f>IF(COUNTIF(J118:J127,"Central Mix Loading")&gt;0,"EP-6 Central Mix Loading Stack:","")</f>
        <v/>
      </c>
      <c r="C129" s="221"/>
      <c r="D129" s="221"/>
      <c r="E129" s="221"/>
      <c r="F129" s="221"/>
      <c r="G129" s="45"/>
      <c r="H129" s="74" t="str">
        <f>IF('Concrete Plant (CP-4)'!$D$4&gt;6,"Stock Pile Area","")</f>
        <v/>
      </c>
      <c r="I129" s="74"/>
      <c r="J129" s="75"/>
    </row>
    <row r="130" spans="2:14" ht="14.25" customHeight="1" x14ac:dyDescent="0.2">
      <c r="B130" s="73"/>
      <c r="C130" s="163"/>
      <c r="D130" s="163"/>
      <c r="E130" s="163"/>
      <c r="F130" s="176"/>
      <c r="G130" s="45"/>
      <c r="I130" s="51" t="str">
        <f>IF('Concrete Plant (CP-4)'!$D$4&gt;6,"Emission Unit #","")</f>
        <v/>
      </c>
      <c r="J130" s="80" t="str">
        <f>IF('Concrete Plant (CP-4)'!$D$4&gt;6,"Maximum Storage Area (acres)","")</f>
        <v/>
      </c>
      <c r="K130" s="81" t="str">
        <f>IF('Concrete Plant (CP-4)'!$D$4&gt;6,"Actual Storage Area (acres)","")</f>
        <v/>
      </c>
      <c r="L130" s="80" t="str">
        <f>IF('Concrete Plant (CP-4)'!$D$4&gt;6,"Actual Days in Existence (days)","")</f>
        <v/>
      </c>
      <c r="M130" s="146"/>
      <c r="N130" s="146"/>
    </row>
    <row r="131" spans="2:14" ht="14.25" customHeight="1" x14ac:dyDescent="0.2">
      <c r="B131" s="73"/>
      <c r="C131" s="163"/>
      <c r="D131" s="163"/>
      <c r="E131" s="163"/>
      <c r="F131" s="176"/>
      <c r="I131" s="65"/>
      <c r="J131" s="144"/>
      <c r="K131" s="66"/>
      <c r="L131" s="144"/>
      <c r="M131" s="146"/>
      <c r="N131" s="146"/>
    </row>
    <row r="132" spans="2:14" ht="14.25" customHeight="1" x14ac:dyDescent="0.2">
      <c r="B132" s="73"/>
      <c r="C132" s="163"/>
      <c r="D132" s="163"/>
      <c r="E132" s="163"/>
      <c r="F132" s="176"/>
      <c r="G132" s="76"/>
    </row>
    <row r="133" spans="2:14" ht="28.5" customHeight="1" x14ac:dyDescent="0.25">
      <c r="B133" s="78" t="str">
        <f>IF('Concrete Plant (CP-4)'!$D$4&gt;7,"Batch Plant","")</f>
        <v/>
      </c>
      <c r="C133" s="71" t="str">
        <f>IF('Concrete Plant (CP-4)'!$D$4&gt;7,"Site 8","")</f>
        <v/>
      </c>
      <c r="D133" s="71"/>
      <c r="E133" s="71"/>
      <c r="F133" s="71"/>
      <c r="H133" s="310" t="str">
        <f>IF('Concrete Plant (CP-4)'!$D$4&gt;7,"Emission Point #","")</f>
        <v/>
      </c>
      <c r="I133" s="310" t="str">
        <f>IF('Concrete Plant (CP-4)'!$D$4&gt;7,"Emission     Unit #","")</f>
        <v/>
      </c>
      <c r="J133" s="310" t="str">
        <f>IF('Concrete Plant (CP-4)'!$D$4&gt;7,"Processes","")</f>
        <v/>
      </c>
      <c r="K133" s="311" t="str">
        <f>IF('Concrete Plant (CP-4)'!$D$4&gt;7,"Combined Maximum Hourly Design Rate for all Like Processes (cubic yard/hr)","")</f>
        <v/>
      </c>
      <c r="L133" s="310" t="str">
        <f>IF('Concrete Plant (CP-4)'!$D$4&gt;7,('Facility Information'!G5&amp;" Annual Throughput (cubic yards)"),"")</f>
        <v/>
      </c>
      <c r="M133" s="217"/>
      <c r="N133" s="217"/>
    </row>
    <row r="134" spans="2:14" ht="14.25" customHeight="1" x14ac:dyDescent="0.2">
      <c r="B134" s="79" t="str">
        <f>IF('Concrete Plant (CP-4)'!$D$4&gt;7,"Site Name:","")</f>
        <v/>
      </c>
      <c r="C134" s="349"/>
      <c r="D134" s="356"/>
      <c r="E134" s="357"/>
      <c r="F134" s="175"/>
      <c r="H134" s="127" t="str">
        <f>IF(J134="cement delivery to silo","CP-1 EP-2",IF(J134="cement supplement delivery to silo","CP-1 EP-3",IF(J134="weigh hopper loading","CP-1 EP-4",IF(J134="truck mix loading","CP-1 EP-5",IF(J134="central mix loading","CP-1 EP-6",IF(J134="","","CP-1 EP-1"))))))</f>
        <v/>
      </c>
      <c r="I134" s="127" t="str">
        <f t="shared" ref="I134:I143" si="39">IF(J134="","",IF(J134="aggregate delivery to ground storage","CP-4 EU-1",IF(J134="sand delivery to ground storage","CP-4 EU-2",IF(J134="aggregate transfer to conveyor","CP-4 EU-3",IF(J134="sand transfer to conveyor","CP-4 EU-4",IF(J134="aggregate transfer to elevated storage","CP-4 EU-5",IF(J134="sand transfer to elevated storage","CP-4 EU-6",IF(J134="weigh hopper loading","CP-4 EU-7",IF(J134="central mix loading","CP-4 EU-8",IF(J134="truck mix loading","CP-4 EU-9",IF(J134="cement delivery to silo","CP-4 EU-10",IF(J134="cement supplement delivery to silo","CP-4 EU-11"))))))))))))</f>
        <v/>
      </c>
      <c r="J134" s="82"/>
      <c r="K134" s="61"/>
      <c r="L134" s="156"/>
      <c r="M134" s="219" t="str">
        <f>IF(J134="truck mix loading",IF($F$137="yes",L134*0.05/2000,L134/2000),"")</f>
        <v/>
      </c>
      <c r="N134" s="219" t="str">
        <f>IF(J134="central mix loading",IF($F$137="yes",L134*0.05/2000,L134/2000),"")</f>
        <v/>
      </c>
    </row>
    <row r="135" spans="2:14" ht="14.25" customHeight="1" x14ac:dyDescent="0.2">
      <c r="B135" s="79" t="str">
        <f>IF('Concrete Plant (CP-4)'!$D$4&gt;7,"County:","")</f>
        <v/>
      </c>
      <c r="C135" s="339"/>
      <c r="D135" s="342"/>
      <c r="E135" s="343"/>
      <c r="F135" s="175"/>
      <c r="G135" s="45"/>
      <c r="H135" s="127" t="str">
        <f t="shared" ref="H135:H143" si="40">IF(J135="cement delivery to silo","CP-1 EP-2",IF(J135="cement supplement delivery to silo","CP-1 EP-3",IF(J135="weigh hopper loading","CP-1 EP-4",IF(J135="truck mix loading","CP-1 EP-5",IF(J135="central mix loading","CP-1 EP-6",IF(J135="","","CP-1 EP-1"))))))</f>
        <v/>
      </c>
      <c r="I135" s="127" t="str">
        <f t="shared" si="39"/>
        <v/>
      </c>
      <c r="J135" s="82"/>
      <c r="K135" s="61"/>
      <c r="L135" s="156"/>
      <c r="M135" s="219" t="str">
        <f t="shared" ref="M135:M143" si="41">IF(J135="truck mix loading",IF($F$137="yes",L135*0.05/2000,L135/2000),"")</f>
        <v/>
      </c>
      <c r="N135" s="219" t="str">
        <f t="shared" ref="N135:N143" si="42">IF(J135="central mix loading",IF($F$137="yes",L135*0.05/2000,L135/2000),"")</f>
        <v/>
      </c>
    </row>
    <row r="136" spans="2:14" ht="14.25" customHeight="1" x14ac:dyDescent="0.2">
      <c r="B136" s="79" t="str">
        <f>IF('Concrete Plant (CP-4)'!$D$4&gt;7,"Batching Period (Dates):","")</f>
        <v/>
      </c>
      <c r="C136" s="352"/>
      <c r="D136" s="358"/>
      <c r="E136" s="359"/>
      <c r="F136" s="175"/>
      <c r="G136" s="45"/>
      <c r="H136" s="127" t="str">
        <f t="shared" si="40"/>
        <v/>
      </c>
      <c r="I136" s="127" t="str">
        <f t="shared" si="39"/>
        <v/>
      </c>
      <c r="J136" s="82"/>
      <c r="K136" s="61"/>
      <c r="L136" s="156"/>
      <c r="M136" s="219" t="str">
        <f t="shared" si="41"/>
        <v/>
      </c>
      <c r="N136" s="219" t="str">
        <f t="shared" si="42"/>
        <v/>
      </c>
    </row>
    <row r="137" spans="2:14" ht="14.25" customHeight="1" x14ac:dyDescent="0.2">
      <c r="B137" s="51" t="str">
        <f>IF(OR(COUNTIF(J134:J143,"Truck Mix Loading")&gt;0,(COUNTIF(J134:J143,"Central Mix Loading")&gt;0)),"Is the Central/Truck Mix Loading process controlled by a baghouse?","")</f>
        <v/>
      </c>
      <c r="C137" s="51"/>
      <c r="D137" s="51"/>
      <c r="E137" s="51"/>
      <c r="F137" s="221"/>
      <c r="G137" s="45"/>
      <c r="H137" s="127" t="str">
        <f t="shared" si="40"/>
        <v/>
      </c>
      <c r="I137" s="127" t="str">
        <f t="shared" si="39"/>
        <v/>
      </c>
      <c r="J137" s="82"/>
      <c r="K137" s="61"/>
      <c r="L137" s="156"/>
      <c r="M137" s="219" t="str">
        <f t="shared" si="41"/>
        <v/>
      </c>
      <c r="N137" s="219" t="str">
        <f t="shared" si="42"/>
        <v/>
      </c>
    </row>
    <row r="138" spans="2:14" ht="14.25" customHeight="1" x14ac:dyDescent="0.2">
      <c r="F138" s="177"/>
      <c r="G138" s="45"/>
      <c r="H138" s="127" t="str">
        <f t="shared" si="40"/>
        <v/>
      </c>
      <c r="I138" s="127" t="str">
        <f t="shared" si="39"/>
        <v/>
      </c>
      <c r="J138" s="82"/>
      <c r="K138" s="61"/>
      <c r="L138" s="156"/>
      <c r="M138" s="219" t="str">
        <f t="shared" si="41"/>
        <v/>
      </c>
      <c r="N138" s="219" t="str">
        <f t="shared" si="42"/>
        <v/>
      </c>
    </row>
    <row r="139" spans="2:14" ht="27.75" customHeight="1" x14ac:dyDescent="0.2">
      <c r="B139" s="312" t="str">
        <f>IF(AND(B141="",B142="",B143="",B144="",B145=""),"","Process (complete stack information if applicable):")</f>
        <v/>
      </c>
      <c r="C139" s="312" t="str">
        <f>IF(AND(B141="",B142="",B143="",B144="",B145=""),"","Stack Height (ft):")</f>
        <v/>
      </c>
      <c r="D139" s="312" t="str">
        <f>IF(AND(B141="",B142="",B143="",B144="",B145=""),"","Stack Diameter (inches):")</f>
        <v/>
      </c>
      <c r="E139" s="312" t="str">
        <f>IF(AND(B141="",B142="",B143="",B144="",B145=""),"","Flow Rate (acfm):")</f>
        <v/>
      </c>
      <c r="F139" s="312" t="str">
        <f>IF(AND(B141="",B142="",B143="",B144="",B145=""),"","Temp (Deg F):")</f>
        <v/>
      </c>
      <c r="G139" s="45"/>
      <c r="H139" s="127" t="str">
        <f t="shared" si="40"/>
        <v/>
      </c>
      <c r="I139" s="127" t="str">
        <f t="shared" si="39"/>
        <v/>
      </c>
      <c r="J139" s="82"/>
      <c r="K139" s="61"/>
      <c r="L139" s="156"/>
      <c r="M139" s="219" t="str">
        <f t="shared" si="41"/>
        <v/>
      </c>
      <c r="N139" s="219" t="str">
        <f t="shared" si="42"/>
        <v/>
      </c>
    </row>
    <row r="140" spans="2:14" ht="14.25" customHeight="1" x14ac:dyDescent="0.2">
      <c r="B140" s="312"/>
      <c r="C140" s="312"/>
      <c r="D140" s="312"/>
      <c r="E140" s="312"/>
      <c r="F140" s="312"/>
      <c r="G140" s="45"/>
      <c r="H140" s="127" t="str">
        <f t="shared" si="40"/>
        <v/>
      </c>
      <c r="I140" s="127" t="str">
        <f t="shared" si="39"/>
        <v/>
      </c>
      <c r="J140" s="82"/>
      <c r="K140" s="61"/>
      <c r="L140" s="156"/>
      <c r="M140" s="219" t="str">
        <f t="shared" si="41"/>
        <v/>
      </c>
      <c r="N140" s="219" t="str">
        <f t="shared" si="42"/>
        <v/>
      </c>
    </row>
    <row r="141" spans="2:14" ht="14.25" customHeight="1" x14ac:dyDescent="0.2">
      <c r="B141" s="45" t="str">
        <f>IF(COUNTIF(J134:J143,"Cement Delivery to Silo")&gt;0,"EP-2 Cement Silo Stack:","")</f>
        <v/>
      </c>
      <c r="C141" s="221"/>
      <c r="D141" s="221"/>
      <c r="E141" s="221"/>
      <c r="F141" s="221"/>
      <c r="G141" s="45"/>
      <c r="H141" s="127" t="str">
        <f t="shared" si="40"/>
        <v/>
      </c>
      <c r="I141" s="127" t="str">
        <f t="shared" si="39"/>
        <v/>
      </c>
      <c r="J141" s="82"/>
      <c r="K141" s="61"/>
      <c r="L141" s="156"/>
      <c r="M141" s="219" t="str">
        <f t="shared" si="41"/>
        <v/>
      </c>
      <c r="N141" s="219" t="str">
        <f t="shared" si="42"/>
        <v/>
      </c>
    </row>
    <row r="142" spans="2:14" ht="14.25" customHeight="1" x14ac:dyDescent="0.2">
      <c r="B142" s="45" t="str">
        <f>IF(COUNTIF(J134:J143,"Cement Supplement Delivery to Silo")&gt;0,"EP-3 Cement Supplement Silo Stack:","")</f>
        <v/>
      </c>
      <c r="C142" s="221"/>
      <c r="D142" s="221"/>
      <c r="E142" s="221"/>
      <c r="F142" s="221"/>
      <c r="G142" s="45"/>
      <c r="H142" s="127" t="str">
        <f t="shared" si="40"/>
        <v/>
      </c>
      <c r="I142" s="127" t="str">
        <f t="shared" si="39"/>
        <v/>
      </c>
      <c r="J142" s="82"/>
      <c r="K142" s="61"/>
      <c r="L142" s="156"/>
      <c r="M142" s="219" t="str">
        <f t="shared" si="41"/>
        <v/>
      </c>
      <c r="N142" s="219" t="str">
        <f t="shared" si="42"/>
        <v/>
      </c>
    </row>
    <row r="143" spans="2:14" ht="14.25" customHeight="1" x14ac:dyDescent="0.2">
      <c r="B143" s="45" t="str">
        <f>IF(COUNTIF(J134:J143,"Weigh Hopper Loading")&gt;0,"EP-4 Weigh Hopper Loading Stack:","")</f>
        <v/>
      </c>
      <c r="C143" s="221"/>
      <c r="D143" s="221"/>
      <c r="E143" s="221"/>
      <c r="F143" s="221"/>
      <c r="G143" s="45"/>
      <c r="H143" s="127" t="str">
        <f t="shared" si="40"/>
        <v/>
      </c>
      <c r="I143" s="127" t="str">
        <f t="shared" si="39"/>
        <v/>
      </c>
      <c r="J143" s="82"/>
      <c r="K143" s="61"/>
      <c r="L143" s="156"/>
      <c r="M143" s="219" t="str">
        <f t="shared" si="41"/>
        <v/>
      </c>
      <c r="N143" s="219" t="str">
        <f t="shared" si="42"/>
        <v/>
      </c>
    </row>
    <row r="144" spans="2:14" ht="14.25" customHeight="1" x14ac:dyDescent="0.2">
      <c r="B144" s="45" t="str">
        <f>IF(COUNTIF(J134:J143,"Truck Mix Loading")&gt;0,"EP-5 Truck Mix Loading Stack:","")</f>
        <v/>
      </c>
      <c r="C144" s="221"/>
      <c r="D144" s="221"/>
      <c r="E144" s="221"/>
      <c r="F144" s="221"/>
      <c r="G144" s="45"/>
      <c r="H144" s="45"/>
      <c r="I144" s="45"/>
    </row>
    <row r="145" spans="2:14" ht="14.25" customHeight="1" x14ac:dyDescent="0.2">
      <c r="B145" s="45" t="str">
        <f>IF(COUNTIF(J134:J143,"Central Mix Loading")&gt;0,"EP-6 Central Mix Loading Stack:","")</f>
        <v/>
      </c>
      <c r="C145" s="221"/>
      <c r="D145" s="221"/>
      <c r="E145" s="221"/>
      <c r="F145" s="221"/>
      <c r="H145" s="74" t="str">
        <f>IF('Concrete Plant (CP-4)'!$D$4&gt;7,"Stock Pile Area","")</f>
        <v/>
      </c>
      <c r="I145" s="74"/>
      <c r="J145" s="75"/>
    </row>
    <row r="146" spans="2:14" ht="14.25" customHeight="1" x14ac:dyDescent="0.2">
      <c r="B146" s="73"/>
      <c r="C146" s="163"/>
      <c r="D146" s="163"/>
      <c r="E146" s="163"/>
      <c r="F146" s="176"/>
      <c r="G146" s="76"/>
      <c r="I146" s="51" t="str">
        <f>IF('Concrete Plant (CP-4)'!$D$4&gt;7,"Emission Unit #","")</f>
        <v/>
      </c>
      <c r="J146" s="80" t="str">
        <f>IF('Concrete Plant (CP-4)'!$D$4&gt;7,"Maximum Storage Area (acres)","")</f>
        <v/>
      </c>
      <c r="K146" s="81" t="str">
        <f>IF('Concrete Plant (CP-4)'!$D$4&gt;7,"Actual Storage Area (acres)","")</f>
        <v/>
      </c>
      <c r="L146" s="80" t="str">
        <f>IF('Concrete Plant (CP-4)'!$D$4&gt;7,"Actual Days in Existence (days)","")</f>
        <v/>
      </c>
      <c r="M146" s="146"/>
      <c r="N146" s="146"/>
    </row>
    <row r="147" spans="2:14" ht="14.25" customHeight="1" x14ac:dyDescent="0.2">
      <c r="B147" s="73"/>
      <c r="C147" s="163"/>
      <c r="D147" s="163"/>
      <c r="E147" s="163"/>
      <c r="F147" s="176"/>
      <c r="I147" s="65"/>
      <c r="J147" s="144"/>
      <c r="K147" s="66"/>
      <c r="L147" s="144"/>
      <c r="M147" s="146"/>
      <c r="N147" s="146"/>
    </row>
    <row r="148" spans="2:14" ht="14.25" customHeight="1" x14ac:dyDescent="0.2">
      <c r="B148" s="73"/>
      <c r="C148" s="163"/>
      <c r="D148" s="163"/>
      <c r="E148" s="163"/>
      <c r="F148" s="176"/>
    </row>
    <row r="149" spans="2:14" ht="28.5" customHeight="1" x14ac:dyDescent="0.25">
      <c r="B149" s="78" t="str">
        <f>IF('Concrete Plant (CP-4)'!$D$4&gt;8,"Batch Plant","")</f>
        <v/>
      </c>
      <c r="C149" s="71" t="str">
        <f>IF('Concrete Plant (CP-4)'!$D$4&gt;8,"Site 9","")</f>
        <v/>
      </c>
      <c r="D149" s="71"/>
      <c r="E149" s="71"/>
      <c r="F149" s="71"/>
      <c r="H149" s="310" t="str">
        <f>IF('Concrete Plant (CP-4)'!$D$4&gt;8,"Emission Point #","")</f>
        <v/>
      </c>
      <c r="I149" s="310" t="str">
        <f>IF('Concrete Plant (CP-4)'!$D$4&gt;8,"Emission     Unit #","")</f>
        <v/>
      </c>
      <c r="J149" s="310" t="str">
        <f>IF('Concrete Plant (CP-4)'!$D$4&gt;8,"Processes","")</f>
        <v/>
      </c>
      <c r="K149" s="311" t="str">
        <f>IF('Concrete Plant (CP-4)'!$D$4&gt;8,"Combined Maximum Hourly Design Rate for all Like Processes (cubic yard/hr)","")</f>
        <v/>
      </c>
      <c r="L149" s="310" t="str">
        <f>IF('Concrete Plant (CP-4)'!$D$4&gt;8,('Facility Information'!G5&amp;" Annual Throughput (cubic yards)"),"")</f>
        <v/>
      </c>
      <c r="M149" s="217"/>
      <c r="N149" s="217"/>
    </row>
    <row r="150" spans="2:14" ht="14.25" customHeight="1" x14ac:dyDescent="0.2">
      <c r="B150" s="79" t="str">
        <f>IF('Concrete Plant (CP-4)'!$D$4&gt;8,"Site Name:","")</f>
        <v/>
      </c>
      <c r="C150" s="349"/>
      <c r="D150" s="356"/>
      <c r="E150" s="357"/>
      <c r="F150" s="175"/>
      <c r="G150" s="45"/>
      <c r="H150" s="127" t="str">
        <f>IF(J150="cement delivery to silo","CP-1 EP-2",IF(J150="cement supplement delivery to silo","CP-1 EP-3",IF(J150="weigh hopper loading","CP-1 EP-4",IF(J150="truck mix loading","CP-1 EP-5",IF(J150="central mix loading","CP-1 EP-6",IF(J150="","","CP-1 EP-1"))))))</f>
        <v/>
      </c>
      <c r="I150" s="127" t="str">
        <f t="shared" ref="I150:I159" si="43">IF(J150="","",IF(J150="aggregate delivery to ground storage","CP-4 EU-1",IF(J150="sand delivery to ground storage","CP-4 EU-2",IF(J150="aggregate transfer to conveyor","CP-4 EU-3",IF(J150="sand transfer to conveyor","CP-4 EU-4",IF(J150="aggregate transfer to elevated storage","CP-4 EU-5",IF(J150="sand transfer to elevated storage","CP-4 EU-6",IF(J150="weigh hopper loading","CP-4 EU-7",IF(J150="central mix loading","CP-4 EU-8",IF(J150="truck mix loading","CP-4 EU-9",IF(J150="cement delivery to silo","CP-4 EU-10",IF(J150="cement supplement delivery to silo","CP-4 EU-11"))))))))))))</f>
        <v/>
      </c>
      <c r="J150" s="82"/>
      <c r="K150" s="61"/>
      <c r="L150" s="156"/>
      <c r="M150" s="219" t="str">
        <f>IF(J150="truck mix loading",IF($F$153="yes",L150*0.05/2000,L150/2000),"")</f>
        <v/>
      </c>
      <c r="N150" s="219" t="str">
        <f>IF(J150="central mix loading",IF($F$153="yes",L150*0.05/2000,L150/2000),"")</f>
        <v/>
      </c>
    </row>
    <row r="151" spans="2:14" ht="14.25" customHeight="1" x14ac:dyDescent="0.2">
      <c r="B151" s="79" t="str">
        <f>IF('Concrete Plant (CP-4)'!$D$4&gt;8,"County:","")</f>
        <v/>
      </c>
      <c r="C151" s="339"/>
      <c r="D151" s="342"/>
      <c r="E151" s="343"/>
      <c r="F151" s="175"/>
      <c r="G151" s="45"/>
      <c r="H151" s="127" t="str">
        <f t="shared" ref="H151:H159" si="44">IF(J151="cement delivery to silo","CP-1 EP-2",IF(J151="cement supplement delivery to silo","CP-1 EP-3",IF(J151="weigh hopper loading","CP-1 EP-4",IF(J151="truck mix loading","CP-1 EP-5",IF(J151="central mix loading","CP-1 EP-6",IF(J151="","","CP-1 EP-1"))))))</f>
        <v/>
      </c>
      <c r="I151" s="127" t="str">
        <f t="shared" si="43"/>
        <v/>
      </c>
      <c r="J151" s="82"/>
      <c r="K151" s="61"/>
      <c r="L151" s="156"/>
      <c r="M151" s="219" t="str">
        <f t="shared" ref="M151:M159" si="45">IF(J151="truck mix loading",IF($F$153="yes",L151*0.05/2000,L151/2000),"")</f>
        <v/>
      </c>
      <c r="N151" s="219" t="str">
        <f t="shared" ref="N151:N159" si="46">IF(J151="central mix loading",IF($F$153="yes",L151*0.05/2000,L151/2000),"")</f>
        <v/>
      </c>
    </row>
    <row r="152" spans="2:14" ht="14.25" customHeight="1" x14ac:dyDescent="0.2">
      <c r="B152" s="79" t="str">
        <f>IF('Concrete Plant (CP-4)'!$D$4&gt;8,"Batching Period (Dates):","")</f>
        <v/>
      </c>
      <c r="C152" s="352"/>
      <c r="D152" s="358"/>
      <c r="E152" s="359"/>
      <c r="F152" s="175"/>
      <c r="G152" s="45"/>
      <c r="H152" s="127" t="str">
        <f t="shared" si="44"/>
        <v/>
      </c>
      <c r="I152" s="127" t="str">
        <f t="shared" si="43"/>
        <v/>
      </c>
      <c r="J152" s="82"/>
      <c r="K152" s="61"/>
      <c r="L152" s="156"/>
      <c r="M152" s="219" t="str">
        <f t="shared" si="45"/>
        <v/>
      </c>
      <c r="N152" s="219" t="str">
        <f t="shared" si="46"/>
        <v/>
      </c>
    </row>
    <row r="153" spans="2:14" ht="14.25" customHeight="1" x14ac:dyDescent="0.2">
      <c r="B153" s="51" t="str">
        <f>IF(OR(COUNTIF(J150:J159,"Truck Mix Loading")&gt;0,(COUNTIF(J150:J159,"Central Mix Loading")&gt;0)),"Is the Central/Truck Mix Loading process controlled by a baghouse?","")</f>
        <v/>
      </c>
      <c r="C153" s="51"/>
      <c r="D153" s="51"/>
      <c r="E153" s="51"/>
      <c r="F153" s="221"/>
      <c r="G153" s="45"/>
      <c r="H153" s="127" t="str">
        <f t="shared" si="44"/>
        <v/>
      </c>
      <c r="I153" s="127" t="str">
        <f t="shared" si="43"/>
        <v/>
      </c>
      <c r="J153" s="82"/>
      <c r="K153" s="61"/>
      <c r="L153" s="156"/>
      <c r="M153" s="219" t="str">
        <f t="shared" si="45"/>
        <v/>
      </c>
      <c r="N153" s="219" t="str">
        <f t="shared" si="46"/>
        <v/>
      </c>
    </row>
    <row r="154" spans="2:14" ht="14.25" customHeight="1" x14ac:dyDescent="0.2">
      <c r="F154" s="177"/>
      <c r="G154" s="45"/>
      <c r="H154" s="127" t="str">
        <f t="shared" si="44"/>
        <v/>
      </c>
      <c r="I154" s="127" t="str">
        <f t="shared" si="43"/>
        <v/>
      </c>
      <c r="J154" s="82"/>
      <c r="K154" s="61"/>
      <c r="L154" s="156"/>
      <c r="M154" s="219" t="str">
        <f t="shared" si="45"/>
        <v/>
      </c>
      <c r="N154" s="219" t="str">
        <f t="shared" si="46"/>
        <v/>
      </c>
    </row>
    <row r="155" spans="2:14" ht="27.75" customHeight="1" x14ac:dyDescent="0.2">
      <c r="B155" s="312" t="str">
        <f>IF(AND(B157="",B158="",B159="",B160="",B161=""),"","Process (complete stack information if applicable):")</f>
        <v/>
      </c>
      <c r="C155" s="312" t="str">
        <f>IF(AND(B157="",B158="",B159="",B160="",B161=""),"","Stack Height (ft):")</f>
        <v/>
      </c>
      <c r="D155" s="312" t="str">
        <f>IF(AND(B157="",B158="",B159="",B160="",B161=""),"","Stack Diameter (inches):")</f>
        <v/>
      </c>
      <c r="E155" s="312" t="str">
        <f>IF(AND(B157="",B158="",B159="",B160="",B161=""),"","Flow Rate (acfm):")</f>
        <v/>
      </c>
      <c r="F155" s="312" t="str">
        <f>IF(AND(B157="",B158="",B159="",B160="",B161=""),"","Temp (Deg F):")</f>
        <v/>
      </c>
      <c r="G155" s="45"/>
      <c r="H155" s="127" t="str">
        <f t="shared" si="44"/>
        <v/>
      </c>
      <c r="I155" s="127" t="str">
        <f t="shared" si="43"/>
        <v/>
      </c>
      <c r="J155" s="82"/>
      <c r="K155" s="61"/>
      <c r="L155" s="156"/>
      <c r="M155" s="219" t="str">
        <f t="shared" si="45"/>
        <v/>
      </c>
      <c r="N155" s="219" t="str">
        <f t="shared" si="46"/>
        <v/>
      </c>
    </row>
    <row r="156" spans="2:14" ht="14.25" customHeight="1" x14ac:dyDescent="0.2">
      <c r="B156" s="312"/>
      <c r="C156" s="312"/>
      <c r="D156" s="312"/>
      <c r="E156" s="312"/>
      <c r="F156" s="312"/>
      <c r="G156" s="45"/>
      <c r="H156" s="127" t="str">
        <f t="shared" si="44"/>
        <v/>
      </c>
      <c r="I156" s="127" t="str">
        <f t="shared" si="43"/>
        <v/>
      </c>
      <c r="J156" s="82"/>
      <c r="K156" s="61"/>
      <c r="L156" s="156"/>
      <c r="M156" s="219" t="str">
        <f t="shared" si="45"/>
        <v/>
      </c>
      <c r="N156" s="219" t="str">
        <f t="shared" si="46"/>
        <v/>
      </c>
    </row>
    <row r="157" spans="2:14" ht="14.25" customHeight="1" x14ac:dyDescent="0.2">
      <c r="B157" s="45" t="str">
        <f>IF(COUNTIF(J150:J159,"Cement Delivery to Silo")&gt;0,"EP-2 Cement Silo Stack:","")</f>
        <v/>
      </c>
      <c r="C157" s="221"/>
      <c r="D157" s="221"/>
      <c r="E157" s="221"/>
      <c r="F157" s="221"/>
      <c r="G157" s="45"/>
      <c r="H157" s="127" t="str">
        <f t="shared" si="44"/>
        <v/>
      </c>
      <c r="I157" s="127" t="str">
        <f t="shared" si="43"/>
        <v/>
      </c>
      <c r="J157" s="82"/>
      <c r="K157" s="61"/>
      <c r="L157" s="156"/>
      <c r="M157" s="219" t="str">
        <f t="shared" si="45"/>
        <v/>
      </c>
      <c r="N157" s="219" t="str">
        <f t="shared" si="46"/>
        <v/>
      </c>
    </row>
    <row r="158" spans="2:14" ht="14.25" customHeight="1" x14ac:dyDescent="0.2">
      <c r="B158" s="45" t="str">
        <f>IF(COUNTIF(J150:J159,"Cement Supplement Delivery to Silo")&gt;0,"EP-3 Cement Supplement Silo Stack:","")</f>
        <v/>
      </c>
      <c r="C158" s="221"/>
      <c r="D158" s="221"/>
      <c r="E158" s="221"/>
      <c r="F158" s="221"/>
      <c r="G158" s="45"/>
      <c r="H158" s="127" t="str">
        <f t="shared" si="44"/>
        <v/>
      </c>
      <c r="I158" s="127" t="str">
        <f t="shared" si="43"/>
        <v/>
      </c>
      <c r="J158" s="82"/>
      <c r="K158" s="61"/>
      <c r="L158" s="156"/>
      <c r="M158" s="219" t="str">
        <f t="shared" si="45"/>
        <v/>
      </c>
      <c r="N158" s="219" t="str">
        <f t="shared" si="46"/>
        <v/>
      </c>
    </row>
    <row r="159" spans="2:14" ht="14.25" customHeight="1" x14ac:dyDescent="0.2">
      <c r="B159" s="45" t="str">
        <f>IF(COUNTIF(J150:J159,"Weigh Hopper Loading")&gt;0,"EP-4 Weigh Hopper Loading Stack:","")</f>
        <v/>
      </c>
      <c r="C159" s="221"/>
      <c r="D159" s="221"/>
      <c r="E159" s="221"/>
      <c r="F159" s="221"/>
      <c r="H159" s="127" t="str">
        <f t="shared" si="44"/>
        <v/>
      </c>
      <c r="I159" s="127" t="str">
        <f t="shared" si="43"/>
        <v/>
      </c>
      <c r="J159" s="82"/>
      <c r="K159" s="61"/>
      <c r="L159" s="156"/>
      <c r="M159" s="219" t="str">
        <f t="shared" si="45"/>
        <v/>
      </c>
      <c r="N159" s="219" t="str">
        <f t="shared" si="46"/>
        <v/>
      </c>
    </row>
    <row r="160" spans="2:14" ht="14.25" customHeight="1" x14ac:dyDescent="0.2">
      <c r="B160" s="45" t="str">
        <f>IF(COUNTIF(J150:J159,"Truck Mix Loading")&gt;0,"EP-5 Truck Mix Loading Stack:","")</f>
        <v/>
      </c>
      <c r="C160" s="221"/>
      <c r="D160" s="221"/>
      <c r="E160" s="221"/>
      <c r="F160" s="221"/>
      <c r="G160" s="76"/>
      <c r="H160" s="45"/>
      <c r="I160" s="45"/>
    </row>
    <row r="161" spans="2:14" ht="14.25" customHeight="1" x14ac:dyDescent="0.2">
      <c r="B161" s="45" t="str">
        <f>IF(COUNTIF(J150:J159,"Central Mix Loading")&gt;0,"EP-6 Central Mix Loading Stack:","")</f>
        <v/>
      </c>
      <c r="C161" s="221"/>
      <c r="D161" s="221"/>
      <c r="E161" s="221"/>
      <c r="F161" s="221"/>
      <c r="H161" s="74" t="str">
        <f>IF('Concrete Plant (CP-4)'!$D$4&gt;8,"Stock Pile Area","")</f>
        <v/>
      </c>
      <c r="I161" s="74"/>
      <c r="J161" s="75"/>
    </row>
    <row r="162" spans="2:14" ht="14.25" customHeight="1" x14ac:dyDescent="0.2">
      <c r="B162" s="73"/>
      <c r="C162" s="163"/>
      <c r="D162" s="163"/>
      <c r="E162" s="163"/>
      <c r="F162" s="176"/>
      <c r="I162" s="51" t="str">
        <f>IF('Concrete Plant (CP-4)'!$D$4&gt;8,"Emission Unit #","")</f>
        <v/>
      </c>
      <c r="J162" s="80" t="str">
        <f>IF('Concrete Plant (CP-4)'!$D$4&gt;8,"Maximum Storage Area (acres)","")</f>
        <v/>
      </c>
      <c r="K162" s="81" t="str">
        <f>IF('Concrete Plant (CP-4)'!$D$4&gt;8,"Actual Storage Area (acres)","")</f>
        <v/>
      </c>
      <c r="L162" s="80" t="str">
        <f>IF('Concrete Plant (CP-4)'!$D$4&gt;8,"Actual Days in Existence (days)","")</f>
        <v/>
      </c>
      <c r="M162" s="146"/>
      <c r="N162" s="146"/>
    </row>
    <row r="163" spans="2:14" ht="14.25" customHeight="1" x14ac:dyDescent="0.2">
      <c r="B163" s="73"/>
      <c r="C163" s="163"/>
      <c r="D163" s="163"/>
      <c r="E163" s="163"/>
      <c r="F163" s="176"/>
      <c r="I163" s="65"/>
      <c r="J163" s="144"/>
      <c r="K163" s="66"/>
      <c r="L163" s="144"/>
      <c r="M163" s="146"/>
      <c r="N163" s="146"/>
    </row>
    <row r="164" spans="2:14" ht="14.25" customHeight="1" x14ac:dyDescent="0.2">
      <c r="B164" s="73"/>
      <c r="C164" s="163"/>
      <c r="D164" s="163"/>
      <c r="E164" s="163"/>
      <c r="F164" s="176"/>
    </row>
    <row r="165" spans="2:14" ht="32.25" customHeight="1" x14ac:dyDescent="0.25">
      <c r="B165" s="78" t="str">
        <f>IF('Concrete Plant (CP-4)'!$D$4&gt;9,"Batch Plant","")</f>
        <v/>
      </c>
      <c r="C165" s="71" t="str">
        <f>IF('Concrete Plant (CP-4)'!$D$4&gt;9,"Site 10","")</f>
        <v/>
      </c>
      <c r="D165" s="71"/>
      <c r="E165" s="71"/>
      <c r="F165" s="71"/>
      <c r="H165" s="310" t="str">
        <f>IF('Concrete Plant (CP-4)'!$D$4&gt;9,"Emission Point #","")</f>
        <v/>
      </c>
      <c r="I165" s="310" t="str">
        <f>IF('Concrete Plant (CP-4)'!$D$4&gt;9,"Emission     Unit #","")</f>
        <v/>
      </c>
      <c r="J165" s="310" t="str">
        <f>IF('Concrete Plant (CP-4)'!$D$4&gt;9,"Processes","")</f>
        <v/>
      </c>
      <c r="K165" s="311" t="str">
        <f>IF('Concrete Plant (CP-4)'!$D$4&gt;9,"Combined Maximum Hourly Design Rate for all Like Processes (cubic yard/hr)","")</f>
        <v/>
      </c>
      <c r="L165" s="310" t="str">
        <f>IF('Concrete Plant (CP-4)'!$D$4&gt;9,('Facility Information'!G5&amp;" Annual Throughput (cubic yards)"),"")</f>
        <v/>
      </c>
      <c r="M165" s="217"/>
      <c r="N165" s="217"/>
    </row>
    <row r="166" spans="2:14" ht="14.25" customHeight="1" x14ac:dyDescent="0.2">
      <c r="B166" s="79" t="str">
        <f>IF('Concrete Plant (CP-4)'!$D$4&gt;9,"Site Name:","")</f>
        <v/>
      </c>
      <c r="C166" s="349"/>
      <c r="D166" s="356"/>
      <c r="E166" s="357"/>
      <c r="F166" s="175"/>
      <c r="H166" s="127" t="str">
        <f>IF(J166="cement delivery to silo","CP-1 EP-2",IF(J166="cement supplement delivery to silo","CP-1 EP-3",IF(J166="weigh hopper loading","CP-1 EP-4",IF(J166="truck mix loading","CP-1 EP-5",IF(J166="central mix loading","CP-1 EP-6",IF(J166="","","CP-1 EP-1"))))))</f>
        <v/>
      </c>
      <c r="I166" s="127" t="str">
        <f t="shared" ref="I166:I175" si="47">IF(J166="","",IF(J166="aggregate delivery to ground storage","CP-4 EU-1",IF(J166="sand delivery to ground storage","CP-4 EU-2",IF(J166="aggregate transfer to conveyor","CP-4 EU-3",IF(J166="sand transfer to conveyor","CP-4 EU-4",IF(J166="aggregate transfer to elevated storage","CP-4 EU-5",IF(J166="sand transfer to elevated storage","CP-4 EU-6",IF(J166="weigh hopper loading","CP-4 EU-7",IF(J166="central mix loading","CP-4 EU-8",IF(J166="truck mix loading","CP-4 EU-9",IF(J166="cement delivery to silo","CP-4 EU-10",IF(J166="cement supplement delivery to silo","CP-4 EU-11"))))))))))))</f>
        <v/>
      </c>
      <c r="J166" s="82"/>
      <c r="K166" s="61"/>
      <c r="L166" s="156"/>
      <c r="M166" s="219" t="str">
        <f>IF(J166="truck mix loading",IF($F$169="yes",L166*0.05/2000,L166/2000),"")</f>
        <v/>
      </c>
      <c r="N166" s="219" t="str">
        <f>IF(J166="central mix loading",IF($F$169="yes",L166*0.05/2000,L166/2000),"")</f>
        <v/>
      </c>
    </row>
    <row r="167" spans="2:14" ht="14.25" customHeight="1" x14ac:dyDescent="0.2">
      <c r="B167" s="79" t="str">
        <f>IF('Concrete Plant (CP-4)'!$D$4&gt;9,"County:","")</f>
        <v/>
      </c>
      <c r="C167" s="339"/>
      <c r="D167" s="342"/>
      <c r="E167" s="343"/>
      <c r="F167" s="175"/>
      <c r="H167" s="127" t="str">
        <f t="shared" ref="H167:H175" si="48">IF(J167="cement delivery to silo","CP-1 EP-2",IF(J167="cement supplement delivery to silo","CP-1 EP-3",IF(J167="weigh hopper loading","CP-1 EP-4",IF(J167="truck mix loading","CP-1 EP-5",IF(J167="central mix loading","CP-1 EP-6",IF(J167="","","CP-1 EP-1"))))))</f>
        <v/>
      </c>
      <c r="I167" s="127" t="str">
        <f t="shared" si="47"/>
        <v/>
      </c>
      <c r="J167" s="82"/>
      <c r="K167" s="61"/>
      <c r="L167" s="156"/>
      <c r="M167" s="219" t="str">
        <f t="shared" ref="M167:M175" si="49">IF(J167="truck mix loading",IF($F$169="yes",L167*0.05/2000,L167/2000),"")</f>
        <v/>
      </c>
      <c r="N167" s="219" t="str">
        <f t="shared" ref="N167:N175" si="50">IF(J167="central mix loading",IF($F$169="yes",L167*0.05/2000,L167/2000),"")</f>
        <v/>
      </c>
    </row>
    <row r="168" spans="2:14" ht="14.25" customHeight="1" x14ac:dyDescent="0.2">
      <c r="B168" s="79" t="str">
        <f>IF('Concrete Plant (CP-4)'!$D$4&gt;9,"Batching Period (Dates):","")</f>
        <v/>
      </c>
      <c r="C168" s="352"/>
      <c r="D168" s="358"/>
      <c r="E168" s="359"/>
      <c r="F168" s="175"/>
      <c r="H168" s="127" t="str">
        <f t="shared" si="48"/>
        <v/>
      </c>
      <c r="I168" s="127" t="str">
        <f t="shared" si="47"/>
        <v/>
      </c>
      <c r="J168" s="82"/>
      <c r="K168" s="61"/>
      <c r="L168" s="156"/>
      <c r="M168" s="219" t="str">
        <f t="shared" si="49"/>
        <v/>
      </c>
      <c r="N168" s="219" t="str">
        <f t="shared" si="50"/>
        <v/>
      </c>
    </row>
    <row r="169" spans="2:14" ht="14.25" customHeight="1" x14ac:dyDescent="0.2">
      <c r="B169" s="51" t="str">
        <f>IF(OR(COUNTIF(J166:J175,"Truck Mix Loading")&gt;0,(COUNTIF(J166:J175,"Central Mix Loading")&gt;0)),"Is the Central/Truck Mix Loading process controlled by a baghouse?","")</f>
        <v/>
      </c>
      <c r="C169" s="51"/>
      <c r="D169" s="51"/>
      <c r="E169" s="51"/>
      <c r="F169" s="221"/>
      <c r="H169" s="127" t="str">
        <f t="shared" si="48"/>
        <v/>
      </c>
      <c r="I169" s="127" t="str">
        <f t="shared" si="47"/>
        <v/>
      </c>
      <c r="J169" s="82"/>
      <c r="K169" s="61"/>
      <c r="L169" s="156"/>
      <c r="M169" s="219" t="str">
        <f t="shared" si="49"/>
        <v/>
      </c>
      <c r="N169" s="219" t="str">
        <f t="shared" si="50"/>
        <v/>
      </c>
    </row>
    <row r="170" spans="2:14" ht="14.25" customHeight="1" x14ac:dyDescent="0.2">
      <c r="H170" s="127" t="str">
        <f t="shared" si="48"/>
        <v/>
      </c>
      <c r="I170" s="127" t="str">
        <f t="shared" si="47"/>
        <v/>
      </c>
      <c r="J170" s="82"/>
      <c r="K170" s="61"/>
      <c r="L170" s="156"/>
      <c r="M170" s="219" t="str">
        <f t="shared" si="49"/>
        <v/>
      </c>
      <c r="N170" s="219" t="str">
        <f t="shared" si="50"/>
        <v/>
      </c>
    </row>
    <row r="171" spans="2:14" ht="28.5" customHeight="1" x14ac:dyDescent="0.2">
      <c r="B171" s="312" t="str">
        <f>IF(AND(B173="",B174="",B175="",B176="",B177=""),"","Process (complete stack information if applicable):")</f>
        <v/>
      </c>
      <c r="C171" s="312" t="str">
        <f>IF(AND(B173="",B174="",B175="",B176="",B177=""),"","Stack Height (ft):")</f>
        <v/>
      </c>
      <c r="D171" s="312" t="str">
        <f>IF(AND(B173="",B174="",B175="",B176="",B177=""),"","Stack Diameter (inches):")</f>
        <v/>
      </c>
      <c r="E171" s="312" t="str">
        <f>IF(AND(B173="",B174="",B175="",B176="",B177=""),"","Flow Rate (acfm):")</f>
        <v/>
      </c>
      <c r="F171" s="312" t="str">
        <f>IF(AND(B173="",B174="",B175="",B176="",B177=""),"","Temp (Deg F):")</f>
        <v/>
      </c>
      <c r="H171" s="127" t="str">
        <f t="shared" si="48"/>
        <v/>
      </c>
      <c r="I171" s="127" t="str">
        <f t="shared" si="47"/>
        <v/>
      </c>
      <c r="J171" s="82"/>
      <c r="K171" s="61"/>
      <c r="L171" s="156"/>
      <c r="M171" s="219" t="str">
        <f t="shared" si="49"/>
        <v/>
      </c>
      <c r="N171" s="219" t="str">
        <f t="shared" si="50"/>
        <v/>
      </c>
    </row>
    <row r="172" spans="2:14" ht="14.25" customHeight="1" x14ac:dyDescent="0.2">
      <c r="B172" s="312"/>
      <c r="C172" s="312"/>
      <c r="D172" s="312"/>
      <c r="E172" s="312"/>
      <c r="F172" s="312"/>
      <c r="H172" s="127" t="str">
        <f t="shared" si="48"/>
        <v/>
      </c>
      <c r="I172" s="127" t="str">
        <f t="shared" si="47"/>
        <v/>
      </c>
      <c r="J172" s="82"/>
      <c r="K172" s="61"/>
      <c r="L172" s="156"/>
      <c r="M172" s="219" t="str">
        <f t="shared" si="49"/>
        <v/>
      </c>
      <c r="N172" s="219" t="str">
        <f t="shared" si="50"/>
        <v/>
      </c>
    </row>
    <row r="173" spans="2:14" ht="14.25" customHeight="1" x14ac:dyDescent="0.2">
      <c r="B173" s="45" t="str">
        <f>IF(COUNTIF(J166:J175,"Cement Delivery to Silo")&gt;0,"EP-2 Cement Silo Stack:","")</f>
        <v/>
      </c>
      <c r="C173" s="221"/>
      <c r="D173" s="221"/>
      <c r="E173" s="221"/>
      <c r="F173" s="221"/>
      <c r="H173" s="127" t="str">
        <f t="shared" si="48"/>
        <v/>
      </c>
      <c r="I173" s="127" t="str">
        <f t="shared" si="47"/>
        <v/>
      </c>
      <c r="J173" s="82"/>
      <c r="K173" s="61"/>
      <c r="L173" s="156"/>
      <c r="M173" s="219" t="str">
        <f t="shared" si="49"/>
        <v/>
      </c>
      <c r="N173" s="219" t="str">
        <f t="shared" si="50"/>
        <v/>
      </c>
    </row>
    <row r="174" spans="2:14" ht="14.25" customHeight="1" x14ac:dyDescent="0.2">
      <c r="B174" s="45" t="str">
        <f>IF(COUNTIF(J166:J175,"Cement Supplement Delivery to Silo")&gt;0,"EP-3 Cement Supplement Silo Stack:","")</f>
        <v/>
      </c>
      <c r="C174" s="221"/>
      <c r="D174" s="221"/>
      <c r="E174" s="221"/>
      <c r="F174" s="221"/>
      <c r="H174" s="127" t="str">
        <f t="shared" si="48"/>
        <v/>
      </c>
      <c r="I174" s="127" t="str">
        <f t="shared" si="47"/>
        <v/>
      </c>
      <c r="J174" s="82"/>
      <c r="K174" s="61"/>
      <c r="L174" s="156"/>
      <c r="M174" s="219" t="str">
        <f t="shared" si="49"/>
        <v/>
      </c>
      <c r="N174" s="219" t="str">
        <f t="shared" si="50"/>
        <v/>
      </c>
    </row>
    <row r="175" spans="2:14" ht="14.25" customHeight="1" x14ac:dyDescent="0.2">
      <c r="B175" s="45" t="str">
        <f>IF(COUNTIF(J166:J175,"Weigh Hopper Loading")&gt;0,"EP-4 Weigh Hopper Loading Stack:","")</f>
        <v/>
      </c>
      <c r="C175" s="221"/>
      <c r="D175" s="221"/>
      <c r="E175" s="221"/>
      <c r="F175" s="221"/>
      <c r="H175" s="127" t="str">
        <f t="shared" si="48"/>
        <v/>
      </c>
      <c r="I175" s="127" t="str">
        <f t="shared" si="47"/>
        <v/>
      </c>
      <c r="J175" s="82"/>
      <c r="K175" s="61"/>
      <c r="L175" s="156"/>
      <c r="M175" s="219" t="str">
        <f t="shared" si="49"/>
        <v/>
      </c>
      <c r="N175" s="219" t="str">
        <f t="shared" si="50"/>
        <v/>
      </c>
    </row>
    <row r="176" spans="2:14" ht="14.25" customHeight="1" x14ac:dyDescent="0.2">
      <c r="B176" s="45" t="str">
        <f>IF(COUNTIF(J166:J175,"Truck Mix Loading")&gt;0,"EP-5 Truck Mix Loading Stack:","")</f>
        <v/>
      </c>
      <c r="C176" s="221"/>
      <c r="D176" s="221"/>
      <c r="E176" s="221"/>
      <c r="F176" s="221"/>
      <c r="H176" s="45"/>
      <c r="I176" s="45"/>
    </row>
    <row r="177" spans="2:14" ht="14.25" customHeight="1" x14ac:dyDescent="0.2">
      <c r="B177" s="45" t="str">
        <f>IF(COUNTIF(J166:J175,"Central Mix Loading")&gt;0,"EP-6 Central Mix Loading Stack:","")</f>
        <v/>
      </c>
      <c r="C177" s="221"/>
      <c r="D177" s="221"/>
      <c r="E177" s="221"/>
      <c r="F177" s="221"/>
      <c r="H177" s="74" t="str">
        <f>IF('Concrete Plant (CP-4)'!$D$4&gt;9,"Stock Pile Area","")</f>
        <v/>
      </c>
      <c r="I177" s="74"/>
      <c r="J177" s="74"/>
      <c r="K177" s="76"/>
      <c r="L177" s="76"/>
      <c r="M177" s="71"/>
      <c r="N177" s="71"/>
    </row>
    <row r="178" spans="2:14" ht="14.25" customHeight="1" x14ac:dyDescent="0.2">
      <c r="B178" s="73"/>
      <c r="C178" s="163"/>
      <c r="D178" s="163"/>
      <c r="E178" s="163"/>
      <c r="F178" s="163"/>
      <c r="I178" s="51" t="str">
        <f>IF('Concrete Plant (CP-4)'!$D$4&gt;9,"Emission Unit #","")</f>
        <v/>
      </c>
      <c r="J178" s="140" t="str">
        <f>IF('Concrete Plant (CP-4)'!$D$4&gt;9,"Maximum Storage Area (acres)","")</f>
        <v/>
      </c>
      <c r="K178" s="81" t="str">
        <f>IF('Concrete Plant (CP-4)'!$D$4&gt;9,"Actual Storage Area (acres)","")</f>
        <v/>
      </c>
      <c r="L178" s="140" t="str">
        <f>IF('Concrete Plant (CP-4)'!$D$4&gt;9,"Actual Days in Existence (days)","")</f>
        <v/>
      </c>
      <c r="M178" s="146"/>
      <c r="N178" s="146"/>
    </row>
    <row r="179" spans="2:14" ht="14.25" customHeight="1" x14ac:dyDescent="0.2">
      <c r="B179" s="73"/>
      <c r="C179" s="163"/>
      <c r="D179" s="163"/>
      <c r="E179" s="163"/>
      <c r="F179" s="163"/>
      <c r="I179" s="65"/>
      <c r="J179" s="144"/>
      <c r="K179" s="66"/>
      <c r="L179" s="144"/>
      <c r="M179" s="146"/>
      <c r="N179" s="146"/>
    </row>
    <row r="180" spans="2:14" ht="14.25" customHeight="1" x14ac:dyDescent="0.2">
      <c r="B180" s="73"/>
      <c r="C180" s="163"/>
      <c r="D180" s="163"/>
      <c r="E180" s="163"/>
      <c r="F180" s="163"/>
    </row>
    <row r="181" spans="2:14" ht="14.25" customHeight="1" x14ac:dyDescent="0.2">
      <c r="M181" s="220">
        <f>SUM(M166:M175,M150:M159,M134:M143,M118:M127,M102:M111,M86:M95,M70:M79,M54:M63,M38:M47,M21:M30)</f>
        <v>0</v>
      </c>
      <c r="N181" s="220">
        <f>SUM(N166:N175,N150:N159,N134:N143,N118:N127,N102:N111,N86:N95,N70:N79,N54:N63,N38:N47,N21:N30)</f>
        <v>0</v>
      </c>
    </row>
  </sheetData>
  <sheetProtection algorithmName="SHA-512" hashValue="RgeN81RNlSDmcnaQQZZGHne8Jb0HX35uFTq7wgUzhC00pB8a8/B1yDPAK4n24wMs79EBeACznPWKTQt2Cp5RTg==" saltValue="1TlH8tQAk1rZMNqfCNe2ew==" spinCount="100000" sheet="1" objects="1" scenarios="1"/>
  <conditionalFormatting sqref="I49:L49 B38:B40 B54:B56 B70:B72 B86:B88 B102:B104 B118:B120 B134:B136 B150:B152 B166:B168">
    <cfRule type="notContainsBlanks" dxfId="1461" priority="246" stopIfTrue="1">
      <formula>LEN(TRIM(B38))&gt;0</formula>
    </cfRule>
  </conditionalFormatting>
  <conditionalFormatting sqref="B37:F37">
    <cfRule type="notContainsBlanks" dxfId="1460" priority="247" stopIfTrue="1">
      <formula>LEN(TRIM(B37))&gt;0</formula>
    </cfRule>
  </conditionalFormatting>
  <conditionalFormatting sqref="I66:L66">
    <cfRule type="notContainsBlanks" dxfId="1459" priority="245" stopIfTrue="1">
      <formula>LEN(TRIM(I66))&gt;0</formula>
    </cfRule>
  </conditionalFormatting>
  <conditionalFormatting sqref="B53:F53">
    <cfRule type="notContainsBlanks" dxfId="1458" priority="248" stopIfTrue="1">
      <formula>LEN(TRIM(B53))&gt;0</formula>
    </cfRule>
  </conditionalFormatting>
  <conditionalFormatting sqref="I82:L82">
    <cfRule type="notContainsBlanks" dxfId="1457" priority="242" stopIfTrue="1">
      <formula>LEN(TRIM(I82))&gt;0</formula>
    </cfRule>
  </conditionalFormatting>
  <conditionalFormatting sqref="B69:F69">
    <cfRule type="notContainsBlanks" dxfId="1456" priority="243" stopIfTrue="1">
      <formula>LEN(TRIM(B69))&gt;0</formula>
    </cfRule>
  </conditionalFormatting>
  <conditionalFormatting sqref="I98:L98">
    <cfRule type="notContainsBlanks" dxfId="1455" priority="240" stopIfTrue="1">
      <formula>LEN(TRIM(I98))&gt;0</formula>
    </cfRule>
  </conditionalFormatting>
  <conditionalFormatting sqref="B85:F85">
    <cfRule type="notContainsBlanks" dxfId="1454" priority="241" stopIfTrue="1">
      <formula>LEN(TRIM(B85))&gt;0</formula>
    </cfRule>
  </conditionalFormatting>
  <conditionalFormatting sqref="I114:L114">
    <cfRule type="notContainsBlanks" dxfId="1453" priority="238" stopIfTrue="1">
      <formula>LEN(TRIM(I114))&gt;0</formula>
    </cfRule>
  </conditionalFormatting>
  <conditionalFormatting sqref="B101:F101">
    <cfRule type="notContainsBlanks" dxfId="1452" priority="239" stopIfTrue="1">
      <formula>LEN(TRIM(B101))&gt;0</formula>
    </cfRule>
  </conditionalFormatting>
  <conditionalFormatting sqref="I130:L130">
    <cfRule type="notContainsBlanks" dxfId="1451" priority="236" stopIfTrue="1">
      <formula>LEN(TRIM(I130))&gt;0</formula>
    </cfRule>
  </conditionalFormatting>
  <conditionalFormatting sqref="B117:F117">
    <cfRule type="notContainsBlanks" dxfId="1450" priority="237" stopIfTrue="1">
      <formula>LEN(TRIM(B117))&gt;0</formula>
    </cfRule>
  </conditionalFormatting>
  <conditionalFormatting sqref="I146:L146">
    <cfRule type="notContainsBlanks" dxfId="1449" priority="234" stopIfTrue="1">
      <formula>LEN(TRIM(I146))&gt;0</formula>
    </cfRule>
  </conditionalFormatting>
  <conditionalFormatting sqref="B133:F133">
    <cfRule type="notContainsBlanks" dxfId="1448" priority="235" stopIfTrue="1">
      <formula>LEN(TRIM(B133))&gt;0</formula>
    </cfRule>
  </conditionalFormatting>
  <conditionalFormatting sqref="I162:L162">
    <cfRule type="notContainsBlanks" dxfId="1447" priority="232" stopIfTrue="1">
      <formula>LEN(TRIM(I162))&gt;0</formula>
    </cfRule>
  </conditionalFormatting>
  <conditionalFormatting sqref="B149:F149">
    <cfRule type="notContainsBlanks" dxfId="1446" priority="233" stopIfTrue="1">
      <formula>LEN(TRIM(B149))&gt;0</formula>
    </cfRule>
  </conditionalFormatting>
  <conditionalFormatting sqref="I178:L178">
    <cfRule type="notContainsBlanks" dxfId="1445" priority="231" stopIfTrue="1">
      <formula>LEN(TRIM(I178))&gt;0</formula>
    </cfRule>
  </conditionalFormatting>
  <conditionalFormatting sqref="I66:L67 H53 H64:L65 K55:L61 J55:J63 B58:F58 G50:G61 J53:L54 B53:F56">
    <cfRule type="cellIs" dxfId="1444" priority="244" stopIfTrue="1" operator="equal">
      <formula>$B$53="batch plant"</formula>
    </cfRule>
  </conditionalFormatting>
  <conditionalFormatting sqref="I82:L83 H69 H80:L81 K71:L77 J71:J79 G64:G75 J69:L70 B69:F72">
    <cfRule type="cellIs" dxfId="1443" priority="249" stopIfTrue="1" operator="equal">
      <formula>$B$69="batch plant"</formula>
    </cfRule>
  </conditionalFormatting>
  <conditionalFormatting sqref="I98:L99 H85 H96:L97 K87:L93 J87:J95 G78:G89 J85:L86 B85:F88">
    <cfRule type="cellIs" dxfId="1442" priority="250" stopIfTrue="1" operator="equal">
      <formula>$B$85="batch plant"</formula>
    </cfRule>
  </conditionalFormatting>
  <conditionalFormatting sqref="I114:L115 H112:L113 H100:H101 K103:L109 J103:J111 B106:F106 G92:G103 J101:L102 B101:F104">
    <cfRule type="cellIs" dxfId="1441" priority="251" stopIfTrue="1" operator="equal">
      <formula>$B$101="batch plant"</formula>
    </cfRule>
  </conditionalFormatting>
  <conditionalFormatting sqref="I130:L131 H117 G106:G117 H128:L129 K119:L125 J119:J127 J117:L118 B117:F120">
    <cfRule type="cellIs" dxfId="1440" priority="252" stopIfTrue="1" operator="equal">
      <formula>$B$117="batch plant"</formula>
    </cfRule>
  </conditionalFormatting>
  <conditionalFormatting sqref="I146:L147 H133 G120:G132 H144:L145 K135:L141 J135:J143 J133:L134 B133:F136">
    <cfRule type="cellIs" dxfId="1439" priority="253" stopIfTrue="1" operator="equal">
      <formula>$B$133="batch plant"</formula>
    </cfRule>
  </conditionalFormatting>
  <conditionalFormatting sqref="I162:L163 H149 G134:G147 H160:L161 K151:L157 J151:J159 J149:L150 B149:F152">
    <cfRule type="cellIs" dxfId="1438" priority="254" stopIfTrue="1" operator="equal">
      <formula>$B$149="batch plant"</formula>
    </cfRule>
  </conditionalFormatting>
  <conditionalFormatting sqref="I37">
    <cfRule type="cellIs" dxfId="1437" priority="230" stopIfTrue="1" operator="equal">
      <formula>$B$37="crusher plant"</formula>
    </cfRule>
  </conditionalFormatting>
  <conditionalFormatting sqref="I53">
    <cfRule type="cellIs" dxfId="1436" priority="229" stopIfTrue="1" operator="equal">
      <formula>$B$37="crusher plant"</formula>
    </cfRule>
  </conditionalFormatting>
  <conditionalFormatting sqref="I69">
    <cfRule type="cellIs" dxfId="1435" priority="228" stopIfTrue="1" operator="equal">
      <formula>$B$37="crusher plant"</formula>
    </cfRule>
  </conditionalFormatting>
  <conditionalFormatting sqref="I85">
    <cfRule type="cellIs" dxfId="1434" priority="227" stopIfTrue="1" operator="equal">
      <formula>$B$37="crusher plant"</formula>
    </cfRule>
  </conditionalFormatting>
  <conditionalFormatting sqref="I101">
    <cfRule type="cellIs" dxfId="1433" priority="226" stopIfTrue="1" operator="equal">
      <formula>$B$37="crusher plant"</formula>
    </cfRule>
  </conditionalFormatting>
  <conditionalFormatting sqref="I117">
    <cfRule type="cellIs" dxfId="1432" priority="225" stopIfTrue="1" operator="equal">
      <formula>$B$37="crusher plant"</formula>
    </cfRule>
  </conditionalFormatting>
  <conditionalFormatting sqref="I133">
    <cfRule type="cellIs" dxfId="1431" priority="224" stopIfTrue="1" operator="equal">
      <formula>$B$37="crusher plant"</formula>
    </cfRule>
  </conditionalFormatting>
  <conditionalFormatting sqref="I149">
    <cfRule type="cellIs" dxfId="1430" priority="223" stopIfTrue="1" operator="equal">
      <formula>$B$37="crusher plant"</formula>
    </cfRule>
  </conditionalFormatting>
  <conditionalFormatting sqref="I165">
    <cfRule type="cellIs" dxfId="1429" priority="222" stopIfTrue="1" operator="equal">
      <formula>$B$37="crusher plant"</formula>
    </cfRule>
  </conditionalFormatting>
  <conditionalFormatting sqref="I21:I30">
    <cfRule type="notContainsBlanks" dxfId="1428" priority="221">
      <formula>LEN(TRIM(I21))&gt;0</formula>
    </cfRule>
  </conditionalFormatting>
  <conditionalFormatting sqref="I38:I47">
    <cfRule type="expression" dxfId="1427" priority="220">
      <formula>$B$37="batch plant"</formula>
    </cfRule>
  </conditionalFormatting>
  <conditionalFormatting sqref="I54:I63">
    <cfRule type="expression" dxfId="1426" priority="219">
      <formula>$B$53="batch plant"</formula>
    </cfRule>
  </conditionalFormatting>
  <conditionalFormatting sqref="I70:I79">
    <cfRule type="expression" dxfId="1425" priority="218">
      <formula>$B$69="batch plant"</formula>
    </cfRule>
  </conditionalFormatting>
  <conditionalFormatting sqref="I86:I95">
    <cfRule type="expression" dxfId="1424" priority="217">
      <formula>$B$85="batch plant"</formula>
    </cfRule>
  </conditionalFormatting>
  <conditionalFormatting sqref="I102:I111">
    <cfRule type="expression" dxfId="1423" priority="216">
      <formula>$B$101="batch plant"</formula>
    </cfRule>
  </conditionalFormatting>
  <conditionalFormatting sqref="I118:I127">
    <cfRule type="expression" dxfId="1422" priority="215">
      <formula>$B$117="batch plant"</formula>
    </cfRule>
  </conditionalFormatting>
  <conditionalFormatting sqref="I134:I143">
    <cfRule type="expression" dxfId="1421" priority="214">
      <formula>$B$133="batch plant"</formula>
    </cfRule>
  </conditionalFormatting>
  <conditionalFormatting sqref="I150:I159">
    <cfRule type="expression" dxfId="1420" priority="213">
      <formula>$B$149="batch plant"</formula>
    </cfRule>
  </conditionalFormatting>
  <conditionalFormatting sqref="I166:I175">
    <cfRule type="expression" dxfId="1419" priority="212">
      <formula>$B$165="batch plant"</formula>
    </cfRule>
  </conditionalFormatting>
  <conditionalFormatting sqref="J38:L47 I50:L50 C38:F40">
    <cfRule type="cellIs" dxfId="1418" priority="204" operator="equal">
      <formula>$B$37="batch plant"</formula>
    </cfRule>
  </conditionalFormatting>
  <conditionalFormatting sqref="K62:L63">
    <cfRule type="cellIs" dxfId="1417" priority="203" stopIfTrue="1" operator="equal">
      <formula>$B$53="batch plant"</formula>
    </cfRule>
  </conditionalFormatting>
  <conditionalFormatting sqref="K78:L79">
    <cfRule type="cellIs" dxfId="1416" priority="197" stopIfTrue="1" operator="equal">
      <formula>$B$69="batch plant"</formula>
    </cfRule>
  </conditionalFormatting>
  <conditionalFormatting sqref="K94:L95">
    <cfRule type="cellIs" dxfId="1415" priority="191" stopIfTrue="1" operator="equal">
      <formula>$B$85="batch plant"</formula>
    </cfRule>
  </conditionalFormatting>
  <conditionalFormatting sqref="K110:L111">
    <cfRule type="cellIs" dxfId="1414" priority="185" stopIfTrue="1" operator="equal">
      <formula>$B$101="batch plant"</formula>
    </cfRule>
  </conditionalFormatting>
  <conditionalFormatting sqref="K126:L127">
    <cfRule type="cellIs" dxfId="1413" priority="180" stopIfTrue="1" operator="equal">
      <formula>$B$117="batch plant"</formula>
    </cfRule>
  </conditionalFormatting>
  <conditionalFormatting sqref="K142:L143">
    <cfRule type="cellIs" dxfId="1412" priority="172" stopIfTrue="1" operator="equal">
      <formula>$B$133="batch plant"</formula>
    </cfRule>
  </conditionalFormatting>
  <conditionalFormatting sqref="K158:L159">
    <cfRule type="cellIs" dxfId="1411" priority="166" stopIfTrue="1" operator="equal">
      <formula>$B$149="batch plant"</formula>
    </cfRule>
  </conditionalFormatting>
  <conditionalFormatting sqref="B165:F165">
    <cfRule type="notContainsBlanks" dxfId="1410" priority="256" stopIfTrue="1">
      <formula>LEN(TRIM(B165))&gt;0</formula>
    </cfRule>
  </conditionalFormatting>
  <conditionalFormatting sqref="B165:F165">
    <cfRule type="cellIs" dxfId="1409" priority="155" stopIfTrue="1" operator="equal">
      <formula>$B$149="batch plant"</formula>
    </cfRule>
  </conditionalFormatting>
  <conditionalFormatting sqref="J166:L166 J175:L175 K167:L173 J167:J174 F166:F168">
    <cfRule type="cellIs" dxfId="1408" priority="154" stopIfTrue="1" operator="equal">
      <formula>$B$165="batch plant"</formula>
    </cfRule>
  </conditionalFormatting>
  <conditionalFormatting sqref="K174:L174">
    <cfRule type="cellIs" dxfId="1407" priority="153" stopIfTrue="1" operator="equal">
      <formula>$B$165="batch plant"</formula>
    </cfRule>
  </conditionalFormatting>
  <conditionalFormatting sqref="I179:L179">
    <cfRule type="cellIs" dxfId="1406" priority="152" stopIfTrue="1" operator="equal">
      <formula>$B$165="batch plant"</formula>
    </cfRule>
  </conditionalFormatting>
  <conditionalFormatting sqref="C166:E168">
    <cfRule type="cellIs" dxfId="1405" priority="151" stopIfTrue="1" operator="equal">
      <formula>$B$165="batch plant"</formula>
    </cfRule>
  </conditionalFormatting>
  <conditionalFormatting sqref="B29:B32">
    <cfRule type="notContainsBlanks" dxfId="1404" priority="146">
      <formula>LEN(TRIM(B29))&gt;0</formula>
    </cfRule>
  </conditionalFormatting>
  <conditionalFormatting sqref="B28">
    <cfRule type="notContainsBlanks" dxfId="1403" priority="145">
      <formula>LEN(TRIM(B28))&gt;0</formula>
    </cfRule>
  </conditionalFormatting>
  <conditionalFormatting sqref="C28:F28">
    <cfRule type="cellIs" dxfId="1402" priority="144" operator="equal">
      <formula>$B$28=""</formula>
    </cfRule>
  </conditionalFormatting>
  <conditionalFormatting sqref="C29:F29">
    <cfRule type="cellIs" dxfId="1401" priority="143" operator="equal">
      <formula>$B$29=""</formula>
    </cfRule>
  </conditionalFormatting>
  <conditionalFormatting sqref="C31:F31">
    <cfRule type="cellIs" dxfId="1400" priority="142" operator="equal">
      <formula>$B$31=""</formula>
    </cfRule>
  </conditionalFormatting>
  <conditionalFormatting sqref="C26:F27">
    <cfRule type="notContainsBlanks" dxfId="1399" priority="147">
      <formula>LEN(TRIM(C26))&gt;0</formula>
    </cfRule>
  </conditionalFormatting>
  <conditionalFormatting sqref="B26:B27">
    <cfRule type="notContainsBlanks" dxfId="1398" priority="141">
      <formula>LEN(TRIM(B26))&gt;0</formula>
    </cfRule>
  </conditionalFormatting>
  <conditionalFormatting sqref="C28:F32">
    <cfRule type="notContainsBlanks" dxfId="1397" priority="140">
      <formula>LEN(TRIM(C28))&gt;0</formula>
    </cfRule>
  </conditionalFormatting>
  <conditionalFormatting sqref="C32:F32">
    <cfRule type="cellIs" dxfId="1396" priority="148" operator="equal">
      <formula>$B$32=""</formula>
    </cfRule>
  </conditionalFormatting>
  <conditionalFormatting sqref="C30:F30">
    <cfRule type="cellIs" dxfId="1395" priority="149" operator="equal">
      <formula>$B$30=""</formula>
    </cfRule>
  </conditionalFormatting>
  <conditionalFormatting sqref="B43:F44">
    <cfRule type="notContainsBlanks" dxfId="1394" priority="139">
      <formula>LEN(TRIM(B43))&gt;0</formula>
    </cfRule>
  </conditionalFormatting>
  <conditionalFormatting sqref="C45:F45">
    <cfRule type="cellIs" dxfId="1393" priority="138" operator="equal">
      <formula>$B$45=""</formula>
    </cfRule>
  </conditionalFormatting>
  <conditionalFormatting sqref="C46:F46">
    <cfRule type="cellIs" dxfId="1392" priority="137" operator="equal">
      <formula>$B$46=""</formula>
    </cfRule>
  </conditionalFormatting>
  <conditionalFormatting sqref="C47:F47">
    <cfRule type="cellIs" dxfId="1391" priority="136" operator="equal">
      <formula>$B$47=""</formula>
    </cfRule>
  </conditionalFormatting>
  <conditionalFormatting sqref="C48:F48">
    <cfRule type="cellIs" dxfId="1390" priority="135" operator="equal">
      <formula>$B$48=""</formula>
    </cfRule>
  </conditionalFormatting>
  <conditionalFormatting sqref="C49:F49">
    <cfRule type="cellIs" dxfId="1389" priority="134" operator="equal">
      <formula>$B$49=""</formula>
    </cfRule>
  </conditionalFormatting>
  <conditionalFormatting sqref="C45:F49">
    <cfRule type="notContainsBlanks" dxfId="1388" priority="133">
      <formula>LEN(TRIM(C45))&gt;0</formula>
    </cfRule>
  </conditionalFormatting>
  <conditionalFormatting sqref="B46:B49">
    <cfRule type="notContainsBlanks" dxfId="1387" priority="132">
      <formula>LEN(TRIM(B46))&gt;0</formula>
    </cfRule>
  </conditionalFormatting>
  <conditionalFormatting sqref="B45">
    <cfRule type="notContainsBlanks" dxfId="1386" priority="131">
      <formula>LEN(TRIM(B45))&gt;0</formula>
    </cfRule>
  </conditionalFormatting>
  <conditionalFormatting sqref="B62:B65">
    <cfRule type="notContainsBlanks" dxfId="1385" priority="122">
      <formula>LEN(TRIM(B62))&gt;0</formula>
    </cfRule>
  </conditionalFormatting>
  <conditionalFormatting sqref="B61">
    <cfRule type="notContainsBlanks" dxfId="1384" priority="121">
      <formula>LEN(TRIM(B61))&gt;0</formula>
    </cfRule>
  </conditionalFormatting>
  <conditionalFormatting sqref="C59:F60">
    <cfRule type="notContainsBlanks" dxfId="1383" priority="130">
      <formula>LEN(TRIM(C59))&gt;0</formula>
    </cfRule>
  </conditionalFormatting>
  <conditionalFormatting sqref="B59:B60">
    <cfRule type="notContainsBlanks" dxfId="1382" priority="129">
      <formula>LEN(TRIM(B59))&gt;0</formula>
    </cfRule>
  </conditionalFormatting>
  <conditionalFormatting sqref="C61:F61">
    <cfRule type="cellIs" dxfId="1381" priority="128" operator="equal">
      <formula>$B$61=""</formula>
    </cfRule>
  </conditionalFormatting>
  <conditionalFormatting sqref="C62:F62">
    <cfRule type="cellIs" dxfId="1380" priority="127" operator="equal">
      <formula>$B$62=""</formula>
    </cfRule>
  </conditionalFormatting>
  <conditionalFormatting sqref="C63:F63">
    <cfRule type="cellIs" dxfId="1379" priority="126" operator="equal">
      <formula>$B$63=""</formula>
    </cfRule>
  </conditionalFormatting>
  <conditionalFormatting sqref="C64:F64">
    <cfRule type="cellIs" dxfId="1378" priority="125" operator="equal">
      <formula>$B$64=""</formula>
    </cfRule>
  </conditionalFormatting>
  <conditionalFormatting sqref="C65:F65">
    <cfRule type="cellIs" dxfId="1377" priority="124" operator="equal">
      <formula>$B$65=""</formula>
    </cfRule>
  </conditionalFormatting>
  <conditionalFormatting sqref="C61:F65">
    <cfRule type="notContainsBlanks" dxfId="1376" priority="123">
      <formula>LEN(TRIM(C61))&gt;0</formula>
    </cfRule>
  </conditionalFormatting>
  <conditionalFormatting sqref="B75:B76">
    <cfRule type="notContainsBlanks" dxfId="1375" priority="119">
      <formula>LEN(TRIM(B75))&gt;0</formula>
    </cfRule>
  </conditionalFormatting>
  <conditionalFormatting sqref="B78:B81">
    <cfRule type="notContainsBlanks" dxfId="1374" priority="112">
      <formula>LEN(TRIM(B78))&gt;0</formula>
    </cfRule>
  </conditionalFormatting>
  <conditionalFormatting sqref="B77">
    <cfRule type="notContainsBlanks" dxfId="1373" priority="111">
      <formula>LEN(TRIM(B77))&gt;0</formula>
    </cfRule>
  </conditionalFormatting>
  <conditionalFormatting sqref="C75:F76">
    <cfRule type="notContainsBlanks" dxfId="1372" priority="120">
      <formula>LEN(TRIM(C75))&gt;0</formula>
    </cfRule>
  </conditionalFormatting>
  <conditionalFormatting sqref="C77:F77">
    <cfRule type="cellIs" dxfId="1371" priority="118" operator="equal">
      <formula>$B$77=""</formula>
    </cfRule>
  </conditionalFormatting>
  <conditionalFormatting sqref="C78:F78">
    <cfRule type="cellIs" dxfId="1370" priority="117" operator="equal">
      <formula>$B$78=""</formula>
    </cfRule>
  </conditionalFormatting>
  <conditionalFormatting sqref="C79:F79">
    <cfRule type="cellIs" dxfId="1369" priority="116" operator="equal">
      <formula>$B$79=""</formula>
    </cfRule>
  </conditionalFormatting>
  <conditionalFormatting sqref="C80:F80">
    <cfRule type="cellIs" dxfId="1368" priority="115" operator="equal">
      <formula>$B$80=""</formula>
    </cfRule>
  </conditionalFormatting>
  <conditionalFormatting sqref="C81:F81">
    <cfRule type="cellIs" dxfId="1367" priority="114" operator="equal">
      <formula>$B$81=""</formula>
    </cfRule>
  </conditionalFormatting>
  <conditionalFormatting sqref="C77:F81">
    <cfRule type="notContainsBlanks" dxfId="1366" priority="113">
      <formula>LEN(TRIM(C77))&gt;0</formula>
    </cfRule>
  </conditionalFormatting>
  <conditionalFormatting sqref="C91:F92">
    <cfRule type="notContainsBlanks" dxfId="1365" priority="110">
      <formula>LEN(TRIM(C91))&gt;0</formula>
    </cfRule>
  </conditionalFormatting>
  <conditionalFormatting sqref="B91:B92">
    <cfRule type="notContainsBlanks" dxfId="1364" priority="109">
      <formula>LEN(TRIM(B91))&gt;0</formula>
    </cfRule>
  </conditionalFormatting>
  <conditionalFormatting sqref="C93:F93">
    <cfRule type="cellIs" dxfId="1363" priority="108" operator="equal">
      <formula>$B$93=""</formula>
    </cfRule>
  </conditionalFormatting>
  <conditionalFormatting sqref="C94:F94">
    <cfRule type="cellIs" dxfId="1362" priority="107" operator="equal">
      <formula>$B$94=""</formula>
    </cfRule>
  </conditionalFormatting>
  <conditionalFormatting sqref="C95:F95">
    <cfRule type="cellIs" dxfId="1361" priority="106" operator="equal">
      <formula>$B$95=""</formula>
    </cfRule>
  </conditionalFormatting>
  <conditionalFormatting sqref="C96:F96">
    <cfRule type="cellIs" dxfId="1360" priority="105" operator="equal">
      <formula>$B$96=""</formula>
    </cfRule>
  </conditionalFormatting>
  <conditionalFormatting sqref="C97:F97">
    <cfRule type="cellIs" dxfId="1359" priority="104" operator="equal">
      <formula>$B$97=""</formula>
    </cfRule>
  </conditionalFormatting>
  <conditionalFormatting sqref="C93:F97">
    <cfRule type="notContainsBlanks" dxfId="1358" priority="103">
      <formula>LEN(TRIM(C93))&gt;0</formula>
    </cfRule>
  </conditionalFormatting>
  <conditionalFormatting sqref="B94:B97">
    <cfRule type="notContainsBlanks" dxfId="1357" priority="102">
      <formula>LEN(TRIM(B94))&gt;0</formula>
    </cfRule>
  </conditionalFormatting>
  <conditionalFormatting sqref="B93">
    <cfRule type="notContainsBlanks" dxfId="1356" priority="101">
      <formula>LEN(TRIM(B93))&gt;0</formula>
    </cfRule>
  </conditionalFormatting>
  <conditionalFormatting sqref="B110:B113">
    <cfRule type="notContainsBlanks" dxfId="1355" priority="92">
      <formula>LEN(TRIM(B110))&gt;0</formula>
    </cfRule>
  </conditionalFormatting>
  <conditionalFormatting sqref="B109">
    <cfRule type="notContainsBlanks" dxfId="1354" priority="91">
      <formula>LEN(TRIM(B109))&gt;0</formula>
    </cfRule>
  </conditionalFormatting>
  <conditionalFormatting sqref="C107:F108">
    <cfRule type="notContainsBlanks" dxfId="1353" priority="100">
      <formula>LEN(TRIM(C107))&gt;0</formula>
    </cfRule>
  </conditionalFormatting>
  <conditionalFormatting sqref="B107:B108">
    <cfRule type="notContainsBlanks" dxfId="1352" priority="99">
      <formula>LEN(TRIM(B107))&gt;0</formula>
    </cfRule>
  </conditionalFormatting>
  <conditionalFormatting sqref="C109:F109">
    <cfRule type="cellIs" dxfId="1351" priority="98" operator="equal">
      <formula>$B$109=""</formula>
    </cfRule>
  </conditionalFormatting>
  <conditionalFormatting sqref="C110:F110">
    <cfRule type="cellIs" dxfId="1350" priority="97" operator="equal">
      <formula>$B$110=""</formula>
    </cfRule>
  </conditionalFormatting>
  <conditionalFormatting sqref="C111:F111">
    <cfRule type="cellIs" dxfId="1349" priority="96" operator="equal">
      <formula>$B$111=""</formula>
    </cfRule>
  </conditionalFormatting>
  <conditionalFormatting sqref="C112:F112">
    <cfRule type="cellIs" dxfId="1348" priority="95" operator="equal">
      <formula>$B$112=""</formula>
    </cfRule>
  </conditionalFormatting>
  <conditionalFormatting sqref="C113:F113">
    <cfRule type="cellIs" dxfId="1347" priority="94" operator="equal">
      <formula>$B$113=""</formula>
    </cfRule>
  </conditionalFormatting>
  <conditionalFormatting sqref="C109:F113">
    <cfRule type="notContainsBlanks" dxfId="1346" priority="93">
      <formula>LEN(TRIM(C109))&gt;0</formula>
    </cfRule>
  </conditionalFormatting>
  <conditionalFormatting sqref="C123:F124">
    <cfRule type="notContainsBlanks" dxfId="1345" priority="90">
      <formula>LEN(TRIM(C123))&gt;0</formula>
    </cfRule>
  </conditionalFormatting>
  <conditionalFormatting sqref="B123:B124">
    <cfRule type="notContainsBlanks" dxfId="1344" priority="89">
      <formula>LEN(TRIM(B123))&gt;0</formula>
    </cfRule>
  </conditionalFormatting>
  <conditionalFormatting sqref="B125">
    <cfRule type="notContainsBlanks" dxfId="1343" priority="81">
      <formula>LEN(TRIM(B125))&gt;0</formula>
    </cfRule>
  </conditionalFormatting>
  <conditionalFormatting sqref="C125:F125">
    <cfRule type="cellIs" dxfId="1342" priority="88" operator="equal">
      <formula>$B$125=""</formula>
    </cfRule>
  </conditionalFormatting>
  <conditionalFormatting sqref="C126:F126">
    <cfRule type="cellIs" dxfId="1341" priority="87" operator="equal">
      <formula>$B$126=""</formula>
    </cfRule>
  </conditionalFormatting>
  <conditionalFormatting sqref="C127:F127">
    <cfRule type="cellIs" dxfId="1340" priority="86" operator="equal">
      <formula>$B$127=""</formula>
    </cfRule>
  </conditionalFormatting>
  <conditionalFormatting sqref="C128:F128">
    <cfRule type="cellIs" dxfId="1339" priority="85" operator="equal">
      <formula>$B$128=""</formula>
    </cfRule>
  </conditionalFormatting>
  <conditionalFormatting sqref="C129:F129">
    <cfRule type="cellIs" dxfId="1338" priority="84" operator="equal">
      <formula>$B$129=""</formula>
    </cfRule>
  </conditionalFormatting>
  <conditionalFormatting sqref="C125:F129">
    <cfRule type="notContainsBlanks" dxfId="1337" priority="83">
      <formula>LEN(TRIM(C125))&gt;0</formula>
    </cfRule>
  </conditionalFormatting>
  <conditionalFormatting sqref="B126:B129">
    <cfRule type="notContainsBlanks" dxfId="1336" priority="82">
      <formula>LEN(TRIM(B126))&gt;0</formula>
    </cfRule>
  </conditionalFormatting>
  <conditionalFormatting sqref="B141">
    <cfRule type="notContainsBlanks" dxfId="1335" priority="71">
      <formula>LEN(TRIM(B141))&gt;0</formula>
    </cfRule>
  </conditionalFormatting>
  <conditionalFormatting sqref="C139:F140">
    <cfRule type="notContainsBlanks" dxfId="1334" priority="80">
      <formula>LEN(TRIM(C139))&gt;0</formula>
    </cfRule>
  </conditionalFormatting>
  <conditionalFormatting sqref="B139:B140">
    <cfRule type="notContainsBlanks" dxfId="1333" priority="79">
      <formula>LEN(TRIM(B139))&gt;0</formula>
    </cfRule>
  </conditionalFormatting>
  <conditionalFormatting sqref="C141:F141">
    <cfRule type="cellIs" dxfId="1332" priority="78" operator="equal">
      <formula>$B$141=""</formula>
    </cfRule>
  </conditionalFormatting>
  <conditionalFormatting sqref="C142:F142">
    <cfRule type="cellIs" dxfId="1331" priority="77" operator="equal">
      <formula>$B$142=""</formula>
    </cfRule>
  </conditionalFormatting>
  <conditionalFormatting sqref="C143:F143">
    <cfRule type="cellIs" dxfId="1330" priority="76" operator="equal">
      <formula>$B$143=""</formula>
    </cfRule>
  </conditionalFormatting>
  <conditionalFormatting sqref="C144:F144">
    <cfRule type="cellIs" dxfId="1329" priority="75" operator="equal">
      <formula>$B$144=""</formula>
    </cfRule>
  </conditionalFormatting>
  <conditionalFormatting sqref="C145:F145">
    <cfRule type="cellIs" dxfId="1328" priority="74" operator="equal">
      <formula>$B$145=""</formula>
    </cfRule>
  </conditionalFormatting>
  <conditionalFormatting sqref="C141:F145">
    <cfRule type="notContainsBlanks" dxfId="1327" priority="73">
      <formula>LEN(TRIM(C141))&gt;0</formula>
    </cfRule>
  </conditionalFormatting>
  <conditionalFormatting sqref="B142:B145">
    <cfRule type="notContainsBlanks" dxfId="1326" priority="72">
      <formula>LEN(TRIM(B142))&gt;0</formula>
    </cfRule>
  </conditionalFormatting>
  <conditionalFormatting sqref="C155:F156">
    <cfRule type="notContainsBlanks" dxfId="1325" priority="70">
      <formula>LEN(TRIM(C155))&gt;0</formula>
    </cfRule>
  </conditionalFormatting>
  <conditionalFormatting sqref="B155:B156">
    <cfRule type="notContainsBlanks" dxfId="1324" priority="69">
      <formula>LEN(TRIM(B155))&gt;0</formula>
    </cfRule>
  </conditionalFormatting>
  <conditionalFormatting sqref="C157:F157">
    <cfRule type="cellIs" dxfId="1323" priority="68" operator="equal">
      <formula>$B$157=""</formula>
    </cfRule>
  </conditionalFormatting>
  <conditionalFormatting sqref="C158:F158">
    <cfRule type="cellIs" dxfId="1322" priority="67" operator="equal">
      <formula>$B$158=""</formula>
    </cfRule>
  </conditionalFormatting>
  <conditionalFormatting sqref="C159:F159">
    <cfRule type="cellIs" dxfId="1321" priority="66" operator="equal">
      <formula>$B$159=""</formula>
    </cfRule>
  </conditionalFormatting>
  <conditionalFormatting sqref="C160:F160">
    <cfRule type="cellIs" dxfId="1320" priority="65" operator="equal">
      <formula>$B$160=""</formula>
    </cfRule>
  </conditionalFormatting>
  <conditionalFormatting sqref="C161:F161">
    <cfRule type="cellIs" dxfId="1319" priority="64" operator="equal">
      <formula>$B$161=""</formula>
    </cfRule>
  </conditionalFormatting>
  <conditionalFormatting sqref="C157:F161">
    <cfRule type="notContainsBlanks" dxfId="1318" priority="63">
      <formula>LEN(TRIM(C157))&gt;0</formula>
    </cfRule>
  </conditionalFormatting>
  <conditionalFormatting sqref="B158:B161">
    <cfRule type="notContainsBlanks" dxfId="1317" priority="62">
      <formula>LEN(TRIM(B158))&gt;0</formula>
    </cfRule>
  </conditionalFormatting>
  <conditionalFormatting sqref="B157">
    <cfRule type="notContainsBlanks" dxfId="1316" priority="61">
      <formula>LEN(TRIM(B157))&gt;0</formula>
    </cfRule>
  </conditionalFormatting>
  <conditionalFormatting sqref="C171:F172">
    <cfRule type="notContainsBlanks" dxfId="1315" priority="60">
      <formula>LEN(TRIM(C171))&gt;0</formula>
    </cfRule>
  </conditionalFormatting>
  <conditionalFormatting sqref="B171:B172">
    <cfRule type="notContainsBlanks" dxfId="1314" priority="59">
      <formula>LEN(TRIM(B171))&gt;0</formula>
    </cfRule>
  </conditionalFormatting>
  <conditionalFormatting sqref="C173:F173">
    <cfRule type="cellIs" dxfId="1313" priority="58" operator="equal">
      <formula>$B$173=""</formula>
    </cfRule>
  </conditionalFormatting>
  <conditionalFormatting sqref="C174:F174">
    <cfRule type="cellIs" dxfId="1312" priority="57" operator="equal">
      <formula>$B$174=""</formula>
    </cfRule>
  </conditionalFormatting>
  <conditionalFormatting sqref="C175:F175">
    <cfRule type="cellIs" dxfId="1311" priority="56" operator="equal">
      <formula>$B$175=""</formula>
    </cfRule>
  </conditionalFormatting>
  <conditionalFormatting sqref="C176:F176">
    <cfRule type="cellIs" dxfId="1310" priority="55" operator="equal">
      <formula>$B$176=""</formula>
    </cfRule>
  </conditionalFormatting>
  <conditionalFormatting sqref="C177:F177">
    <cfRule type="cellIs" dxfId="1309" priority="54" operator="equal">
      <formula>$B$177=""</formula>
    </cfRule>
  </conditionalFormatting>
  <conditionalFormatting sqref="C173:F177">
    <cfRule type="notContainsBlanks" dxfId="1308" priority="53">
      <formula>LEN(TRIM(C173))&gt;0</formula>
    </cfRule>
  </conditionalFormatting>
  <conditionalFormatting sqref="B174:B177">
    <cfRule type="notContainsBlanks" dxfId="1307" priority="52">
      <formula>LEN(TRIM(B174))&gt;0</formula>
    </cfRule>
  </conditionalFormatting>
  <conditionalFormatting sqref="B173">
    <cfRule type="notContainsBlanks" dxfId="1306" priority="51">
      <formula>LEN(TRIM(B173))&gt;0</formula>
    </cfRule>
  </conditionalFormatting>
  <conditionalFormatting sqref="H166:H175">
    <cfRule type="expression" dxfId="1305" priority="50">
      <formula>$B$165="batch plant"</formula>
    </cfRule>
  </conditionalFormatting>
  <conditionalFormatting sqref="H150:H159">
    <cfRule type="expression" dxfId="1304" priority="49">
      <formula>$B$149="batch plant"</formula>
    </cfRule>
  </conditionalFormatting>
  <conditionalFormatting sqref="H134:H143">
    <cfRule type="expression" dxfId="1303" priority="48">
      <formula>$B$133="batch plant"</formula>
    </cfRule>
  </conditionalFormatting>
  <conditionalFormatting sqref="H118:H127">
    <cfRule type="expression" dxfId="1302" priority="47">
      <formula>$B$117="batch plant"</formula>
    </cfRule>
  </conditionalFormatting>
  <conditionalFormatting sqref="H102:H111">
    <cfRule type="expression" dxfId="1301" priority="46">
      <formula>$B$101="batch plant"</formula>
    </cfRule>
  </conditionalFormatting>
  <conditionalFormatting sqref="H86:H95">
    <cfRule type="expression" dxfId="1300" priority="45">
      <formula>$B$85="batch plant"</formula>
    </cfRule>
  </conditionalFormatting>
  <conditionalFormatting sqref="H70:H79">
    <cfRule type="expression" dxfId="1299" priority="44">
      <formula>$B$69="batch plant"</formula>
    </cfRule>
  </conditionalFormatting>
  <conditionalFormatting sqref="H54:H63">
    <cfRule type="expression" dxfId="1298" priority="43">
      <formula>$B$53="batch plant"</formula>
    </cfRule>
  </conditionalFormatting>
  <conditionalFormatting sqref="H38:H47">
    <cfRule type="expression" dxfId="1297" priority="42">
      <formula>$B$37="batch plant"</formula>
    </cfRule>
  </conditionalFormatting>
  <conditionalFormatting sqref="H21:H30">
    <cfRule type="notContainsBlanks" dxfId="1296" priority="41">
      <formula>LEN(TRIM(H21))&gt;0</formula>
    </cfRule>
  </conditionalFormatting>
  <conditionalFormatting sqref="F24">
    <cfRule type="cellIs" dxfId="1295" priority="38" operator="equal">
      <formula>$B$24=""</formula>
    </cfRule>
  </conditionalFormatting>
  <conditionalFormatting sqref="B24:E24 B41:E41 B57:E57 B73:E73 B89:E89 B105:E105 B121:E121 B137:E137 B153:E153 B169:E169">
    <cfRule type="notContainsBlanks" dxfId="1294" priority="257">
      <formula>LEN(TRIM(B24))&gt;0</formula>
    </cfRule>
  </conditionalFormatting>
  <conditionalFormatting sqref="F41">
    <cfRule type="cellIs" dxfId="1293" priority="35" operator="equal">
      <formula>$B$41=""</formula>
    </cfRule>
  </conditionalFormatting>
  <conditionalFormatting sqref="F57">
    <cfRule type="cellIs" dxfId="1292" priority="32" operator="equal">
      <formula>$B$57=""</formula>
    </cfRule>
  </conditionalFormatting>
  <conditionalFormatting sqref="F73">
    <cfRule type="cellIs" dxfId="1291" priority="29" operator="equal">
      <formula>$B$73=""</formula>
    </cfRule>
  </conditionalFormatting>
  <conditionalFormatting sqref="F89">
    <cfRule type="cellIs" dxfId="1290" priority="26" operator="equal">
      <formula>$B$89=""</formula>
    </cfRule>
  </conditionalFormatting>
  <conditionalFormatting sqref="F105">
    <cfRule type="cellIs" dxfId="1289" priority="23" operator="equal">
      <formula>$B$105=""</formula>
    </cfRule>
  </conditionalFormatting>
  <conditionalFormatting sqref="F121">
    <cfRule type="cellIs" dxfId="1288" priority="20" operator="equal">
      <formula>$B$121=""</formula>
    </cfRule>
  </conditionalFormatting>
  <conditionalFormatting sqref="F137">
    <cfRule type="cellIs" dxfId="1287" priority="17" operator="equal">
      <formula>$B$137=""</formula>
    </cfRule>
  </conditionalFormatting>
  <conditionalFormatting sqref="F153">
    <cfRule type="cellIs" dxfId="1286" priority="14" operator="equal">
      <formula>$B$153=""</formula>
    </cfRule>
  </conditionalFormatting>
  <conditionalFormatting sqref="F169">
    <cfRule type="cellIs" dxfId="1285" priority="11" operator="equal">
      <formula>$B$169=""</formula>
    </cfRule>
  </conditionalFormatting>
  <dataValidations count="3">
    <dataValidation type="list" allowBlank="1" showInputMessage="1" showErrorMessage="1" sqref="J21:J30 J38:J47 J54:J63 J70:J79 J86:J95 J102:J111 J118:J127 J134:J143 J150:J159 J166:J175" xr:uid="{00000000-0002-0000-0400-000000000000}">
      <formula1>ConcreteProcesses</formula1>
    </dataValidation>
    <dataValidation type="whole" allowBlank="1" showInputMessage="1" showErrorMessage="1" sqref="C18:F18 D4 G5" xr:uid="{00000000-0002-0000-0400-000001000000}">
      <formula1>0</formula1>
      <formula2>100</formula2>
    </dataValidation>
    <dataValidation type="list" allowBlank="1" showInputMessage="1" showErrorMessage="1" sqref="F24 F41 F57 F73 F89 F105 F121 F137 F153 F169" xr:uid="{00000000-0002-0000-0400-000002000000}">
      <formula1>CHECK</formula1>
    </dataValidation>
  </dataValidations>
  <pageMargins left="0.25" right="0.25" top="0.75" bottom="0.75" header="0.3" footer="0.3"/>
  <pageSetup scale="65" fitToHeight="0" orientation="landscape" verticalDpi="300" r:id="rId1"/>
  <legacyDrawing r:id="rId2"/>
  <extLst>
    <ext xmlns:x14="http://schemas.microsoft.com/office/spreadsheetml/2009/9/main" uri="{78C0D931-6437-407d-A8EE-F0AAD7539E65}">
      <x14:conditionalFormattings>
        <x14:conditionalFormatting xmlns:xm="http://schemas.microsoft.com/office/excel/2006/main">
          <x14:cfRule type="notContainsBlanks" priority="40" id="{A15CA8AA-3FBC-45F6-9650-4E266945B20B}">
            <xm:f>LEN(TRIM('Concrete Plant (CP-3)'!F24))&gt;0</xm:f>
            <x14:dxf>
              <fill>
                <patternFill>
                  <bgColor rgb="FFFFFF99"/>
                </patternFill>
              </fill>
              <border>
                <left style="thin">
                  <color auto="1"/>
                </left>
                <right style="thin">
                  <color auto="1"/>
                </right>
                <top style="thin">
                  <color auto="1"/>
                </top>
                <bottom style="thin">
                  <color auto="1"/>
                </bottom>
                <vertical/>
                <horizontal/>
              </border>
            </x14:dxf>
          </x14:cfRule>
          <xm:sqref>F169 F137 F57 F73 F89 F105 F121 F41 F24 F153</xm:sqref>
        </x14:conditionalFormatting>
        <x14:conditionalFormatting xmlns:xm="http://schemas.microsoft.com/office/excel/2006/main">
          <x14:cfRule type="notContainsBlanks" priority="4" stopIfTrue="1" id="{14365056-6ADB-498B-8F76-3D2B8F188E23}">
            <xm:f>LEN(TRIM('Concrete Plant (CP-1)'!M177))&gt;0</xm:f>
            <x14:dxf>
              <border>
                <left style="thin">
                  <color indexed="64"/>
                </left>
                <right style="thin">
                  <color indexed="64"/>
                </right>
                <top style="thin">
                  <color indexed="64"/>
                </top>
                <bottom style="thin">
                  <color indexed="64"/>
                </bottom>
              </border>
            </x14:dxf>
          </x14:cfRule>
          <xm:sqref>M178:N178</xm:sqref>
        </x14:conditionalFormatting>
        <x14:conditionalFormatting xmlns:xm="http://schemas.microsoft.com/office/excel/2006/main">
          <x14:cfRule type="cellIs" priority="3" stopIfTrue="1" operator="equal" id="{55849DA1-4FF2-4D8A-86EC-03FCA2985E0E}">
            <xm:f>'Concrete Plant (CP-1)'!$B$51="batch plant"</xm:f>
            <x14:dxf>
              <fill>
                <patternFill patternType="none">
                  <bgColor indexed="65"/>
                </patternFill>
              </fill>
              <border>
                <left/>
                <right/>
                <top/>
                <bottom/>
              </border>
            </x14:dxf>
          </x14:cfRule>
          <xm:sqref>M64:N67 M53:N53</xm:sqref>
        </x14:conditionalFormatting>
        <x14:conditionalFormatting xmlns:xm="http://schemas.microsoft.com/office/excel/2006/main">
          <x14:cfRule type="cellIs" priority="5" stopIfTrue="1" operator="equal" id="{62B755E9-FD06-4962-9076-78F03E5DAF92}">
            <xm:f>'Concrete Plant (CP-1)'!$B$67="batch plant"</xm:f>
            <x14:dxf>
              <fill>
                <patternFill patternType="none">
                  <bgColor indexed="65"/>
                </patternFill>
              </fill>
              <border>
                <left/>
                <right/>
                <top/>
                <bottom/>
              </border>
            </x14:dxf>
          </x14:cfRule>
          <xm:sqref>M80:N83 M69:N69</xm:sqref>
        </x14:conditionalFormatting>
        <x14:conditionalFormatting xmlns:xm="http://schemas.microsoft.com/office/excel/2006/main">
          <x14:cfRule type="cellIs" priority="6" stopIfTrue="1" operator="equal" id="{7E298ABD-75BF-4268-9D2B-0A9A723E17C1}">
            <xm:f>'Concrete Plant (CP-1)'!$B$83="batch plant"</xm:f>
            <x14:dxf>
              <fill>
                <patternFill patternType="none">
                  <bgColor indexed="65"/>
                </patternFill>
              </fill>
              <border>
                <left/>
                <right/>
                <top/>
                <bottom/>
              </border>
            </x14:dxf>
          </x14:cfRule>
          <xm:sqref>M96:N99 M85:N85</xm:sqref>
        </x14:conditionalFormatting>
        <x14:conditionalFormatting xmlns:xm="http://schemas.microsoft.com/office/excel/2006/main">
          <x14:cfRule type="cellIs" priority="7" stopIfTrue="1" operator="equal" id="{CD3B3CBF-DD66-465E-8D36-4FA41622FB22}">
            <xm:f>'Concrete Plant (CP-1)'!$B$99="batch plant"</xm:f>
            <x14:dxf>
              <fill>
                <patternFill patternType="none">
                  <bgColor indexed="65"/>
                </patternFill>
              </fill>
              <border>
                <left/>
                <right/>
                <top/>
                <bottom/>
              </border>
            </x14:dxf>
          </x14:cfRule>
          <xm:sqref>M112:N115 M101:N101</xm:sqref>
        </x14:conditionalFormatting>
        <x14:conditionalFormatting xmlns:xm="http://schemas.microsoft.com/office/excel/2006/main">
          <x14:cfRule type="cellIs" priority="8" stopIfTrue="1" operator="equal" id="{DCEB3C12-1C9D-4F2B-BCBF-E0B154E44029}">
            <xm:f>'Concrete Plant (CP-1)'!$B$115="batch plant"</xm:f>
            <x14:dxf>
              <fill>
                <patternFill patternType="none">
                  <bgColor indexed="65"/>
                </patternFill>
              </fill>
              <border>
                <left/>
                <right/>
                <top/>
                <bottom/>
              </border>
            </x14:dxf>
          </x14:cfRule>
          <xm:sqref>M128:N131 M117:N117</xm:sqref>
        </x14:conditionalFormatting>
        <x14:conditionalFormatting xmlns:xm="http://schemas.microsoft.com/office/excel/2006/main">
          <x14:cfRule type="cellIs" priority="9" stopIfTrue="1" operator="equal" id="{595A0408-C0B4-4533-8A96-2D3AEC0C65A3}">
            <xm:f>'Concrete Plant (CP-1)'!$B$131="batch plant"</xm:f>
            <x14:dxf>
              <fill>
                <patternFill patternType="none">
                  <bgColor indexed="65"/>
                </patternFill>
              </fill>
              <border>
                <left/>
                <right/>
                <top/>
                <bottom/>
              </border>
            </x14:dxf>
          </x14:cfRule>
          <xm:sqref>M144:N147 M133:N133</xm:sqref>
        </x14:conditionalFormatting>
        <x14:conditionalFormatting xmlns:xm="http://schemas.microsoft.com/office/excel/2006/main">
          <x14:cfRule type="cellIs" priority="10" stopIfTrue="1" operator="equal" id="{9BD8EB60-3222-4563-A39C-205DA7FC7C76}">
            <xm:f>'Concrete Plant (CP-1)'!$B$147="batch plant"</xm:f>
            <x14:dxf>
              <fill>
                <patternFill patternType="none">
                  <bgColor indexed="65"/>
                </patternFill>
              </fill>
              <border>
                <left/>
                <right/>
                <top/>
                <bottom/>
              </border>
            </x14:dxf>
          </x14:cfRule>
          <xm:sqref>M160:N163 M149:N149</xm:sqref>
        </x14:conditionalFormatting>
        <x14:conditionalFormatting xmlns:xm="http://schemas.microsoft.com/office/excel/2006/main">
          <x14:cfRule type="cellIs" priority="2" operator="equal" id="{4446367A-448C-4EE0-B04A-400658325073}">
            <xm:f>'Concrete Plant (CP-1)'!$B$36="batch plant"</xm:f>
            <x14:dxf>
              <fill>
                <patternFill patternType="none">
                  <bgColor auto="1"/>
                </patternFill>
              </fill>
              <border>
                <left/>
                <right/>
                <top/>
                <bottom/>
                <vertical/>
                <horizontal/>
              </border>
            </x14:dxf>
          </x14:cfRule>
          <xm:sqref>M51:N52</xm:sqref>
        </x14:conditionalFormatting>
        <x14:conditionalFormatting xmlns:xm="http://schemas.microsoft.com/office/excel/2006/main">
          <x14:cfRule type="cellIs" priority="1" stopIfTrue="1" operator="equal" id="{A72417CD-4BD3-4CE1-91E3-CFF4C5009B62}">
            <xm:f>'Concrete Plant (CP-1)'!$B$164="batch plant"</xm:f>
            <x14:dxf>
              <fill>
                <patternFill patternType="none">
                  <bgColor indexed="65"/>
                </patternFill>
              </fill>
              <border>
                <left/>
                <right/>
                <top/>
                <bottom/>
              </border>
            </x14:dxf>
          </x14:cfRule>
          <xm:sqref>M179:N179</xm:sqref>
        </x14:conditionalFormatting>
        <x14:conditionalFormatting xmlns:xm="http://schemas.microsoft.com/office/excel/2006/main">
          <x14:cfRule type="notContainsBlanks" priority="1205" stopIfTrue="1" id="{14365056-6ADB-498B-8F76-3D2B8F188E23}">
            <xm:f>LEN(TRIM('Concrete Plant (CP-1)'!#REF!))&gt;0</xm:f>
            <x14:dxf>
              <border>
                <left style="thin">
                  <color indexed="64"/>
                </left>
                <right style="thin">
                  <color indexed="64"/>
                </right>
                <top style="thin">
                  <color indexed="64"/>
                </top>
                <bottom style="thin">
                  <color indexed="64"/>
                </bottom>
              </border>
            </x14:dxf>
          </x14:cfRule>
          <xm:sqref>M50:N50</xm:sqref>
        </x14:conditionalFormatting>
        <x14:conditionalFormatting xmlns:xm="http://schemas.microsoft.com/office/excel/2006/main">
          <x14:cfRule type="notContainsBlanks" priority="7394" stopIfTrue="1" id="{14365056-6ADB-498B-8F76-3D2B8F188E23}">
            <xm:f>LEN(TRIM('Concrete Plant (CP-1)'!M64))&gt;0</xm:f>
            <x14:dxf>
              <border>
                <left style="thin">
                  <color indexed="64"/>
                </left>
                <right style="thin">
                  <color indexed="64"/>
                </right>
                <top style="thin">
                  <color indexed="64"/>
                </top>
                <bottom style="thin">
                  <color indexed="64"/>
                </bottom>
              </border>
            </x14:dxf>
          </x14:cfRule>
          <xm:sqref>M162:N162 M146:N146 M66:N66 M82:N82 M98:N98 M114:N114 M130:N130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W182"/>
  <sheetViews>
    <sheetView topLeftCell="B1" workbookViewId="0">
      <selection activeCell="B1" sqref="B1"/>
    </sheetView>
  </sheetViews>
  <sheetFormatPr defaultColWidth="8.85546875" defaultRowHeight="14.25" customHeight="1" x14ac:dyDescent="0.2"/>
  <cols>
    <col min="1" max="1" width="15.42578125" style="67" hidden="1" customWidth="1"/>
    <col min="2" max="2" width="31.85546875" style="67" customWidth="1"/>
    <col min="3" max="3" width="9.42578125" style="67" customWidth="1"/>
    <col min="4" max="4" width="11.140625" style="67" customWidth="1"/>
    <col min="5" max="5" width="9.42578125" style="67" customWidth="1"/>
    <col min="6" max="6" width="11.42578125" style="67" customWidth="1"/>
    <col min="7" max="7" width="2.85546875" style="67" customWidth="1"/>
    <col min="8" max="8" width="13.85546875" style="67" customWidth="1"/>
    <col min="9" max="9" width="14" style="67" customWidth="1"/>
    <col min="10" max="10" width="31.140625" style="67" customWidth="1"/>
    <col min="11" max="11" width="38.28515625" style="67" customWidth="1"/>
    <col min="12" max="12" width="27.42578125" style="67" customWidth="1"/>
    <col min="13" max="13" width="6.28515625" style="177" hidden="1" customWidth="1"/>
    <col min="14" max="14" width="7.42578125" style="177" hidden="1" customWidth="1"/>
    <col min="15" max="15" width="7" style="67" customWidth="1"/>
    <col min="16" max="16" width="31.28515625" style="67" customWidth="1"/>
    <col min="17" max="17" width="18.140625" style="67" customWidth="1"/>
    <col min="18" max="18" width="17" style="67" customWidth="1"/>
    <col min="19" max="19" width="18" style="67" hidden="1" customWidth="1"/>
    <col min="20" max="21" width="16.42578125" style="67" hidden="1" customWidth="1"/>
    <col min="22" max="22" width="16.28515625" style="67" customWidth="1"/>
    <col min="23" max="23" width="0" style="67" hidden="1" customWidth="1"/>
    <col min="24" max="16384" width="8.85546875" style="67"/>
  </cols>
  <sheetData>
    <row r="1" spans="2:21" ht="14.25" customHeight="1" x14ac:dyDescent="0.2">
      <c r="B1" s="322" t="s">
        <v>215</v>
      </c>
      <c r="C1" s="322"/>
      <c r="D1" s="313"/>
      <c r="E1" s="313"/>
      <c r="F1" s="169"/>
    </row>
    <row r="2" spans="2:21" ht="14.25" customHeight="1" x14ac:dyDescent="0.25">
      <c r="B2" s="325" t="s">
        <v>37</v>
      </c>
      <c r="C2" s="326"/>
      <c r="D2" s="326"/>
      <c r="E2" s="326"/>
      <c r="F2" s="178"/>
      <c r="J2" s="31"/>
      <c r="L2" s="323" t="s">
        <v>144</v>
      </c>
      <c r="M2" s="216"/>
      <c r="N2" s="216"/>
      <c r="P2" s="68" t="s">
        <v>255</v>
      </c>
      <c r="Q2" s="68"/>
      <c r="R2" s="68"/>
      <c r="S2" s="68"/>
    </row>
    <row r="3" spans="2:21" ht="22.5" customHeight="1" x14ac:dyDescent="0.2">
      <c r="P3" s="314" t="s">
        <v>0</v>
      </c>
      <c r="Q3" s="309" t="s">
        <v>242</v>
      </c>
      <c r="R3" s="309" t="s">
        <v>243</v>
      </c>
    </row>
    <row r="4" spans="2:21" ht="14.25" customHeight="1" x14ac:dyDescent="0.2">
      <c r="B4" s="180" t="str">
        <f>"Number of Sites this Plant operated at in "&amp;'Facility Information'!G5&amp;":"</f>
        <v>Number of Sites this Plant operated at in :</v>
      </c>
      <c r="C4" s="181"/>
      <c r="D4" s="184"/>
      <c r="F4" s="179"/>
      <c r="G4" s="71"/>
      <c r="H4" s="173"/>
      <c r="I4" s="146"/>
      <c r="P4" s="90" t="s">
        <v>191</v>
      </c>
      <c r="Q4" s="110">
        <f ca="1">MAX((IFERROR(OFFSET($J$20,MATCH("Aggregate Delivery to Ground Storage",$J$21:$J$30,0),1),0)),((IFERROR((OFFSET($J$37,MATCH("Aggregate Delivery to Ground Storage",$J$38:$J$47,0),1)),0))),((IFERROR((OFFSET($J$53,MATCH("Aggregate Delivery to Ground Storage",$J$54:$J$63,0),1)),0))),((IFERROR((OFFSET($J$69,MATCH("Aggregate Delivery to Ground Storage",$J$70:$J$79,0),1)),0))),((IFERROR((OFFSET($J$85,MATCH("Aggregate Delivery to Ground Storage",$J$86:$J$95,0),1)),0))),((IFERROR((OFFSET($J$101,MATCH("Aggregate Delivery to Ground Storage",$J$102:$J$111,0),1)),0))),((IFERROR((OFFSET($J$117,MATCH("Aggregate Delivery to Ground Storage",$J$118:$J$127,0),1)),0))),((IFERROR((OFFSET($J$133,MATCH("Aggregate Delivery to Ground Storage",$J$134:$J$143,0),1)),0))),((IFERROR((OFFSET($J$149,MATCH("Aggregate Delivery to Ground Storage",$J$150:$J$159,0),1)),0))),((IFERROR((OFFSET($J$165,MATCH("Aggregate Delivery to Ground Storage",$J$166:$J$175,0),1)),0))),)</f>
        <v>0</v>
      </c>
      <c r="R4" s="110">
        <f ca="1">SUM((IFERROR(OFFSET($J$20,MATCH("Aggregate Delivery to Ground Storage",$J$21:$J$30,0),2),0)),((IFERROR((OFFSET($J$37,MATCH("Aggregate Delivery to Ground Storage",$J$38:$J$47,0),2)),0))),((IFERROR((OFFSET($J$53,MATCH("Aggregate Delivery to Ground Storage",$J$54:$J$63,0),2)),0))),((IFERROR((OFFSET($J$69,MATCH("Aggregate Delivery to Ground Storage",$J$70:$J$79,0),2)),0))),((IFERROR((OFFSET($J$85,MATCH("Aggregate Delivery to Ground Storage",$J$86:$J$95,0),2)),0))),((IFERROR((OFFSET($J$101,MATCH("Aggregate Delivery to Ground Storage",$J$102:$J$111,0),2)),0))),((IFERROR((OFFSET($J$117,MATCH("Aggregate Delivery to Ground Storage",$J$118:$J$127,0),2)),0))),((IFERROR((OFFSET($J$133,MATCH("Aggregate Delivery to Ground Storage",$J$134:$J$143,0),2)),0))),((IFERROR((OFFSET($J$149,MATCH("Aggregate Delivery to Ground Storage",$J$150:$J$159,0),2)),0))),((IFERROR((OFFSET($J$165,MATCH("Aggregate Delivery to Ground Storage",$J$166:$J$175,0),2)),0))),)</f>
        <v>0</v>
      </c>
      <c r="S4" s="386" t="s">
        <v>252</v>
      </c>
      <c r="T4" s="386"/>
      <c r="U4" s="386"/>
    </row>
    <row r="5" spans="2:21" ht="14.25" customHeight="1" x14ac:dyDescent="0.2">
      <c r="B5" s="83"/>
      <c r="C5" s="83"/>
      <c r="D5" s="83"/>
      <c r="E5" s="83"/>
      <c r="F5" s="83"/>
      <c r="G5" s="146"/>
      <c r="H5" s="146"/>
      <c r="I5" s="146"/>
      <c r="P5" s="90" t="s">
        <v>192</v>
      </c>
      <c r="Q5" s="110">
        <f ca="1">MAX((IFERROR(OFFSET($J$20,MATCH("Sand Delivery to Ground Storage",$J$21:$J$30,0),1),0)),((IFERROR((OFFSET($J$37,MATCH("Sand Delivery to Ground Storage",$J$38:$J$47,0),1)),0))),((IFERROR((OFFSET($J$53,MATCH("Sand Delivery to Ground Storage",$J$54:$J$63,0),1)),0))),((IFERROR((OFFSET($J$69,MATCH("Sand Delivery to Ground Storage",$J$70:$J$79,0),1)),0))),((IFERROR((OFFSET($J$85,MATCH("Sand Delivery to Ground Storage",$J$86:$J$95,0),1)),0))),((IFERROR((OFFSET($J$101,MATCH("Sand Delivery to Ground Storage",$J$102:$J$111,0),1)),0))),((IFERROR((OFFSET($J$117,MATCH("Sand Delivery to Ground Storage",$J$118:$J$127,0),1)),0))),((IFERROR((OFFSET($J$133,MATCH("Sand Delivery to Ground Storage",$J$134:$J$143,0),1)),0))),((IFERROR((OFFSET($J$149,MATCH("Sand Delivery to Ground Storage",$J$150:$J$159,0),1)),0))),((IFERROR((OFFSET($J$165,MATCH("Sand Delivery to Ground Storage",$J$166:$J$175,0),1)),0))),)</f>
        <v>0</v>
      </c>
      <c r="R5" s="110">
        <f ca="1">SUM((IFERROR(OFFSET($J$20,MATCH("Sand Delivery to Ground Storage",$J$21:$J$30,0),2),0)),((IFERROR((OFFSET($J$37,MATCH("Sand Delivery to Ground Storage",$J$38:$J$47,0),2)),0))),((IFERROR((OFFSET($J$53,MATCH("Sand Delivery to Ground Storage",$J$54:$J$63,0),2)),0))),((IFERROR((OFFSET($J$69,MATCH("Sand Delivery to Ground Storage",$J$70:$J$79,0),2)),0))),((IFERROR((OFFSET($J$85,MATCH("Sand Delivery to Ground Storage",$J$86:$J$95,0),2)),0))),((IFERROR((OFFSET($J$101,MATCH("Sand Delivery to Ground Storage",$J$102:$J$111,0),2)),0))),((IFERROR((OFFSET($J$117,MATCH("Sand Delivery to Ground Storage",$J$118:$J$127,0),2)),0))),((IFERROR((OFFSET($J$133,MATCH("Sand Delivery to Ground Storage",$J$134:$J$143,0),2)),0))),((IFERROR((OFFSET($J$149,MATCH("Sand Delivery to Ground Storage",$J$150:$J$159,0),2)),0))),((IFERROR((OFFSET($J$165,MATCH("Sand Delivery to Ground Storage",$J$166:$J$175,0),2)),0))),)</f>
        <v>0</v>
      </c>
      <c r="S5" s="386"/>
      <c r="T5" s="386"/>
      <c r="U5" s="386"/>
    </row>
    <row r="6" spans="2:21" ht="14.25" customHeight="1" x14ac:dyDescent="0.2">
      <c r="B6" s="327" t="s">
        <v>156</v>
      </c>
      <c r="C6" s="328"/>
      <c r="D6" s="338"/>
      <c r="E6" s="125"/>
      <c r="F6" s="125"/>
      <c r="G6" s="45"/>
      <c r="H6" s="45"/>
      <c r="I6" s="45"/>
      <c r="J6" s="45"/>
      <c r="K6" s="45"/>
      <c r="L6" s="45"/>
      <c r="M6" s="182"/>
      <c r="N6" s="182"/>
      <c r="P6" s="90" t="s">
        <v>193</v>
      </c>
      <c r="Q6" s="110">
        <f ca="1">MAX((IFERROR(OFFSET($J$20,MATCH("Aggregate Transfer to Conveyor",$J$21:$J$30,0),1),0)),((IFERROR((OFFSET($J$37,MATCH("Aggregate Transfer to Conveyor",$J$38:$J$47,0),1)),0))),((IFERROR((OFFSET($J$53,MATCH("Aggregate Transfer to Conveyor",$J$54:$J$63,0),1)),0))),((IFERROR((OFFSET($J$69,MATCH("Aggregate Transfer to Conveyor",$J$70:$J$79,0),1)),0))),((IFERROR((OFFSET($J$85,MATCH("Aggregate Transfer to Conveyor",$J$86:$J$95,0),1)),0))),((IFERROR((OFFSET($J$101,MATCH("Aggregate Transfer to Conveyor",$J$102:$J$111,0),1)),0))),((IFERROR((OFFSET($J$117,MATCH("Aggregate Transfer to Conveyor",$J$118:$J$127,0),1)),0))),((IFERROR((OFFSET($J$133,MATCH("Aggregate Transfer to Conveyor",$J$134:$J$143,0),1)),0))),((IFERROR((OFFSET($J$149,MATCH("Aggregate Transfer to Conveyor",$J$150:$J$159,0),1)),0))),((IFERROR((OFFSET($J$165,MATCH("Aggregate Transfer to Conveyor",$J$166:$J$175,0),1)),0))),)</f>
        <v>0</v>
      </c>
      <c r="R6" s="110">
        <f ca="1">SUM((IFERROR(OFFSET($J$20,MATCH("Aggregate Transfer to Conveyor",$J$21:$J$30,0),2),0)),((IFERROR((OFFSET($J$37,MATCH("Aggregate Transfer to Conveyor",$J$38:$J$47,0),2)),0))),((IFERROR((OFFSET($J$53,MATCH("Aggregate Transfer to Conveyor",$J$54:$J$63,0),2)),0))),((IFERROR((OFFSET($J$69,MATCH("Aggregate Transfer to Conveyor",$J$70:$J$79,0),2)),0))),((IFERROR((OFFSET($J$85,MATCH("Aggregate Transfer to Conveyor",$J$86:$J$95,0),2)),0))),((IFERROR((OFFSET($J$101,MATCH("Aggregate Transfer to Conveyor",$J$102:$J$111,0),2)),0))),((IFERROR((OFFSET($J$117,MATCH("Aggregate Transfer to Conveyor",$J$118:$J$127,0),2)),0))),((IFERROR((OFFSET($J$133,MATCH("Aggregate Transfer to Conveyor",$J$134:$J$143,0),2)),0))),((IFERROR((OFFSET($J$149,MATCH("Aggregate Transfer to Conveyor",$J$150:$J$159,0),2)),0))),((IFERROR((OFFSET($J$165,MATCH("Aggregate Transfer to Conveyor",$J$166:$J$175,0),2)),0))),)</f>
        <v>0</v>
      </c>
    </row>
    <row r="7" spans="2:21" ht="14.25" customHeight="1" x14ac:dyDescent="0.2">
      <c r="B7" s="52"/>
      <c r="C7" s="50"/>
      <c r="D7" s="50"/>
      <c r="E7" s="50"/>
      <c r="F7" s="50"/>
      <c r="G7" s="45"/>
      <c r="H7" s="45"/>
      <c r="I7" s="45"/>
      <c r="J7" s="45"/>
      <c r="K7" s="45"/>
      <c r="L7" s="45"/>
      <c r="M7" s="182"/>
      <c r="N7" s="182"/>
      <c r="P7" s="90" t="s">
        <v>194</v>
      </c>
      <c r="Q7" s="110">
        <f ca="1">MAX((IFERROR(OFFSET($J$20,MATCH("Sand Transfer to Conveyor",$J$21:$J$30,0),1),0)),((IFERROR((OFFSET($J$37,MATCH("Sand Transfer to Conveyor",$J$38:$J$47,0),1)),0))),((IFERROR((OFFSET($J$53,MATCH("Sand Transfer to Conveyor",$J$54:$J$63,0),1)),0))),((IFERROR((OFFSET($J$69,MATCH("Sand Transfer to Conveyor",$J$70:$J$79,0),1)),0))),((IFERROR((OFFSET($J$85,MATCH("Sand Transfer to Conveyor",$J$86:$J$95,0),1)),0))),((IFERROR((OFFSET($J$101,MATCH("Sand Transfer to Conveyor",$J$102:$J$111,0),1)),0))),((IFERROR((OFFSET($J$117,MATCH("Sand Transfer to Conveyor",$J$118:$J$127,0),1)),0))),((IFERROR((OFFSET($J$133,MATCH("Sand Transfer to Conveyor",$J$134:$J$143,0),1)),0))),((IFERROR((OFFSET($J$149,MATCH("Sand Transfer to Conveyor",$J$150:$J$159,0),1)),0))),((IFERROR((OFFSET($J$165,MATCH("Sand Transfer to Conveyor",$J$166:$J$175,0),1)),0))),)</f>
        <v>0</v>
      </c>
      <c r="R7" s="110">
        <f ca="1">SUM((IFERROR(OFFSET($J$20,MATCH("Sand Transfer to Conveyor",$J$21:$J$30,0),2),0)),((IFERROR((OFFSET($J$37,MATCH("Sand Transfer to Conveyor",$J$38:$J$47,0),2)),0))),((IFERROR((OFFSET($J$53,MATCH("Sand Transfer to Conveyor",$J$54:$J$63,0),2)),0))),((IFERROR((OFFSET($J$69,MATCH("Sand Transfer to Conveyor",$J$70:$J$79,0),2)),0))),((IFERROR((OFFSET($J$85,MATCH("Sand Transfer to Conveyor",$J$86:$J$95,0),2)),0))),((IFERROR((OFFSET($J$101,MATCH("Sand Transfer to Conveyor",$J$102:$J$111,0),2)),0))),((IFERROR((OFFSET($J$117,MATCH("Sand Transfer to Conveyor",$J$118:$J$127,0),2)),0))),((IFERROR((OFFSET($J$133,MATCH("Sand Transfer to Conveyor",$J$134:$J$143,0),2)),0))),((IFERROR((OFFSET($J$149,MATCH("Sand Transfer to Conveyor",$J$150:$J$159,0),2)),0))),((IFERROR((OFFSET($J$165,MATCH("Sand Transfer to Conveyor",$J$166:$J$175,0),2)),0))),)</f>
        <v>0</v>
      </c>
    </row>
    <row r="8" spans="2:21" ht="14.25" customHeight="1" x14ac:dyDescent="0.2">
      <c r="B8" s="52" t="s">
        <v>149</v>
      </c>
      <c r="C8" s="45"/>
      <c r="D8" s="45"/>
      <c r="E8" s="45"/>
      <c r="F8" s="182"/>
      <c r="G8" s="50"/>
      <c r="H8" s="56" t="s">
        <v>150</v>
      </c>
      <c r="I8" s="56"/>
      <c r="J8" s="50"/>
      <c r="K8" s="50"/>
      <c r="P8" s="90" t="s">
        <v>195</v>
      </c>
      <c r="Q8" s="110">
        <f ca="1">MAX((IFERROR(OFFSET($J$20,MATCH("Aggregate Transfer to Elevated Storage",$J$21:$J$30,0),1),0)),((IFERROR((OFFSET($J$37,MATCH("Aggregate Transfer to Elevated Storage",$J$38:$J$47,0),1)),0))),((IFERROR((OFFSET($J$53,MATCH("Aggregate Transfer to Elevated Storage",$J$54:$J$63,0),1)),0))),((IFERROR((OFFSET($J$69,MATCH("Aggregate Transfer to Elevated Storage",$J$70:$J$79,0),1)),0))),((IFERROR((OFFSET($J$85,MATCH("Aggregate Transfer to Elevated Storage",$J$86:$J$95,0),1)),0))),((IFERROR((OFFSET($J$101,MATCH("Aggregate Transfer to Elevated Storage",$J$102:$J$111,0),1)),0))),((IFERROR((OFFSET($J$117,MATCH("Aggregate Transfer to Elevated Storage",$J$118:$J$127,0),1)),0))),((IFERROR((OFFSET($J$133,MATCH("Aggregate Transfer to Elevated Storage",$J$134:$J$143,0),1)),0))),((IFERROR((OFFSET($J$149,MATCH("Aggregate Transfer to Elevated Storage",$J$150:$J$159,0),1)),0))),((IFERROR((OFFSET($J$165,MATCH("Aggregate Transfer to Elevated Storage",$J$166:$J$175,0),1)),0))),)</f>
        <v>0</v>
      </c>
      <c r="R8" s="110">
        <f ca="1">SUM((IFERROR(OFFSET($J$20,MATCH("Aggregate Transfer to Elevated Storage",$J$21:$J$30,0),2),0)),((IFERROR((OFFSET($J$37,MATCH("Aggregate Transfer to Elevated Storage",$J$38:$J$47,0),2)),0))),((IFERROR((OFFSET($J$53,MATCH("Aggregate Transfer to Elevated Storage",$J$54:$J$63,0),2)),0))),((IFERROR((OFFSET($J$69,MATCH("Aggregate Transfer to Elevated Storage",$J$70:$J$79,0),2)),0))),((IFERROR((OFFSET($J$85,MATCH("Aggregate Transfer to Elevated Storage",$J$86:$J$95,0),2)),0))),((IFERROR((OFFSET($J$101,MATCH("Aggregate Transfer to Elevated Storage",$J$102:$J$111,0),2)),0))),((IFERROR((OFFSET($J$117,MATCH("Aggregate Transfer to Elevated Storage",$J$118:$J$127,0),2)),0))),((IFERROR((OFFSET($J$133,MATCH("Aggregate Transfer to Elevated Storage",$J$134:$J$143,0),2)),0))),((IFERROR((OFFSET($J$149,MATCH("Aggregate Transfer to Elevated Storage",$J$150:$J$159,0),2)),0))),((IFERROR((OFFSET($J$165,MATCH("Aggregate Transfer to Elevated Storage",$J$166:$J$175,0),2)),0))),)</f>
        <v>0</v>
      </c>
    </row>
    <row r="9" spans="2:21" ht="14.25" customHeight="1" x14ac:dyDescent="0.2">
      <c r="B9" s="389" t="s">
        <v>204</v>
      </c>
      <c r="C9" s="390"/>
      <c r="D9" s="400"/>
      <c r="E9" s="337"/>
      <c r="F9" s="174"/>
      <c r="H9" s="57" t="s">
        <v>141</v>
      </c>
      <c r="I9" s="60" t="s">
        <v>139</v>
      </c>
      <c r="J9" s="60" t="s">
        <v>140</v>
      </c>
      <c r="P9" s="90" t="s">
        <v>196</v>
      </c>
      <c r="Q9" s="110">
        <f ca="1">MAX((IFERROR(OFFSET($J$20,MATCH("Sand Transfer to Elevated Storage",$J$21:$J$30,0),1),0)),((IFERROR((OFFSET($J$37,MATCH("Sand Transfer to Elevated Storage",$J$38:$J$47,0),1)),0))),((IFERROR((OFFSET($J$53,MATCH("Sand Transfer to Elevated Storage",$J$54:$J$63,0),1)),0))),((IFERROR((OFFSET($J$69,MATCH("Sand Transfer to Elevated Storage",$J$70:$J$79,0),1)),0))),((IFERROR((OFFSET($J$85,MATCH("Sand Transfer to Elevated Storage",$J$86:$J$95,0),1)),0))),((IFERROR((OFFSET($J$101,MATCH("Sand Transfer to Elevated Storage",$J$102:$J$111,0),1)),0))),((IFERROR((OFFSET($J$117,MATCH("Sand Transfer to Elevated Storage",$J$118:$J$127,0),1)),0))),((IFERROR((OFFSET($J$133,MATCH("Sand Transfer to Elevated Storage",$J$134:$J$143,0),1)),0))),((IFERROR((OFFSET($J$149,MATCH("Sand Transfer to Elevated Storage",$J$150:$J$159,0),1)),0))),((IFERROR((OFFSET($J$165,MATCH("Sand Transfer to Elevated Storage",$J$166:$J$175,0),1)),0))),)</f>
        <v>0</v>
      </c>
      <c r="R9" s="110">
        <f ca="1">SUM((IFERROR(OFFSET($J$20,MATCH("Sand Transfer to Elevated Storage",$J$21:$J$30,0),2),0)),((IFERROR((OFFSET($J$37,MATCH("Sand Transfer to Elevated Storage",$J$38:$J$47,0),2)),0))),((IFERROR((OFFSET($J$53,MATCH("Sand Transfer to Elevated Storage",$J$54:$J$63,0),2)),0))),((IFERROR((OFFSET($J$69,MATCH("Sand Transfer to Elevated Storage",$J$70:$J$79,0),2)),0))),((IFERROR((OFFSET($J$85,MATCH("Sand Transfer to Elevated Storage",$J$86:$J$95,0),2)),0))),((IFERROR((OFFSET($J$101,MATCH("Sand Transfer to Elevated Storage",$J$102:$J$111,0),2)),0))),((IFERROR((OFFSET($J$117,MATCH("Sand Transfer to Elevated Storage",$J$118:$J$127,0),2)),0))),((IFERROR((OFFSET($J$133,MATCH("Sand Transfer to Elevated Storage",$J$134:$J$143,0),2)),0))),((IFERROR((OFFSET($J$149,MATCH("Sand Transfer to Elevated Storage",$J$150:$J$159,0),2)),0))),((IFERROR((OFFSET($J$165,MATCH("Sand Transfer to Elevated Storage",$J$166:$J$175,0),2)),0))),)</f>
        <v>0</v>
      </c>
    </row>
    <row r="10" spans="2:21" ht="14.25" customHeight="1" x14ac:dyDescent="0.2">
      <c r="B10" s="335" t="s">
        <v>205</v>
      </c>
      <c r="C10" s="393"/>
      <c r="D10" s="400"/>
      <c r="E10" s="337"/>
      <c r="F10" s="174"/>
      <c r="H10" s="59" t="s">
        <v>110</v>
      </c>
      <c r="I10" s="144"/>
      <c r="J10" s="144"/>
      <c r="P10" s="90" t="s">
        <v>203</v>
      </c>
      <c r="Q10" s="110">
        <f ca="1">MAX((IFERROR(OFFSET($J$20,MATCH("Weigh Hopper Loading",$J$21:$J$30,0),1),0)),((IFERROR((OFFSET($J$37,MATCH("Weigh Hopper Loading",$J$38:$J$47,0),1)),0))),((IFERROR((OFFSET($J$53,MATCH("Weigh Hopper Loading",$J$54:$J$63,0),1)),0))),((IFERROR((OFFSET($J$69,MATCH("Weigh Hopper Loading",$J$70:$J$79,0),1)),0))),((IFERROR((OFFSET($J$85,MATCH("Weigh Hopper Loading",$J$86:$J$95,0),1)),0))),((IFERROR((OFFSET($J$101,MATCH("Weigh Hopper Loading",$J$102:$J$111,0),1)),0))),((IFERROR((OFFSET($J$117,MATCH("Weigh Hopper Loading",$J$118:$J$127,0),1)),0))),((IFERROR((OFFSET($J$133,MATCH("Weigh Hopper Loading",$J$134:$J$143,0),1)),0))),((IFERROR((OFFSET($J$149,MATCH("Weigh Hopper Loading",$J$150:$J$159,0),1)),0))),((IFERROR((OFFSET($J$165,MATCH("Weigh Hopper Loading",$J$166:$J$175,0),1)),0))),)</f>
        <v>0</v>
      </c>
      <c r="R10" s="110">
        <f ca="1">SUM((IFERROR(OFFSET($J$20,MATCH("Weigh Hopper Loading",$J$21:$J$30,0),2),0)),((IFERROR((OFFSET($J$37,MATCH("Weigh Hopper Loading",$J$38:$J$47,0),2)),0))),((IFERROR((OFFSET($J$53,MATCH("Weigh Hopper Loading",$J$54:$J$63,0),2)),0))),((IFERROR((OFFSET($J$69,MATCH("Weigh Hopper Loading",$J$70:$J$79,0),2)),0))),((IFERROR((OFFSET($J$85,MATCH("Weigh Hopper Loading",$J$86:$J$95,0),2)),0))),((IFERROR((OFFSET($J$101,MATCH("Weigh Hopper Loading",$J$102:$J$111,0),2)),0))),((IFERROR((OFFSET($J$117,MATCH("Weigh Hopper Loading",$J$118:$J$127,0),2)),0))),((IFERROR((OFFSET($J$133,MATCH("Weigh Hopper Loading",$J$134:$J$143,0),2)),0))),((IFERROR((OFFSET($J$149,MATCH("Weigh Hopper Loading",$J$150:$J$159,0),2)),0))),((IFERROR((OFFSET($J$165,MATCH("Weigh Hopper Loading",$J$166:$J$175,0),2)),0))),)</f>
        <v>0</v>
      </c>
    </row>
    <row r="11" spans="2:21" ht="14.25" customHeight="1" x14ac:dyDescent="0.2">
      <c r="B11" s="391" t="s">
        <v>146</v>
      </c>
      <c r="C11" s="392"/>
      <c r="D11" s="400"/>
      <c r="E11" s="337"/>
      <c r="F11" s="174"/>
      <c r="H11" s="58" t="s">
        <v>17</v>
      </c>
      <c r="I11" s="144"/>
      <c r="J11" s="144"/>
      <c r="P11" s="90" t="s">
        <v>197</v>
      </c>
      <c r="Q11" s="110">
        <f ca="1">MAX((IFERROR(OFFSET($J$20,MATCH("Central Mix Loading",$J$21:$J$30,0),1),0)),((IFERROR((OFFSET($J$37,MATCH("Central Mix Loading",$J$38:$J$47,0),1)),0))),((IFERROR((OFFSET($J$53,MATCH("Central Mix Loading",$J$54:$J$63,0),1)),0))),((IFERROR((OFFSET($J$69,MATCH("Central Mix Loading",$J$70:$J$79,0),1)),0))),((IFERROR((OFFSET($J$85,MATCH("Central Mix Loading",$J$86:$J$95,0),1)),0))),((IFERROR((OFFSET($J$101,MATCH("Central Mix Loading",$J$102:$J$111,0),1)),0))),((IFERROR((OFFSET($J$117,MATCH("Central Mix Loading",$J$118:$J$127,0),1)),0))),((IFERROR((OFFSET($J$133,MATCH("Central Mix Loading",$J$134:$J$143,0),1)),0))),((IFERROR((OFFSET($J$149,MATCH("Central Mix Loading",$J$150:$J$159,0),1)),0))),((IFERROR((OFFSET($J$165,MATCH("Central Mix Loading",$J$166:$J$175,0),1)),0))),)</f>
        <v>0</v>
      </c>
      <c r="R11" s="110">
        <f ca="1">SUM((IFERROR(OFFSET($J$20,MATCH("Central Mix Loading",$J$21:$J$30,0),2),0)),((IFERROR((OFFSET($J$37,MATCH("Central Mix Loading",$J$38:$J$47,0),2)),0))),((IFERROR((OFFSET($J$53,MATCH("Central Mix Loading",$J$54:$J$63,0),2)),0))),((IFERROR((OFFSET($J$69,MATCH("Central Mix Loading",$J$70:$J$79,0),2)),0))),((IFERROR((OFFSET($J$85,MATCH("Central Mix Loading",$J$86:$J$95,0),2)),0))),((IFERROR((OFFSET($J$101,MATCH("Central Mix Loading",$J$102:$J$111,0),2)),0))),((IFERROR((OFFSET($J$117,MATCH("Central Mix Loading",$J$118:$J$127,0),2)),0))),((IFERROR((OFFSET($J$133,MATCH("Central Mix Loading",$J$134:$J$143,0),2)),0))),((IFERROR((OFFSET($J$149,MATCH("Central Mix Loading",$J$150:$J$159,0),2)),0))),((IFERROR((OFFSET($J$165,MATCH("Central Mix Loading",$J$166:$J$175,0),2)),0))),)</f>
        <v>0</v>
      </c>
    </row>
    <row r="12" spans="2:21" ht="14.25" customHeight="1" x14ac:dyDescent="0.25">
      <c r="B12" s="320" t="s">
        <v>269</v>
      </c>
      <c r="C12" s="319"/>
      <c r="D12" s="319"/>
      <c r="E12" s="319"/>
      <c r="F12" s="170"/>
      <c r="G12" s="30"/>
      <c r="H12" s="58" t="s">
        <v>3</v>
      </c>
      <c r="I12" s="144"/>
      <c r="J12" s="144"/>
      <c r="P12" s="90" t="s">
        <v>198</v>
      </c>
      <c r="Q12" s="110">
        <f ca="1">MAX((IFERROR(OFFSET($J$20,MATCH("Truck Mix Loading",$J$21:$J$30,0),1),0)),((IFERROR((OFFSET($J$37,MATCH("Truck Mix Loading",$J$38:$J$47,0),1)),0))),((IFERROR((OFFSET($J$53,MATCH("Truck Mix Loading",$J$54:$J$63,0),1)),0))),((IFERROR((OFFSET($J$69,MATCH("Truck Mix Loading",$J$70:$J$79,0),1)),0))),((IFERROR((OFFSET($J$85,MATCH("Truck Mix Loading",$J$86:$J$95,0),1)),0))),((IFERROR((OFFSET($J$101,MATCH("Truck Mix Loading",$J$102:$J$111,0),1)),0))),((IFERROR((OFFSET($J$117,MATCH("Truck Mix Loading",$J$118:$J$127,0),1)),0))),((IFERROR((OFFSET($J$133,MATCH("Truck Mix Loading",$J$134:$J$143,0),1)),0))),((IFERROR((OFFSET($J$149,MATCH("Truck Mix Loading",$J$150:$J$159,0),1)),0))),((IFERROR((OFFSET($J$165,MATCH("Truck Mix Loading",$J$166:$J$175,0),1)),0))),)</f>
        <v>0</v>
      </c>
      <c r="R12" s="110">
        <f ca="1">SUM((IFERROR(OFFSET($J$20,MATCH("Truck Mix Loading",$J$21:$J$30,0),2),0)),((IFERROR((OFFSET($J$37,MATCH("Truck Mix Loading",$J$38:$J$47,0),2)),0))),((IFERROR((OFFSET($J$53,MATCH("Truck Mix Loading",$J$54:$J$63,0),2)),0))),((IFERROR((OFFSET($J$69,MATCH("Truck Mix Loading",$J$70:$J$79,0),2)),0))),((IFERROR((OFFSET($J$85,MATCH("Truck Mix Loading",$J$86:$J$95,0),2)),0))),((IFERROR((OFFSET($J$101,MATCH("Truck Mix Loading",$J$102:$J$111,0),2)),0))),((IFERROR((OFFSET($J$117,MATCH("Truck Mix Loading",$J$118:$J$127,0),2)),0))),((IFERROR((OFFSET($J$133,MATCH("Truck Mix Loading",$J$134:$J$143,0),2)),0))),((IFERROR((OFFSET($J$149,MATCH("Truck Mix Loading",$J$150:$J$159,0),2)),0))),((IFERROR((OFFSET($J$165,MATCH("Truck Mix Loading",$J$166:$J$175,0),2)),0))),)</f>
        <v>0</v>
      </c>
    </row>
    <row r="13" spans="2:21" ht="14.25" customHeight="1" x14ac:dyDescent="0.25">
      <c r="B13" s="320" t="s">
        <v>271</v>
      </c>
      <c r="C13" s="319"/>
      <c r="D13" s="319"/>
      <c r="E13" s="319"/>
      <c r="F13" s="170"/>
      <c r="G13" s="30"/>
      <c r="H13" s="58" t="s">
        <v>27</v>
      </c>
      <c r="I13" s="144"/>
      <c r="J13" s="144"/>
      <c r="P13" s="90" t="s">
        <v>199</v>
      </c>
      <c r="Q13" s="110">
        <f ca="1">MAX((IFERROR(OFFSET($J$20,MATCH("Cement Delivery to Silo",$J$21:$J$30,0),1),0)),((IFERROR((OFFSET($J$37,MATCH("Cement Delivery to Silo",$J$38:$J$47,0),1)),0))),((IFERROR((OFFSET($J$53,MATCH("Cement Delivery to Silo",$J$54:$J$63,0),1)),0))),((IFERROR((OFFSET($J$69,MATCH("Cement Delivery to Silo",$J$70:$J$79,0),1)),0))),((IFERROR((OFFSET($J$85,MATCH("Cement Delivery to Silo",$J$86:$J$95,0),1)),0))),((IFERROR((OFFSET($J$101,MATCH("Cement Delivery to Silo",$J$102:$J$111,0),1)),0))),((IFERROR((OFFSET($J$117,MATCH("Cement Delivery to Silo",$J$118:$J$127,0),1)),0))),((IFERROR((OFFSET($J$133,MATCH("Cement Delivery to Silo",$J$134:$J$143,0),1)),0))),((IFERROR((OFFSET($J$149,MATCH("Cement Delivery to Silo",$J$150:$J$159,0),1)),0))),((IFERROR((OFFSET($J$165,MATCH("Cement Delivery to Silo",$J$166:$J$175,0),1)),0))),)</f>
        <v>0</v>
      </c>
      <c r="R13" s="110">
        <f ca="1">SUM((IFERROR(OFFSET($J$20,MATCH("Cement Delivery to Silo",$J$21:$J$30,0),2),0)),((IFERROR((OFFSET($J$37,MATCH("Cement Delivery to Silo",$J$38:$J$47,0),2)),0))),((IFERROR((OFFSET($J$53,MATCH("Cement Delivery to Silo",$J$54:$J$63,0),2)),0))),((IFERROR((OFFSET($J$69,MATCH("Cement Delivery to Silo",$J$70:$J$79,0),2)),0))),((IFERROR((OFFSET($J$85,MATCH("Cement Delivery to Silo",$J$86:$J$95,0),2)),0))),((IFERROR((OFFSET($J$101,MATCH("Cement Delivery to Silo",$J$102:$J$111,0),2)),0))),((IFERROR((OFFSET($J$117,MATCH("Cement Delivery to Silo",$J$118:$J$127,0),2)),0))),((IFERROR((OFFSET($J$133,MATCH("Cement Delivery to Silo",$J$134:$J$143,0),2)),0))),((IFERROR((OFFSET($J$149,MATCH("Cement Delivery to Silo",$J$150:$J$159,0),2)),0))),((IFERROR((OFFSET($J$165,MATCH("Cement Delivery to Silo",$J$166:$J$175,0),2)),0))),)</f>
        <v>0</v>
      </c>
    </row>
    <row r="14" spans="2:21" ht="14.25" customHeight="1" x14ac:dyDescent="0.25">
      <c r="B14" s="324" t="s">
        <v>270</v>
      </c>
      <c r="C14" s="319"/>
      <c r="D14" s="319"/>
      <c r="E14" s="319"/>
      <c r="F14" s="170"/>
      <c r="G14" s="30"/>
      <c r="H14" s="58" t="s">
        <v>5</v>
      </c>
      <c r="I14" s="144"/>
      <c r="J14" s="144"/>
      <c r="P14" s="90" t="s">
        <v>200</v>
      </c>
      <c r="Q14" s="110">
        <f ca="1">MAX((IFERROR(OFFSET($J$20,MATCH("Cement Supplement Delivery to Silo",$J$21:$J$30,0),1),0)),((IFERROR((OFFSET($J$37,MATCH("Cement Supplement Delivery to Silo",$J$38:$J$47,0),1)),0))),((IFERROR((OFFSET($J$53,MATCH("Cement Supplement Delivery to Silo",$J$54:$J$63,0),1)),0))),((IFERROR((OFFSET($J$69,MATCH("Cement Supplement Delivery to Silo",$J$70:$J$79,0),1)),0))),((IFERROR((OFFSET($J$85,MATCH("Cement Supplement Delivery to Silo",$J$86:$J$95,0),1)),0))),((IFERROR((OFFSET($J$101,MATCH("Cement Supplement Delivery to Silo",$J$102:$J$111,0),1)),0))),((IFERROR((OFFSET($J$117,MATCH("Cement Supplement Delivery to Silo",$J$118:$J$127,0),1)),0))),((IFERROR((OFFSET($J$133,MATCH("Cement Supplement Delivery to Silo",$J$134:$J$143,0),1)),0))),((IFERROR((OFFSET($J$149,MATCH("Cement Supplement Delivery to Silo",$J$150:$J$159,0),1)),0))),((IFERROR((OFFSET($J$165,MATCH("Cement Supplement Delivery to Silo",$J$166:$J$175,0),1)),0))),)</f>
        <v>0</v>
      </c>
      <c r="R14" s="110">
        <f ca="1">SUM((IFERROR(OFFSET($J$20,MATCH("Cement Supplement Delivery to Silo",$J$21:$J$30,0),2),0)),((IFERROR((OFFSET($J$37,MATCH("Cement Supplement Delivery to Silo",$J$38:$J$47,0),2)),0))),((IFERROR((OFFSET($J$53,MATCH("Cement Supplement Delivery to Silo",$J$54:$J$63,0),2)),0))),((IFERROR((OFFSET($J$69,MATCH("Cement Supplement Delivery to Silo",$J$70:$J$79,0),2)),0))),((IFERROR((OFFSET($J$85,MATCH("Cement Supplement Delivery to Silo",$J$86:$J$95,0),2)),0))),((IFERROR((OFFSET($J$101,MATCH("Cement Supplement Delivery to Silo",$J$102:$J$111,0),2)),0))),((IFERROR((OFFSET($J$117,MATCH("Cement Supplement Delivery to Silo",$J$118:$J$127,0),2)),0))),((IFERROR((OFFSET($J$133,MATCH("Cement Supplement Delivery to Silo",$J$134:$J$143,0),2)),0))),((IFERROR((OFFSET($J$149,MATCH("Cement Supplement Delivery to Silo",$J$150:$J$159,0),2)),0))),((IFERROR((OFFSET($J$165,MATCH("Cement Supplement Delivery to Silo",$J$166:$J$175,0),2)),0))),)</f>
        <v>0</v>
      </c>
    </row>
    <row r="15" spans="2:21" ht="14.25" customHeight="1" x14ac:dyDescent="0.25">
      <c r="B15" s="12"/>
      <c r="C15" s="12"/>
      <c r="D15" s="12"/>
      <c r="E15" s="12"/>
      <c r="F15" s="12"/>
      <c r="G15" s="12"/>
      <c r="H15" s="58" t="s">
        <v>6</v>
      </c>
      <c r="I15" s="144"/>
      <c r="J15" s="144"/>
    </row>
    <row r="16" spans="2:21" ht="15" customHeight="1" thickBot="1" x14ac:dyDescent="0.3">
      <c r="B16" s="85"/>
      <c r="C16" s="85"/>
      <c r="D16" s="85"/>
      <c r="E16" s="85"/>
      <c r="F16" s="85"/>
      <c r="G16" s="85"/>
      <c r="H16" s="86"/>
      <c r="I16" s="86"/>
      <c r="J16" s="124"/>
      <c r="K16" s="124"/>
      <c r="L16" s="87"/>
      <c r="M16" s="71"/>
      <c r="N16" s="71"/>
      <c r="P16" s="68"/>
      <c r="Q16" s="188" t="s">
        <v>155</v>
      </c>
      <c r="R16" s="189" t="s">
        <v>154</v>
      </c>
      <c r="S16" s="88"/>
    </row>
    <row r="17" spans="1:23" ht="14.25" customHeight="1" x14ac:dyDescent="0.25">
      <c r="B17" s="12"/>
      <c r="C17" s="12"/>
      <c r="D17" s="12"/>
      <c r="E17" s="12"/>
      <c r="F17" s="12"/>
      <c r="G17" s="12"/>
      <c r="H17" s="84"/>
      <c r="I17" s="84"/>
      <c r="J17" s="50"/>
      <c r="K17" s="50"/>
      <c r="P17" s="90" t="s">
        <v>40</v>
      </c>
      <c r="Q17" s="143">
        <f>SUM(J34,J50,J67,J83,J99,J115,J131,J147,J163,J179)</f>
        <v>0</v>
      </c>
      <c r="R17" s="143">
        <f>SUM(K34*L34,K50*L50,K67*L67,K83*L83,K99*L99,K115*L115,K131*L131,K147*L147,K163*L163,K179*L179)</f>
        <v>0</v>
      </c>
      <c r="S17" s="68"/>
    </row>
    <row r="18" spans="1:23" ht="9" customHeight="1" x14ac:dyDescent="0.2">
      <c r="A18" s="71"/>
      <c r="B18" s="345"/>
      <c r="C18" s="50"/>
      <c r="D18" s="50"/>
      <c r="E18" s="50"/>
      <c r="F18" s="50"/>
    </row>
    <row r="19" spans="1:23" ht="13.5" customHeight="1" x14ac:dyDescent="0.2">
      <c r="D19" s="71"/>
      <c r="E19" s="71"/>
      <c r="F19" s="71"/>
      <c r="M19" s="217"/>
      <c r="N19" s="217"/>
      <c r="P19" s="45" t="s">
        <v>254</v>
      </c>
    </row>
    <row r="20" spans="1:23" ht="27" customHeight="1" x14ac:dyDescent="0.25">
      <c r="B20" s="69" t="s">
        <v>201</v>
      </c>
      <c r="C20" s="361" t="s">
        <v>145</v>
      </c>
      <c r="G20" s="45"/>
      <c r="H20" s="310" t="s">
        <v>1</v>
      </c>
      <c r="I20" s="310" t="s">
        <v>181</v>
      </c>
      <c r="J20" s="310" t="s">
        <v>142</v>
      </c>
      <c r="K20" s="311" t="s">
        <v>241</v>
      </c>
      <c r="L20" s="310" t="str">
        <f>('Facility Information'!G5&amp;" Annual Throughput (cubic yards)")</f>
        <v xml:space="preserve"> Annual Throughput (cubic yards)</v>
      </c>
      <c r="M20" s="218" t="s">
        <v>250</v>
      </c>
      <c r="N20" s="218" t="s">
        <v>251</v>
      </c>
      <c r="P20" s="89" t="s">
        <v>110</v>
      </c>
      <c r="Q20" s="308" t="s">
        <v>242</v>
      </c>
      <c r="R20" s="308" t="s">
        <v>240</v>
      </c>
      <c r="S20" s="308" t="s">
        <v>147</v>
      </c>
      <c r="T20" s="308" t="s">
        <v>130</v>
      </c>
      <c r="U20" s="308" t="s">
        <v>14</v>
      </c>
      <c r="V20" s="308" t="s">
        <v>148</v>
      </c>
    </row>
    <row r="21" spans="1:23" ht="14.25" customHeight="1" x14ac:dyDescent="0.2">
      <c r="A21" s="67" t="s">
        <v>38</v>
      </c>
      <c r="B21" s="186" t="s">
        <v>89</v>
      </c>
      <c r="C21" s="349"/>
      <c r="D21" s="356"/>
      <c r="E21" s="357"/>
      <c r="F21" s="175"/>
      <c r="G21" s="45"/>
      <c r="H21" s="126" t="str">
        <f>IF(J21="cement delivery to silo","CP-1 EP-2",IF(J21="cement supplement delivery to silo","CP-1 EP-3",IF(J21="weigh hopper loading","CP-1 EP-4",IF(J21="truck mix loading","CP-1 EP-5",IF(J21="central mix loading","CP-1 EP-6",IF(J21="","","CP-1 EP-1"))))))</f>
        <v/>
      </c>
      <c r="I21" s="126" t="str">
        <f t="shared" ref="I21:I30" si="0">IF(J21="","",IF(J21="aggregate delivery to ground storage","CP-5 EU-1",IF(J21="sand delivery to ground storage","CP-5 EU-2",IF(J21="aggregate transfer to conveyor","CP-5 EU-3",IF(J21="sand transfer to conveyor","CP-5 EU-4",IF(J21="aggregate transfer to elevated storage","CP-5 EU-5",IF(J21="sand transfer to elevated storage","CP-5 EU-6",IF(J21="weigh hopper loading","CP-5 EU-7",IF(J21="central mix loading","CP-5 EU-8",IF(J21="truck mix loading","CP-5 EU-9",IF(J21="cement delivery to silo","CP-5 EU-10",IF(J21="cement supplement delivery to silo","CP-5 EU-11"))))))))))))</f>
        <v/>
      </c>
      <c r="J21" s="82"/>
      <c r="K21" s="61"/>
      <c r="L21" s="156"/>
      <c r="M21" s="219" t="str">
        <f>IF(J21="truck mix loading",IF($F$24="yes",L21*0.05/2000,L21/2000),"")</f>
        <v/>
      </c>
      <c r="N21" s="219" t="str">
        <f>IF(J21="central mix loading",IF($F$24="yes",L21*0.05/2000,L21/2000),"")</f>
        <v/>
      </c>
      <c r="P21" s="90" t="s">
        <v>191</v>
      </c>
      <c r="Q21" s="105">
        <f t="shared" ref="Q21:Q31" ca="1" si="1">Q4</f>
        <v>0</v>
      </c>
      <c r="R21" s="111">
        <f ca="1">IF(Q21=0,0,LOOKUP(P21,'Emission Factors'!$A$5:$A$16,'Emission Factors'!$D$5:$D$16))</f>
        <v>0</v>
      </c>
      <c r="S21" s="105">
        <f t="shared" ref="S21:S29" ca="1" si="2">Q21*R21</f>
        <v>0</v>
      </c>
      <c r="T21" s="105" t="str">
        <f ca="1">IF(Q21=0,"",IF($I$10&gt;0,$I$10,""))</f>
        <v/>
      </c>
      <c r="U21" s="105">
        <f ca="1">IF($J$10&gt;0,$J$10,IF($D$9&gt;0,$D$9*R21/2000,IF($D$10&gt;0,$D$10*365*R21/2000,IF($D$11&gt;0,$D$11*365*R21*Q21/2000,IF(T21="",S21*8760/2000,T21*8760/2000)))))</f>
        <v>0</v>
      </c>
      <c r="V21" s="113">
        <f t="shared" ref="V21:V27" ca="1" si="3">(R4*R21/2000)</f>
        <v>0</v>
      </c>
    </row>
    <row r="22" spans="1:23" ht="14.25" customHeight="1" x14ac:dyDescent="0.2">
      <c r="A22" s="67" t="s">
        <v>39</v>
      </c>
      <c r="B22" s="186" t="s">
        <v>90</v>
      </c>
      <c r="C22" s="339"/>
      <c r="D22" s="342"/>
      <c r="E22" s="343"/>
      <c r="F22" s="175"/>
      <c r="G22" s="45"/>
      <c r="H22" s="126" t="str">
        <f t="shared" ref="H22:H30" si="4">IF(J22="cement delivery to silo","CP-1 EP-2",IF(J22="cement supplement delivery to silo","CP-1 EP-3",IF(J22="weigh hopper loading","CP-1 EP-4",IF(J22="truck mix loading","CP-1 EP-5",IF(J22="central mix loading","CP-1 EP-6",IF(J22="","","CP-1 EP-1"))))))</f>
        <v/>
      </c>
      <c r="I22" s="126" t="str">
        <f t="shared" si="0"/>
        <v/>
      </c>
      <c r="J22" s="82"/>
      <c r="K22" s="61"/>
      <c r="L22" s="156"/>
      <c r="M22" s="219" t="str">
        <f t="shared" ref="M22:M30" si="5">IF(J22="truck mix loading",IF($F$24="yes",L22*0.05/2000,L22/2000),"")</f>
        <v/>
      </c>
      <c r="N22" s="219" t="str">
        <f t="shared" ref="N22:N30" si="6">IF(J22="central mix loading",IF($F$24="yes",L22*0.05/2000,L22/2000),"")</f>
        <v/>
      </c>
      <c r="P22" s="90" t="s">
        <v>192</v>
      </c>
      <c r="Q22" s="105">
        <f t="shared" ca="1" si="1"/>
        <v>0</v>
      </c>
      <c r="R22" s="111">
        <f ca="1">IF(Q22=0,0,LOOKUP(P22,'Emission Factors'!$A$5:$A$16,'Emission Factors'!$D$5:$D$16))</f>
        <v>0</v>
      </c>
      <c r="S22" s="105">
        <f t="shared" ca="1" si="2"/>
        <v>0</v>
      </c>
      <c r="T22" s="105" t="str">
        <f t="shared" ref="T22:T27" ca="1" si="7">IF(Q22=0,"",IF($I$10&gt;0,$I$10,""))</f>
        <v/>
      </c>
      <c r="U22" s="105">
        <f t="shared" ref="U22:U27" ca="1" si="8">IF($J$10&gt;0,"",IF($D$9&gt;0,$D$9*R22/2000,IF($D$10&gt;0,$D$10*365*R22/2000,IF($D$11&gt;0,$D$11*365*R22*Q22/2000,IF(T22="",S22*8760/2000,T22*8760/2000)))))</f>
        <v>0</v>
      </c>
      <c r="V22" s="113">
        <f t="shared" ca="1" si="3"/>
        <v>0</v>
      </c>
    </row>
    <row r="23" spans="1:23" ht="14.25" customHeight="1" x14ac:dyDescent="0.2">
      <c r="B23" s="186" t="s">
        <v>202</v>
      </c>
      <c r="C23" s="352"/>
      <c r="D23" s="358"/>
      <c r="E23" s="359"/>
      <c r="F23" s="175"/>
      <c r="G23" s="45"/>
      <c r="H23" s="126" t="str">
        <f t="shared" si="4"/>
        <v/>
      </c>
      <c r="I23" s="126" t="str">
        <f t="shared" si="0"/>
        <v/>
      </c>
      <c r="J23" s="82"/>
      <c r="K23" s="61"/>
      <c r="L23" s="156"/>
      <c r="M23" s="219" t="str">
        <f t="shared" si="5"/>
        <v/>
      </c>
      <c r="N23" s="219" t="str">
        <f t="shared" si="6"/>
        <v/>
      </c>
      <c r="P23" s="90" t="s">
        <v>193</v>
      </c>
      <c r="Q23" s="105">
        <f t="shared" ca="1" si="1"/>
        <v>0</v>
      </c>
      <c r="R23" s="111">
        <f ca="1">IF(Q23=0,0,LOOKUP(P23,'Emission Factors'!$A$5:$A$16,'Emission Factors'!$D$5:$D$16))</f>
        <v>0</v>
      </c>
      <c r="S23" s="105">
        <f t="shared" ca="1" si="2"/>
        <v>0</v>
      </c>
      <c r="T23" s="105" t="str">
        <f t="shared" ca="1" si="7"/>
        <v/>
      </c>
      <c r="U23" s="105">
        <f t="shared" ca="1" si="8"/>
        <v>0</v>
      </c>
      <c r="V23" s="113">
        <f t="shared" ca="1" si="3"/>
        <v>0</v>
      </c>
    </row>
    <row r="24" spans="1:23" ht="14.25" customHeight="1" x14ac:dyDescent="0.25">
      <c r="A24" s="6" t="s">
        <v>191</v>
      </c>
      <c r="B24" s="51" t="str">
        <f>IF(OR(COUNTIF(J21:J30,"Truck Mix Loading")&gt;0,(COUNTIF(J21:J30,"Central Mix Loading")&gt;0)),"Is the Central/Truck Mix Loading process controlled by a baghouse?","")</f>
        <v/>
      </c>
      <c r="C24" s="51"/>
      <c r="D24" s="51"/>
      <c r="E24" s="51"/>
      <c r="F24" s="221"/>
      <c r="G24" s="45"/>
      <c r="H24" s="126" t="str">
        <f t="shared" si="4"/>
        <v/>
      </c>
      <c r="I24" s="126" t="str">
        <f t="shared" si="0"/>
        <v/>
      </c>
      <c r="J24" s="82"/>
      <c r="K24" s="61"/>
      <c r="L24" s="156"/>
      <c r="M24" s="219" t="str">
        <f t="shared" si="5"/>
        <v/>
      </c>
      <c r="N24" s="219" t="str">
        <f t="shared" si="6"/>
        <v/>
      </c>
      <c r="P24" s="90" t="s">
        <v>194</v>
      </c>
      <c r="Q24" s="105">
        <f t="shared" ca="1" si="1"/>
        <v>0</v>
      </c>
      <c r="R24" s="111">
        <f ca="1">IF(Q24=0,0,LOOKUP(P24,'Emission Factors'!$A$5:$A$16,'Emission Factors'!$D$5:$D$16))</f>
        <v>0</v>
      </c>
      <c r="S24" s="105">
        <f t="shared" ca="1" si="2"/>
        <v>0</v>
      </c>
      <c r="T24" s="105" t="str">
        <f t="shared" ca="1" si="7"/>
        <v/>
      </c>
      <c r="U24" s="105">
        <f t="shared" ca="1" si="8"/>
        <v>0</v>
      </c>
      <c r="V24" s="113">
        <f t="shared" ca="1" si="3"/>
        <v>0</v>
      </c>
    </row>
    <row r="25" spans="1:23" ht="14.25" customHeight="1" x14ac:dyDescent="0.25">
      <c r="A25" s="6" t="s">
        <v>192</v>
      </c>
      <c r="B25" s="45"/>
      <c r="C25" s="45"/>
      <c r="D25" s="45"/>
      <c r="E25" s="45"/>
      <c r="F25" s="182"/>
      <c r="G25" s="45"/>
      <c r="H25" s="126" t="str">
        <f t="shared" si="4"/>
        <v/>
      </c>
      <c r="I25" s="126" t="str">
        <f t="shared" si="0"/>
        <v/>
      </c>
      <c r="J25" s="82"/>
      <c r="K25" s="61"/>
      <c r="L25" s="156"/>
      <c r="M25" s="219" t="str">
        <f t="shared" si="5"/>
        <v/>
      </c>
      <c r="N25" s="219" t="str">
        <f t="shared" si="6"/>
        <v/>
      </c>
      <c r="P25" s="90" t="s">
        <v>195</v>
      </c>
      <c r="Q25" s="105">
        <f t="shared" ca="1" si="1"/>
        <v>0</v>
      </c>
      <c r="R25" s="111">
        <f ca="1">IF(Q25=0,0,LOOKUP(P25,'Emission Factors'!$A$5:$A$16,'Emission Factors'!$D$5:$D$16))</f>
        <v>0</v>
      </c>
      <c r="S25" s="105">
        <f t="shared" ca="1" si="2"/>
        <v>0</v>
      </c>
      <c r="T25" s="105" t="str">
        <f t="shared" ca="1" si="7"/>
        <v/>
      </c>
      <c r="U25" s="105">
        <f t="shared" ca="1" si="8"/>
        <v>0</v>
      </c>
      <c r="V25" s="113">
        <f t="shared" ca="1" si="3"/>
        <v>0</v>
      </c>
    </row>
    <row r="26" spans="1:23" ht="27.75" customHeight="1" x14ac:dyDescent="0.25">
      <c r="A26" s="6" t="s">
        <v>193</v>
      </c>
      <c r="B26" s="312" t="str">
        <f>IF(AND(B28="",B29="",B32="",B31="",B30=""),"","Process (complete stack information if applicable):")</f>
        <v/>
      </c>
      <c r="C26" s="312" t="str">
        <f>IF(AND(B28="",B29="",B32="",B31="",B30=""),"","Stack Height (ft):")</f>
        <v/>
      </c>
      <c r="D26" s="312" t="str">
        <f>IF(AND(B28="",B29="",B32="",B31="",B30=""),"","Stack Diameter (inches):")</f>
        <v/>
      </c>
      <c r="E26" s="312" t="str">
        <f>IF(AND(B28="",B29="",B32="",B31="",B30=""),"","Flow Rate (acfm):")</f>
        <v/>
      </c>
      <c r="F26" s="312" t="str">
        <f>IF(AND(B28="",B29="",B32="",B31="",B30=""),"","Temp (Deg F):")</f>
        <v/>
      </c>
      <c r="G26" s="45"/>
      <c r="H26" s="126" t="str">
        <f t="shared" si="4"/>
        <v/>
      </c>
      <c r="I26" s="126" t="str">
        <f t="shared" si="0"/>
        <v/>
      </c>
      <c r="J26" s="82"/>
      <c r="K26" s="61"/>
      <c r="L26" s="156"/>
      <c r="M26" s="219" t="str">
        <f t="shared" si="5"/>
        <v/>
      </c>
      <c r="N26" s="219" t="str">
        <f t="shared" si="6"/>
        <v/>
      </c>
      <c r="P26" s="90" t="s">
        <v>196</v>
      </c>
      <c r="Q26" s="105">
        <f t="shared" ca="1" si="1"/>
        <v>0</v>
      </c>
      <c r="R26" s="111">
        <f ca="1">IF(Q26=0,0,LOOKUP(P26,'Emission Factors'!$A$5:$A$16,'Emission Factors'!$D$5:$D$16))</f>
        <v>0</v>
      </c>
      <c r="S26" s="105">
        <f t="shared" ca="1" si="2"/>
        <v>0</v>
      </c>
      <c r="T26" s="105" t="str">
        <f t="shared" ca="1" si="7"/>
        <v/>
      </c>
      <c r="U26" s="105">
        <f t="shared" ca="1" si="8"/>
        <v>0</v>
      </c>
      <c r="V26" s="113">
        <f t="shared" ca="1" si="3"/>
        <v>0</v>
      </c>
    </row>
    <row r="27" spans="1:23" ht="14.25" customHeight="1" x14ac:dyDescent="0.25">
      <c r="A27" s="6" t="s">
        <v>194</v>
      </c>
      <c r="B27" s="312"/>
      <c r="C27" s="312"/>
      <c r="D27" s="312"/>
      <c r="E27" s="312"/>
      <c r="F27" s="312"/>
      <c r="G27" s="45"/>
      <c r="H27" s="126" t="str">
        <f t="shared" si="4"/>
        <v/>
      </c>
      <c r="I27" s="126" t="str">
        <f t="shared" si="0"/>
        <v/>
      </c>
      <c r="J27" s="82"/>
      <c r="K27" s="61"/>
      <c r="L27" s="156"/>
      <c r="M27" s="219" t="str">
        <f t="shared" si="5"/>
        <v/>
      </c>
      <c r="N27" s="219" t="str">
        <f t="shared" si="6"/>
        <v/>
      </c>
      <c r="P27" s="90" t="s">
        <v>203</v>
      </c>
      <c r="Q27" s="105">
        <f t="shared" ca="1" si="1"/>
        <v>0</v>
      </c>
      <c r="R27" s="111">
        <f ca="1">IF(Q27=0,0,LOOKUP(P27,'Emission Factors'!$A$5:$A$16,'Emission Factors'!$D$5:$D$16))</f>
        <v>0</v>
      </c>
      <c r="S27" s="105">
        <f t="shared" ca="1" si="2"/>
        <v>0</v>
      </c>
      <c r="T27" s="105" t="str">
        <f t="shared" ca="1" si="7"/>
        <v/>
      </c>
      <c r="U27" s="105">
        <f t="shared" ca="1" si="8"/>
        <v>0</v>
      </c>
      <c r="V27" s="113">
        <f t="shared" ca="1" si="3"/>
        <v>0</v>
      </c>
    </row>
    <row r="28" spans="1:23" ht="14.25" customHeight="1" x14ac:dyDescent="0.25">
      <c r="A28" s="6" t="s">
        <v>195</v>
      </c>
      <c r="B28" s="45" t="str">
        <f>IF(COUNTIF(J21:J30,"Cement Delivery to Silo")&gt;0,"EP-2 Cement Silo Stack:","")</f>
        <v/>
      </c>
      <c r="C28" s="221"/>
      <c r="D28" s="221"/>
      <c r="E28" s="221"/>
      <c r="F28" s="221"/>
      <c r="G28" s="45"/>
      <c r="H28" s="126" t="str">
        <f t="shared" si="4"/>
        <v/>
      </c>
      <c r="I28" s="126" t="str">
        <f t="shared" si="0"/>
        <v/>
      </c>
      <c r="J28" s="82"/>
      <c r="K28" s="61"/>
      <c r="L28" s="156"/>
      <c r="M28" s="219" t="str">
        <f t="shared" si="5"/>
        <v/>
      </c>
      <c r="N28" s="219" t="str">
        <f t="shared" si="6"/>
        <v/>
      </c>
      <c r="P28" s="90" t="s">
        <v>197</v>
      </c>
      <c r="Q28" s="105">
        <f t="shared" ca="1" si="1"/>
        <v>0</v>
      </c>
      <c r="R28" s="111">
        <f ca="1">IF(Q28=0,0,LOOKUP(P28,'Emission Factors'!$A$5:$A$16,'Emission Factors'!$D$5:$D$16))</f>
        <v>0</v>
      </c>
      <c r="S28" s="105">
        <f t="shared" ca="1" si="2"/>
        <v>0</v>
      </c>
      <c r="T28" s="105" t="str">
        <f ca="1">IF(Q28=0,"",IF($I$10&gt;0,$I$10,IF(COUNTIF($F$24:$F$170,"no")&gt;0,"",S28*(1-0.95))))</f>
        <v/>
      </c>
      <c r="U28" s="105">
        <f ca="1">IF($J$10&gt;0,"",IF($D$9&gt;0,$D$9*R28*((100-$W$30)/100)/2000,IF($D$10&gt;0,$D$10*365*R28*((100-$W$30)/100)/2000,IF($D$11&gt;0,$D$11*365*R28*((100-$W$30)/100)*Q28/2000,IF(T28="",S28*8760/2000,T28*8760/2000)))))</f>
        <v>0</v>
      </c>
      <c r="V28" s="113">
        <f ca="1">(R28*N182)</f>
        <v>0</v>
      </c>
    </row>
    <row r="29" spans="1:23" ht="14.25" customHeight="1" x14ac:dyDescent="0.25">
      <c r="A29" s="138" t="s">
        <v>196</v>
      </c>
      <c r="B29" s="45" t="str">
        <f>IF(COUNTIF(J21:J30,"Cement Supplement Delivery to Silo")&gt;0,"EP-3 Cement Supplement Silo Stack:","")</f>
        <v/>
      </c>
      <c r="C29" s="221"/>
      <c r="D29" s="221"/>
      <c r="E29" s="221"/>
      <c r="F29" s="221"/>
      <c r="G29" s="45"/>
      <c r="H29" s="126" t="str">
        <f t="shared" si="4"/>
        <v/>
      </c>
      <c r="I29" s="126" t="str">
        <f t="shared" si="0"/>
        <v/>
      </c>
      <c r="J29" s="82"/>
      <c r="K29" s="61"/>
      <c r="L29" s="156"/>
      <c r="M29" s="219" t="str">
        <f t="shared" si="5"/>
        <v/>
      </c>
      <c r="N29" s="219" t="str">
        <f t="shared" si="6"/>
        <v/>
      </c>
      <c r="P29" s="90" t="s">
        <v>198</v>
      </c>
      <c r="Q29" s="105">
        <f t="shared" ca="1" si="1"/>
        <v>0</v>
      </c>
      <c r="R29" s="111">
        <f ca="1">IF(Q29=0,0,LOOKUP(P29,'Emission Factors'!$A$5:$A$16,'Emission Factors'!$D$5:$D$16))</f>
        <v>0</v>
      </c>
      <c r="S29" s="105">
        <f t="shared" ca="1" si="2"/>
        <v>0</v>
      </c>
      <c r="T29" s="105" t="str">
        <f ca="1">IF(Q29=0,"",IF($I$10&gt;0,$I$10,IF(COUNTIF($F$24:$F$170,"no")&gt;0,"",S29*(1-0.95))))</f>
        <v/>
      </c>
      <c r="U29" s="105">
        <f ca="1">IF($J$10&gt;0,"",IF($D$9&gt;0,$D$9*R29*((100-$W$30)/100)/2000,IF($D$10&gt;0,$D$10*365*R29*((100-$W$30)/100)/2000,IF($D$11&gt;0,$D$11*365*R29*((100-$W$30)/100)*Q29/2000,IF(T29="",S29*8760/2000,T29*8760/2000)))))</f>
        <v>0</v>
      </c>
      <c r="V29" s="113">
        <f ca="1">(R29*M182)</f>
        <v>0</v>
      </c>
    </row>
    <row r="30" spans="1:23" ht="14.25" customHeight="1" x14ac:dyDescent="0.25">
      <c r="A30" s="138" t="s">
        <v>203</v>
      </c>
      <c r="B30" s="45" t="str">
        <f>IF(COUNTIF(J21:J30,"Weigh Hopper Loading")&gt;0,"EP-4 Weigh Hopper Loading Stack:","")</f>
        <v/>
      </c>
      <c r="C30" s="221"/>
      <c r="D30" s="221"/>
      <c r="E30" s="221"/>
      <c r="F30" s="221"/>
      <c r="H30" s="126" t="str">
        <f t="shared" si="4"/>
        <v/>
      </c>
      <c r="I30" s="126" t="str">
        <f t="shared" si="0"/>
        <v/>
      </c>
      <c r="J30" s="82"/>
      <c r="K30" s="61"/>
      <c r="L30" s="156"/>
      <c r="M30" s="219" t="str">
        <f t="shared" si="5"/>
        <v/>
      </c>
      <c r="N30" s="219" t="str">
        <f t="shared" si="6"/>
        <v/>
      </c>
      <c r="P30" s="90" t="s">
        <v>199</v>
      </c>
      <c r="Q30" s="105">
        <f t="shared" ca="1" si="1"/>
        <v>0</v>
      </c>
      <c r="R30" s="111">
        <f ca="1">IF(Q30=0,0,LOOKUP(P30,'Emission Factors'!$A$5:$A$16,'Emission Factors'!$D$5:$D$16))</f>
        <v>0</v>
      </c>
      <c r="S30" s="148"/>
      <c r="T30" s="105">
        <f ca="1">IF(Q30=0,0,IF($I$10&gt;0,$I$10,Q30*R30))</f>
        <v>0</v>
      </c>
      <c r="U30" s="105">
        <f ca="1">IF($J$10&gt;0,"",IF($D$9&gt;0,$D$9*R30/2000,IF($D$10&gt;0,$D$10*365*R30/2000,IF($D$11&gt;0,$D$11*365*R30*Q30/2000,IF($I$10&gt;0,0,T30*8760/2000)))))</f>
        <v>0</v>
      </c>
      <c r="V30" s="113">
        <f ca="1">(R13*R30/2000)</f>
        <v>0</v>
      </c>
      <c r="W30" s="67">
        <f>IF(COUNTIF($F$24:$F$170,"no")&gt;0,0,95)</f>
        <v>95</v>
      </c>
    </row>
    <row r="31" spans="1:23" ht="14.25" customHeight="1" x14ac:dyDescent="0.25">
      <c r="A31" s="138" t="s">
        <v>197</v>
      </c>
      <c r="B31" s="45" t="str">
        <f>IF(COUNTIF(J21:J30,"Truck Mix Loading")&gt;0,"EP-5 Truck Mix Loading Stack:","")</f>
        <v/>
      </c>
      <c r="C31" s="221"/>
      <c r="D31" s="221"/>
      <c r="E31" s="221"/>
      <c r="F31" s="221"/>
      <c r="G31" s="76"/>
      <c r="H31" s="45"/>
      <c r="I31" s="45"/>
      <c r="P31" s="90" t="s">
        <v>200</v>
      </c>
      <c r="Q31" s="105">
        <f t="shared" ca="1" si="1"/>
        <v>0</v>
      </c>
      <c r="R31" s="111">
        <f ca="1">IF(Q31=0,0,LOOKUP(P31,'Emission Factors'!$A$5:$A$16,'Emission Factors'!$D$5:$D$16))</f>
        <v>0</v>
      </c>
      <c r="S31" s="148"/>
      <c r="T31" s="105">
        <f ca="1">IF(Q31=0,0,IF($I$10&gt;0,$I$10,Q31*R31))</f>
        <v>0</v>
      </c>
      <c r="U31" s="105">
        <f ca="1">IF($J$10&gt;0,"",IF($D$9&gt;0,$D$9*R31/2000,IF($D$10&gt;0,$D$10*365*R31/2000,IF($D$11&gt;0,$D$11*365*R31*Q31/2000,IF($I$10&gt;0,0,T31*8760/2000)))))</f>
        <v>0</v>
      </c>
      <c r="V31" s="113">
        <f ca="1">(R14*R31/2000)</f>
        <v>0</v>
      </c>
    </row>
    <row r="32" spans="1:23" ht="14.25" customHeight="1" x14ac:dyDescent="0.25">
      <c r="A32" s="138" t="s">
        <v>198</v>
      </c>
      <c r="B32" s="45" t="str">
        <f>IF(COUNTIF(J21:J30,"Central Mix Loading")&gt;0,"EP-6 Central Mix Loading Stack:","")</f>
        <v/>
      </c>
      <c r="C32" s="221"/>
      <c r="D32" s="221"/>
      <c r="E32" s="221"/>
      <c r="F32" s="221"/>
      <c r="H32" s="74" t="s">
        <v>85</v>
      </c>
      <c r="I32" s="74"/>
      <c r="J32" s="75"/>
    </row>
    <row r="33" spans="1:23" ht="14.25" customHeight="1" x14ac:dyDescent="0.25">
      <c r="A33" s="138" t="s">
        <v>199</v>
      </c>
      <c r="B33" s="73"/>
      <c r="C33" s="163"/>
      <c r="D33" s="163"/>
      <c r="E33" s="163"/>
      <c r="F33" s="176"/>
      <c r="I33" s="77" t="s">
        <v>61</v>
      </c>
      <c r="J33" s="43" t="s">
        <v>86</v>
      </c>
      <c r="K33" s="142" t="s">
        <v>87</v>
      </c>
      <c r="L33" s="43" t="s">
        <v>88</v>
      </c>
      <c r="M33" s="146"/>
      <c r="N33" s="146"/>
    </row>
    <row r="34" spans="1:23" ht="14.25" customHeight="1" x14ac:dyDescent="0.25">
      <c r="A34" s="138" t="s">
        <v>200</v>
      </c>
      <c r="B34" s="73"/>
      <c r="C34" s="163"/>
      <c r="D34" s="163"/>
      <c r="E34" s="163"/>
      <c r="F34" s="176"/>
      <c r="I34" s="63"/>
      <c r="J34" s="144"/>
      <c r="K34" s="64"/>
      <c r="L34" s="144"/>
      <c r="M34" s="146"/>
      <c r="N34" s="146"/>
      <c r="P34" s="89" t="s">
        <v>17</v>
      </c>
      <c r="Q34" s="107"/>
      <c r="R34" s="112"/>
      <c r="S34" s="108"/>
      <c r="T34" s="108"/>
      <c r="U34" s="108"/>
      <c r="V34" s="114"/>
    </row>
    <row r="35" spans="1:23" ht="14.25" customHeight="1" x14ac:dyDescent="0.2">
      <c r="B35" s="73"/>
      <c r="C35" s="163"/>
      <c r="D35" s="163"/>
      <c r="E35" s="163"/>
      <c r="F35" s="176"/>
      <c r="P35" s="90" t="s">
        <v>191</v>
      </c>
      <c r="Q35" s="105">
        <f t="shared" ref="Q35:Q45" ca="1" si="9">Q4</f>
        <v>0</v>
      </c>
      <c r="R35" s="111">
        <f ca="1">IF(Q35=0,0,LOOKUP(P35,'Emission Factors'!$A$5:$A$16,'Emission Factors'!$H$5:$H$16))</f>
        <v>0</v>
      </c>
      <c r="S35" s="105">
        <f t="shared" ref="S35:S37" ca="1" si="10">Q35*R35</f>
        <v>0</v>
      </c>
      <c r="T35" s="105" t="str">
        <f ca="1">IF(Q35=0,"",IF($I$11&gt;0,$I$11,""))</f>
        <v/>
      </c>
      <c r="U35" s="105">
        <f ca="1">IF($J$11&gt;0,$J$11,IF($D$9&gt;0,$D$9*R35/2000,IF($D$10&gt;0,$D$10*365*R35/2000,IF($D$11&gt;0,$D$11*365*R35*Q35/2000,IF(T35="",S35*8760/2000,T35*8760/2000)))))</f>
        <v>0</v>
      </c>
      <c r="V35" s="113">
        <f t="shared" ref="V35:V41" ca="1" si="11">(R4*R35/2000)</f>
        <v>0</v>
      </c>
    </row>
    <row r="36" spans="1:23" ht="14.25" customHeight="1" x14ac:dyDescent="0.2">
      <c r="B36" s="45"/>
      <c r="F36" s="177"/>
      <c r="G36" s="45"/>
      <c r="P36" s="90" t="s">
        <v>192</v>
      </c>
      <c r="Q36" s="105">
        <f t="shared" ca="1" si="9"/>
        <v>0</v>
      </c>
      <c r="R36" s="111">
        <f ca="1">IF(Q36=0,0,LOOKUP(P36,'Emission Factors'!$A$5:$A$16,'Emission Factors'!$H$5:$H$16))</f>
        <v>0</v>
      </c>
      <c r="S36" s="109">
        <f t="shared" ca="1" si="10"/>
        <v>0</v>
      </c>
      <c r="T36" s="105" t="str">
        <f t="shared" ref="T36:T37" ca="1" si="12">IF(Q36=0,"",IF($I$11&gt;0,$I$11,""))</f>
        <v/>
      </c>
      <c r="U36" s="105">
        <f t="shared" ref="U36:U37" ca="1" si="13">IF($J$11&gt;0,"",IF($D$9&gt;0,$D$9*R36/2000,IF($D$10&gt;0,$D$10*365*R36/2000,IF($D$11&gt;0,$D$11*365*R36*Q36/2000,IF(T36="",S36*8760/2000,T36*8760/2000)))))</f>
        <v>0</v>
      </c>
      <c r="V36" s="113">
        <f t="shared" ca="1" si="11"/>
        <v>0</v>
      </c>
    </row>
    <row r="37" spans="1:23" ht="26.25" customHeight="1" x14ac:dyDescent="0.25">
      <c r="B37" s="78" t="str">
        <f>IF('Concrete Plant (CP-5)'!$D$4&gt;1,"Batch Plant","")</f>
        <v/>
      </c>
      <c r="C37" s="71" t="str">
        <f>IF('Concrete Plant (CP-5)'!$D$4&gt;1,"Site 2","")</f>
        <v/>
      </c>
      <c r="D37" s="71"/>
      <c r="E37" s="71"/>
      <c r="F37" s="71"/>
      <c r="G37" s="45"/>
      <c r="H37" s="310" t="str">
        <f>IF('Concrete Plant (CP-5)'!$D$4&gt;1,"Emission Point #","")</f>
        <v/>
      </c>
      <c r="I37" s="310" t="str">
        <f>IF('Concrete Plant (CP-5)'!$D$4&gt;1,"Emission     Unit #","")</f>
        <v/>
      </c>
      <c r="J37" s="310" t="str">
        <f>IF('Concrete Plant (CP-5)'!$D$4&gt;1,"Processes","")</f>
        <v/>
      </c>
      <c r="K37" s="311" t="str">
        <f>IF('Concrete Plant (CP-5)'!$D$4&gt;1,"Combined Maximum Hourly Design Rate for all Like Processes (cubic yard/hr)","")</f>
        <v/>
      </c>
      <c r="L37" s="310" t="str">
        <f>IF('Concrete Plant (CP-5)'!$D$4&gt;1,('Facility Information'!G5&amp;" Annual Throughput (cubic yards)"),"")</f>
        <v/>
      </c>
      <c r="M37" s="217"/>
      <c r="N37" s="217"/>
      <c r="P37" s="90" t="s">
        <v>193</v>
      </c>
      <c r="Q37" s="105">
        <f t="shared" ca="1" si="9"/>
        <v>0</v>
      </c>
      <c r="R37" s="111">
        <f ca="1">IF(Q37=0,0,LOOKUP(P37,'Emission Factors'!$A$5:$A$16,'Emission Factors'!$H$5:$H$16))</f>
        <v>0</v>
      </c>
      <c r="S37" s="105">
        <f t="shared" ca="1" si="10"/>
        <v>0</v>
      </c>
      <c r="T37" s="105" t="str">
        <f t="shared" ca="1" si="12"/>
        <v/>
      </c>
      <c r="U37" s="105">
        <f t="shared" ca="1" si="13"/>
        <v>0</v>
      </c>
      <c r="V37" s="113">
        <f t="shared" ca="1" si="11"/>
        <v>0</v>
      </c>
    </row>
    <row r="38" spans="1:23" ht="14.25" customHeight="1" x14ac:dyDescent="0.2">
      <c r="B38" s="79" t="str">
        <f>IF('Concrete Plant (CP-5)'!$D$4&gt;1,"Site Name:","")</f>
        <v/>
      </c>
      <c r="C38" s="349"/>
      <c r="D38" s="356"/>
      <c r="E38" s="357"/>
      <c r="F38" s="175"/>
      <c r="G38" s="45"/>
      <c r="H38" s="127" t="str">
        <f>IF(J38="cement delivery to silo","CP-1 EP-2",IF(J38="cement supplement delivery to silo","CP-1 EP-3",IF(J38="weigh hopper loading","CP-1 EP-4",IF(J38="truck mix loading","CP-1 EP-5",IF(J38="central mix loading","CP-1 EP-6",IF(J38="","","CP-1 EP-1"))))))</f>
        <v/>
      </c>
      <c r="I38" s="127" t="str">
        <f t="shared" ref="I38:I47" si="14">IF(J38="","",IF(J38="aggregate delivery to ground storage","CP-5 EU-1",IF(J38="sand delivery to ground storage","CP-5 EU-2",IF(J38="aggregate transfer to conveyor","CP-5 EU-3",IF(J38="sand transfer to conveyor","CP-5 EU-4",IF(J38="aggregate transfer to elevated storage","CP-5 EU-5",IF(J38="sand transfer to elevated storage","CP-5 EU-6",IF(J38="weigh hopper loading","CP-5 EU-7",IF(J38="central mix loading","CP-5 EU-8",IF(J38="truck mix loading","CP-5 EU-9",IF(J38="cement delivery to silo","CP-5 EU-10",IF(J38="cement supplement delivery to silo","CP-5 EU-11"))))))))))))</f>
        <v/>
      </c>
      <c r="J38" s="82"/>
      <c r="K38" s="61"/>
      <c r="L38" s="156"/>
      <c r="M38" s="219" t="str">
        <f>IF(J38="truck mix loading",IF($F$41="yes",L38*0.05/2000,L38/2000),"")</f>
        <v/>
      </c>
      <c r="N38" s="219" t="str">
        <f>IF(J38="central mix loading",IF($F$41="yes",L38*0.05/2000,L38/2000),"")</f>
        <v/>
      </c>
      <c r="P38" s="90" t="s">
        <v>194</v>
      </c>
      <c r="Q38" s="105">
        <f t="shared" ca="1" si="9"/>
        <v>0</v>
      </c>
      <c r="R38" s="111">
        <f ca="1">IF(Q38=0,0,LOOKUP(P38,'Emission Factors'!$A$5:$A$16,'Emission Factors'!$H$5:$H$16))</f>
        <v>0</v>
      </c>
      <c r="S38" s="105">
        <f t="shared" ref="S38:S43" ca="1" si="15">Q38*R38</f>
        <v>0</v>
      </c>
      <c r="T38" s="105" t="str">
        <f ca="1">IF(Q38=0,"",IF($I$11&gt;0,$I$11,""))</f>
        <v/>
      </c>
      <c r="U38" s="105">
        <f ca="1">IF($J$11&gt;0,"",IF($D$9&gt;0,$D$9*R38/2000,IF($D$10&gt;0,$D$10*365*R38/2000,IF($D$11&gt;0,$D$11*365*R38*Q38/2000,IF(T38="",S38*8760/2000,T38*8760/2000)))))</f>
        <v>0</v>
      </c>
      <c r="V38" s="113">
        <f t="shared" ca="1" si="11"/>
        <v>0</v>
      </c>
    </row>
    <row r="39" spans="1:23" ht="14.25" customHeight="1" x14ac:dyDescent="0.2">
      <c r="B39" s="79" t="str">
        <f>IF('Concrete Plant (CP-5)'!$D$4&gt;1,"County:","")</f>
        <v/>
      </c>
      <c r="C39" s="339"/>
      <c r="D39" s="342"/>
      <c r="E39" s="343"/>
      <c r="F39" s="175"/>
      <c r="G39" s="45"/>
      <c r="H39" s="127" t="str">
        <f t="shared" ref="H39:H47" si="16">IF(J39="cement delivery to silo","CP-1 EP-2",IF(J39="cement supplement delivery to silo","CP-1 EP-3",IF(J39="weigh hopper loading","CP-1 EP-4",IF(J39="truck mix loading","CP-1 EP-5",IF(J39="central mix loading","CP-1 EP-6",IF(J39="","","CP-1 EP-1"))))))</f>
        <v/>
      </c>
      <c r="I39" s="127" t="str">
        <f t="shared" si="14"/>
        <v/>
      </c>
      <c r="J39" s="82"/>
      <c r="K39" s="61"/>
      <c r="L39" s="156"/>
      <c r="M39" s="219" t="str">
        <f t="shared" ref="M39:M47" si="17">IF(J39="truck mix loading",IF($F$41="yes",L39*0.05/2000,L39/2000),"")</f>
        <v/>
      </c>
      <c r="N39" s="219" t="str">
        <f t="shared" ref="N39:N47" si="18">IF(J39="central mix loading",IF($F$41="yes",L39*0.05/2000,L39/2000),"")</f>
        <v/>
      </c>
      <c r="P39" s="90" t="s">
        <v>195</v>
      </c>
      <c r="Q39" s="105">
        <f t="shared" ca="1" si="9"/>
        <v>0</v>
      </c>
      <c r="R39" s="111">
        <f ca="1">IF(Q39=0,0,LOOKUP(P39,'Emission Factors'!$A$5:$A$16,'Emission Factors'!$H$5:$H$16))</f>
        <v>0</v>
      </c>
      <c r="S39" s="105">
        <f t="shared" ca="1" si="15"/>
        <v>0</v>
      </c>
      <c r="T39" s="105" t="str">
        <f ca="1">IF(Q39=0,"",IF($I$11&gt;0,$I$11,""))</f>
        <v/>
      </c>
      <c r="U39" s="105">
        <f ca="1">IF($J$11&gt;0,"",IF($D$9&gt;0,$D$9*R39/2000,IF($D$10&gt;0,$D$10*365*R39/2000,IF($D$11&gt;0,$D$11*365*R39*Q39/2000,IF(T39="",S39*8760/2000,T39*8760/2000)))))</f>
        <v>0</v>
      </c>
      <c r="V39" s="113">
        <f t="shared" ca="1" si="11"/>
        <v>0</v>
      </c>
    </row>
    <row r="40" spans="1:23" ht="14.25" customHeight="1" x14ac:dyDescent="0.2">
      <c r="B40" s="79" t="str">
        <f>IF('Concrete Plant (CP-5)'!$D$4&gt;1,"Batching Period (Dates):","")</f>
        <v/>
      </c>
      <c r="C40" s="352"/>
      <c r="D40" s="358"/>
      <c r="E40" s="359"/>
      <c r="F40" s="175"/>
      <c r="G40" s="45"/>
      <c r="H40" s="127" t="str">
        <f t="shared" si="16"/>
        <v/>
      </c>
      <c r="I40" s="127" t="str">
        <f t="shared" si="14"/>
        <v/>
      </c>
      <c r="J40" s="82"/>
      <c r="K40" s="61"/>
      <c r="L40" s="156"/>
      <c r="M40" s="219" t="str">
        <f t="shared" si="17"/>
        <v/>
      </c>
      <c r="N40" s="219" t="str">
        <f t="shared" si="18"/>
        <v/>
      </c>
      <c r="P40" s="90" t="s">
        <v>196</v>
      </c>
      <c r="Q40" s="105">
        <f t="shared" ca="1" si="9"/>
        <v>0</v>
      </c>
      <c r="R40" s="111">
        <f ca="1">IF(Q40=0,0,LOOKUP(P40,'Emission Factors'!$A$5:$A$16,'Emission Factors'!$H$5:$H$16))</f>
        <v>0</v>
      </c>
      <c r="S40" s="105">
        <f t="shared" ca="1" si="15"/>
        <v>0</v>
      </c>
      <c r="T40" s="105" t="str">
        <f ca="1">IF(Q40=0,"",IF($I$11&gt;0,$I$11,""))</f>
        <v/>
      </c>
      <c r="U40" s="105">
        <f ca="1">IF($J$11&gt;0,"",IF($D$9&gt;0,$D$9*R40/2000,IF($D$10&gt;0,$D$10*365*R40/2000,IF($D$11&gt;0,$D$11*365*R40*Q40/2000,IF(T40="",S40*8760/2000,T40*8760/2000)))))</f>
        <v>0</v>
      </c>
      <c r="V40" s="113">
        <f t="shared" ca="1" si="11"/>
        <v>0</v>
      </c>
    </row>
    <row r="41" spans="1:23" ht="14.25" customHeight="1" x14ac:dyDescent="0.2">
      <c r="B41" s="51" t="str">
        <f>IF(OR(COUNTIF(J38:J47,"Truck Mix Loading")&gt;0,(COUNTIF(J38:J47,"Central Mix Loading")&gt;0)),"Is the Central/Truck Mix Loading process controlled by a baghouse?","")</f>
        <v/>
      </c>
      <c r="C41" s="51"/>
      <c r="D41" s="51"/>
      <c r="E41" s="51"/>
      <c r="F41" s="221"/>
      <c r="G41" s="45"/>
      <c r="H41" s="127" t="str">
        <f t="shared" si="16"/>
        <v/>
      </c>
      <c r="I41" s="127" t="str">
        <f t="shared" si="14"/>
        <v/>
      </c>
      <c r="J41" s="82"/>
      <c r="K41" s="61"/>
      <c r="L41" s="156"/>
      <c r="M41" s="219" t="str">
        <f t="shared" si="17"/>
        <v/>
      </c>
      <c r="N41" s="219" t="str">
        <f t="shared" si="18"/>
        <v/>
      </c>
      <c r="P41" s="90" t="s">
        <v>203</v>
      </c>
      <c r="Q41" s="105">
        <f t="shared" ca="1" si="9"/>
        <v>0</v>
      </c>
      <c r="R41" s="111">
        <f ca="1">IF(Q41=0,0,LOOKUP(P41,'Emission Factors'!$A$5:$A$16,'Emission Factors'!$H$5:$H$16))</f>
        <v>0</v>
      </c>
      <c r="S41" s="105">
        <f t="shared" ca="1" si="15"/>
        <v>0</v>
      </c>
      <c r="T41" s="105" t="str">
        <f ca="1">IF(Q41=0,"",IF($I$11&gt;0,$I$11,""))</f>
        <v/>
      </c>
      <c r="U41" s="105">
        <f ca="1">IF($J$11&gt;0,"",IF($D$9&gt;0,$D$9*R41/2000,IF($D$10&gt;0,$D$10*365*R41/2000,IF($D$11&gt;0,$D$11*365*R41*Q41/2000,IF(T41="",S41*8760/2000,T41*8760/2000)))))</f>
        <v>0</v>
      </c>
      <c r="V41" s="113">
        <f t="shared" ca="1" si="11"/>
        <v>0</v>
      </c>
      <c r="W41" s="67">
        <f>IF(COUNTIF($F$24:$F$170,"no")&gt;0,0,95)</f>
        <v>95</v>
      </c>
    </row>
    <row r="42" spans="1:23" ht="14.25" customHeight="1" x14ac:dyDescent="0.2">
      <c r="F42" s="177"/>
      <c r="G42" s="45"/>
      <c r="H42" s="127" t="str">
        <f t="shared" si="16"/>
        <v/>
      </c>
      <c r="I42" s="127" t="str">
        <f t="shared" si="14"/>
        <v/>
      </c>
      <c r="J42" s="82"/>
      <c r="K42" s="61"/>
      <c r="L42" s="156"/>
      <c r="M42" s="219" t="str">
        <f t="shared" si="17"/>
        <v/>
      </c>
      <c r="N42" s="219" t="str">
        <f t="shared" si="18"/>
        <v/>
      </c>
      <c r="P42" s="90" t="s">
        <v>197</v>
      </c>
      <c r="Q42" s="105">
        <f t="shared" ca="1" si="9"/>
        <v>0</v>
      </c>
      <c r="R42" s="111">
        <f ca="1">IF(Q42=0,0,LOOKUP(P42,'Emission Factors'!$A$5:$A$16,'Emission Factors'!$H$5:$H$16))</f>
        <v>0</v>
      </c>
      <c r="S42" s="105">
        <f t="shared" ca="1" si="15"/>
        <v>0</v>
      </c>
      <c r="T42" s="105" t="str">
        <f ca="1">IF(Q42=0,"",IF($I$11&gt;0,$I$11,IF(COUNTIF($F$24:$F$170,"no")&gt;0,"",S42*(1-0.95))))</f>
        <v/>
      </c>
      <c r="U42" s="105">
        <f ca="1">IF($J$11&gt;0,"",IF($D$9&gt;0,$D$9*R42*((100-$W$30)/100)/2000,IF($D$10&gt;0,$D$10*365*R42*((100-$W$30)/100)/2000,IF($D$11&gt;0,$D$11*365*R42*((100-$W$30)/100)*Q42/2000,IF(T42="",S42*8760/2000,T42*8760/2000)))))</f>
        <v>0</v>
      </c>
      <c r="V42" s="113">
        <f ca="1">(N182*R42)</f>
        <v>0</v>
      </c>
    </row>
    <row r="43" spans="1:23" ht="27.75" customHeight="1" x14ac:dyDescent="0.2">
      <c r="B43" s="312" t="str">
        <f>IF(AND(B45="",B46="",B47="",B48="",B49=""),"","Process (complete stack information if applicable):")</f>
        <v/>
      </c>
      <c r="C43" s="312" t="str">
        <f>IF(AND(B45="",B46="",B47="",B48="",B49=""),"","Stack Height (ft):")</f>
        <v/>
      </c>
      <c r="D43" s="312" t="str">
        <f>IF(AND(B45="",B46="",B47="",B48="",B49=""),"","Stack Diameter (inches):")</f>
        <v/>
      </c>
      <c r="E43" s="312" t="str">
        <f>IF(AND(B45="",B46="",B47="",B48="",B49=""),"","Flow Rate (acfm):")</f>
        <v/>
      </c>
      <c r="F43" s="312" t="str">
        <f>IF(AND(B45="",B46="",B47="",B48="",B49=""),"","Temp (Deg F):")</f>
        <v/>
      </c>
      <c r="G43" s="45"/>
      <c r="H43" s="127" t="str">
        <f t="shared" si="16"/>
        <v/>
      </c>
      <c r="I43" s="127" t="str">
        <f t="shared" si="14"/>
        <v/>
      </c>
      <c r="J43" s="82"/>
      <c r="K43" s="61"/>
      <c r="L43" s="156"/>
      <c r="M43" s="219" t="str">
        <f t="shared" si="17"/>
        <v/>
      </c>
      <c r="N43" s="219" t="str">
        <f t="shared" si="18"/>
        <v/>
      </c>
      <c r="P43" s="90" t="s">
        <v>198</v>
      </c>
      <c r="Q43" s="105">
        <f t="shared" ca="1" si="9"/>
        <v>0</v>
      </c>
      <c r="R43" s="111">
        <f ca="1">IF(Q43=0,0,LOOKUP(P43,'Emission Factors'!$A$5:$A$16,'Emission Factors'!$H$5:$H$16))</f>
        <v>0</v>
      </c>
      <c r="S43" s="105">
        <f t="shared" ca="1" si="15"/>
        <v>0</v>
      </c>
      <c r="T43" s="105" t="str">
        <f ca="1">IF(Q43=0,"",IF($I$11&gt;0,$I$11,IF(COUNTIF($F$24:$F$170,"no")&gt;0,"",S43*(1-0.95))))</f>
        <v/>
      </c>
      <c r="U43" s="105">
        <f ca="1">IF($J$11&gt;0,"",IF($D$9&gt;0,$D$9*R43*((100-$W$30)/100)/2000,IF($D$10&gt;0,$D$10*365*R43*((100-$W$30)/100)/2000,IF($D$11&gt;0,$D$11*365*R43*((100-$W$30)/100)*Q43/2000,IF(T43="",S43*8760/2000,T43*8760/2000)))))</f>
        <v>0</v>
      </c>
      <c r="V43" s="113">
        <f ca="1">(M182*R43)</f>
        <v>0</v>
      </c>
    </row>
    <row r="44" spans="1:23" ht="14.25" customHeight="1" x14ac:dyDescent="0.2">
      <c r="B44" s="312"/>
      <c r="C44" s="312"/>
      <c r="D44" s="312"/>
      <c r="E44" s="312"/>
      <c r="F44" s="312"/>
      <c r="G44" s="45"/>
      <c r="H44" s="127" t="str">
        <f t="shared" si="16"/>
        <v/>
      </c>
      <c r="I44" s="127" t="str">
        <f t="shared" si="14"/>
        <v/>
      </c>
      <c r="J44" s="82"/>
      <c r="K44" s="61"/>
      <c r="L44" s="156"/>
      <c r="M44" s="219" t="str">
        <f t="shared" si="17"/>
        <v/>
      </c>
      <c r="N44" s="219" t="str">
        <f t="shared" si="18"/>
        <v/>
      </c>
      <c r="P44" s="90" t="s">
        <v>199</v>
      </c>
      <c r="Q44" s="105">
        <f t="shared" ca="1" si="9"/>
        <v>0</v>
      </c>
      <c r="R44" s="111">
        <f ca="1">IF(Q44=0,0,LOOKUP(P44,'Emission Factors'!$A$5:$A$16,'Emission Factors'!$H$5:$H$16))</f>
        <v>0</v>
      </c>
      <c r="S44" s="148"/>
      <c r="T44" s="105">
        <f ca="1">IF(Q44=0,0,IF($I$10&gt;0,$I$10,Q44*R44))</f>
        <v>0</v>
      </c>
      <c r="U44" s="105">
        <f ca="1">IF($J$11&gt;0,"",IF($D$9&gt;0,$D$9*R44/2000,IF($D$10&gt;0,$D$10*365*R44/2000,IF($D$11&gt;0,$D$11*365*R44*Q44/2000,IF($I$11&gt;0,0,T44*8760/2000)))))</f>
        <v>0</v>
      </c>
      <c r="V44" s="113">
        <f ca="1">(R13*R44/2000)</f>
        <v>0</v>
      </c>
    </row>
    <row r="45" spans="1:23" ht="14.25" customHeight="1" x14ac:dyDescent="0.2">
      <c r="B45" s="45" t="str">
        <f>IF(COUNTIF(J38:J47,"Cement Delivery to Silo")&gt;0,"EP-2 Cement Silo Stack:","")</f>
        <v/>
      </c>
      <c r="C45" s="221"/>
      <c r="D45" s="221"/>
      <c r="E45" s="221"/>
      <c r="F45" s="221"/>
      <c r="H45" s="127" t="str">
        <f t="shared" si="16"/>
        <v/>
      </c>
      <c r="I45" s="127" t="str">
        <f t="shared" si="14"/>
        <v/>
      </c>
      <c r="J45" s="82"/>
      <c r="K45" s="61"/>
      <c r="L45" s="156"/>
      <c r="M45" s="219" t="str">
        <f t="shared" si="17"/>
        <v/>
      </c>
      <c r="N45" s="219" t="str">
        <f t="shared" si="18"/>
        <v/>
      </c>
      <c r="P45" s="90" t="s">
        <v>200</v>
      </c>
      <c r="Q45" s="105">
        <f t="shared" ca="1" si="9"/>
        <v>0</v>
      </c>
      <c r="R45" s="111">
        <f ca="1">IF(Q45=0,0,LOOKUP(P45,'Emission Factors'!$A$5:$A$16,'Emission Factors'!$H$5:$H$16))</f>
        <v>0</v>
      </c>
      <c r="S45" s="148"/>
      <c r="T45" s="105">
        <f ca="1">IF(Q45=0,0,IF($I$10&gt;0,$I$10,Q45*R45))</f>
        <v>0</v>
      </c>
      <c r="U45" s="105">
        <f ca="1">IF($J$11&gt;0,"",IF($D$9&gt;0,$D$9*R45/2000,IF($D$10&gt;0,$D$10*365*R45/2000,IF($D$11&gt;0,$D$11*365*R45*Q45/2000,IF($I$11&gt;0,0,T45*8760/2000)))))</f>
        <v>0</v>
      </c>
      <c r="V45" s="113">
        <f ca="1">(R14*R45/2000)</f>
        <v>0</v>
      </c>
    </row>
    <row r="46" spans="1:23" ht="14.25" customHeight="1" x14ac:dyDescent="0.2">
      <c r="B46" s="45" t="str">
        <f>IF(COUNTIF(J38:J47,"Cement Supplement Delivery to Silo")&gt;0,"EP-3 Cement Supplement Silo Stack:","")</f>
        <v/>
      </c>
      <c r="C46" s="221"/>
      <c r="D46" s="221"/>
      <c r="E46" s="221"/>
      <c r="F46" s="221"/>
      <c r="G46" s="76"/>
      <c r="H46" s="127" t="str">
        <f t="shared" si="16"/>
        <v/>
      </c>
      <c r="I46" s="127" t="str">
        <f t="shared" si="14"/>
        <v/>
      </c>
      <c r="J46" s="82"/>
      <c r="K46" s="61"/>
      <c r="L46" s="156"/>
      <c r="M46" s="219" t="str">
        <f t="shared" si="17"/>
        <v/>
      </c>
      <c r="N46" s="219" t="str">
        <f t="shared" si="18"/>
        <v/>
      </c>
      <c r="O46" s="76"/>
    </row>
    <row r="47" spans="1:23" ht="14.25" customHeight="1" x14ac:dyDescent="0.2">
      <c r="B47" s="45" t="str">
        <f>IF(COUNTIF(J38:J47,"Weigh Hopper Loading")&gt;0,"EP-4 Weigh Hopper Loading Stack:","")</f>
        <v/>
      </c>
      <c r="C47" s="221"/>
      <c r="D47" s="221"/>
      <c r="E47" s="221"/>
      <c r="F47" s="221"/>
      <c r="H47" s="127" t="str">
        <f t="shared" si="16"/>
        <v/>
      </c>
      <c r="I47" s="127" t="str">
        <f t="shared" si="14"/>
        <v/>
      </c>
      <c r="J47" s="82"/>
      <c r="K47" s="61"/>
      <c r="L47" s="156"/>
      <c r="M47" s="219" t="str">
        <f t="shared" si="17"/>
        <v/>
      </c>
      <c r="N47" s="219" t="str">
        <f t="shared" si="18"/>
        <v/>
      </c>
    </row>
    <row r="48" spans="1:23" ht="28.5" customHeight="1" x14ac:dyDescent="0.2">
      <c r="B48" s="45" t="str">
        <f>IF(COUNTIF(J38:J47,"Truck Mix Loading")&gt;0,"EP-5 Truck Mix Loading Stack:","")</f>
        <v/>
      </c>
      <c r="C48" s="221"/>
      <c r="D48" s="221"/>
      <c r="E48" s="221"/>
      <c r="F48" s="221"/>
      <c r="G48" s="146"/>
      <c r="H48" s="74" t="str">
        <f>IF('Concrete Plant (CP-5)'!$D$4&gt;1,"Stock Pile Area","")</f>
        <v/>
      </c>
      <c r="I48" s="74"/>
      <c r="J48" s="74"/>
      <c r="L48" s="76"/>
      <c r="P48" s="68" t="s">
        <v>40</v>
      </c>
      <c r="Q48" s="309" t="s">
        <v>151</v>
      </c>
      <c r="R48" s="309" t="s">
        <v>152</v>
      </c>
      <c r="S48" s="308" t="s">
        <v>147</v>
      </c>
      <c r="T48" s="308" t="s">
        <v>130</v>
      </c>
      <c r="U48" s="308" t="s">
        <v>14</v>
      </c>
      <c r="V48" s="308" t="s">
        <v>148</v>
      </c>
    </row>
    <row r="49" spans="2:22" ht="14.25" customHeight="1" x14ac:dyDescent="0.2">
      <c r="B49" s="45" t="str">
        <f>IF(COUNTIF(J38:J47,"Central Mix Loading")&gt;0,"EP-6 Central Mix Loading Stack:","")</f>
        <v/>
      </c>
      <c r="C49" s="221"/>
      <c r="D49" s="221"/>
      <c r="E49" s="221"/>
      <c r="F49" s="221"/>
      <c r="G49" s="71"/>
      <c r="I49" s="51" t="str">
        <f>IF('Concrete Plant (CP-5)'!$D$4&gt;1,"Emission Unit #","")</f>
        <v/>
      </c>
      <c r="J49" s="81" t="str">
        <f>IF('Concrete Plant (CP-5)'!$D$4&gt;1,"Maximum Storage Area (acres)","")</f>
        <v/>
      </c>
      <c r="K49" s="81" t="str">
        <f>IF('Concrete Plant (CP-5)'!$D$4&gt;1,"Actual Storage Area (acres)","")</f>
        <v/>
      </c>
      <c r="L49" s="81" t="str">
        <f>IF('Concrete Plant (CP-5)'!$D$4&gt;1,"Actual Days in Existence (days)","")</f>
        <v/>
      </c>
      <c r="M49" s="71"/>
      <c r="N49" s="71"/>
      <c r="P49" s="92" t="s">
        <v>153</v>
      </c>
      <c r="Q49" s="143">
        <f>Q17</f>
        <v>0</v>
      </c>
      <c r="R49" s="143">
        <v>3.64</v>
      </c>
      <c r="S49" s="143">
        <f>Q49*R49*(1/24)</f>
        <v>0</v>
      </c>
      <c r="T49" s="143"/>
      <c r="U49" s="143">
        <f>Q49*R49*365/2000</f>
        <v>0</v>
      </c>
      <c r="V49" s="143">
        <f>R17*R49/2000</f>
        <v>0</v>
      </c>
    </row>
    <row r="50" spans="2:22" ht="14.25" customHeight="1" x14ac:dyDescent="0.2">
      <c r="B50" s="73"/>
      <c r="C50" s="163"/>
      <c r="D50" s="163"/>
      <c r="E50" s="163"/>
      <c r="F50" s="176"/>
      <c r="I50" s="63"/>
      <c r="J50" s="144"/>
      <c r="K50" s="144"/>
      <c r="L50" s="144"/>
      <c r="M50" s="146"/>
      <c r="N50" s="146"/>
      <c r="Q50" s="68"/>
      <c r="R50" s="68"/>
      <c r="S50" s="68"/>
    </row>
    <row r="51" spans="2:22" ht="14.25" customHeight="1" x14ac:dyDescent="0.2">
      <c r="B51" s="73"/>
      <c r="C51" s="146"/>
      <c r="D51" s="146"/>
      <c r="E51" s="146"/>
      <c r="F51" s="146"/>
      <c r="G51" s="45"/>
      <c r="M51" s="146"/>
      <c r="N51" s="146"/>
    </row>
    <row r="52" spans="2:22" ht="14.25" customHeight="1" x14ac:dyDescent="0.2">
      <c r="B52" s="73"/>
      <c r="C52" s="146"/>
      <c r="D52" s="146"/>
      <c r="E52" s="146"/>
      <c r="F52" s="146"/>
      <c r="G52" s="45"/>
      <c r="M52" s="146"/>
      <c r="N52" s="146"/>
    </row>
    <row r="53" spans="2:22" ht="27.75" customHeight="1" x14ac:dyDescent="0.25">
      <c r="B53" s="78" t="str">
        <f>IF('Concrete Plant (CP-5)'!$D$4&gt;2,"Batch Plant","")</f>
        <v/>
      </c>
      <c r="C53" s="71" t="str">
        <f>IF('Concrete Plant (CP-5)'!$D$4&gt;2,"Site 3","")</f>
        <v/>
      </c>
      <c r="D53" s="71"/>
      <c r="E53" s="71"/>
      <c r="F53" s="71"/>
      <c r="G53" s="45"/>
      <c r="H53" s="310" t="str">
        <f>IF('Concrete Plant (CP-5)'!$D$4&gt;2,"Emission Point #","")</f>
        <v/>
      </c>
      <c r="I53" s="310" t="str">
        <f>IF('Concrete Plant (CP-5)'!$D$4&gt;2,"Emission     Unit #","")</f>
        <v/>
      </c>
      <c r="J53" s="310" t="str">
        <f>IF('Concrete Plant (CP-5)'!$D$4&gt;2,"Processes","")</f>
        <v/>
      </c>
      <c r="K53" s="311" t="str">
        <f>IF('Concrete Plant (CP-5)'!$D$4&gt;2,"Combined Maximum Hourly Design Rate for all Like Processes (cubic yard/hr)","")</f>
        <v/>
      </c>
      <c r="L53" s="310" t="str">
        <f>IF('Concrete Plant (CP-5)'!$D$4&gt;2,('Facility Information'!G5&amp;" Annual Throughput (cubic yards)"),"")</f>
        <v/>
      </c>
      <c r="M53" s="217"/>
      <c r="N53" s="217"/>
      <c r="Q53" s="68"/>
      <c r="R53" s="68"/>
      <c r="S53" s="68"/>
    </row>
    <row r="54" spans="2:22" ht="14.25" customHeight="1" x14ac:dyDescent="0.2">
      <c r="B54" s="79" t="str">
        <f>IF('Concrete Plant (CP-5)'!$D$4&gt;2,"Site Name:","")</f>
        <v/>
      </c>
      <c r="C54" s="349"/>
      <c r="D54" s="356"/>
      <c r="E54" s="357"/>
      <c r="F54" s="175"/>
      <c r="G54" s="45"/>
      <c r="H54" s="127" t="str">
        <f>IF(J54="cement delivery to silo","CP-1 EP-2",IF(J54="cement supplement delivery to silo","CP-1 EP-3",IF(J54="weigh hopper loading","CP-1 EP-4",IF(J54="truck mix loading","CP-1 EP-5",IF(J54="central mix loading","CP-1 EP-6",IF(J54="","","CP-1 EP-1"))))))</f>
        <v/>
      </c>
      <c r="I54" s="127" t="str">
        <f t="shared" ref="I54:I63" si="19">IF(J54="","",IF(J54="aggregate delivery to ground storage","CP-5 EU-1",IF(J54="sand delivery to ground storage","CP-5 EU-2",IF(J54="aggregate transfer to conveyor","CP-5 EU-3",IF(J54="sand transfer to conveyor","CP-5 EU-4",IF(J54="aggregate transfer to elevated storage","CP-5 EU-5",IF(J54="sand transfer to elevated storage","CP-5 EU-6",IF(J54="weigh hopper loading","CP-5 EU-7",IF(J54="central mix loading","CP-5 EU-8",IF(J54="truck mix loading","CP-5 EU-9",IF(J54="cement delivery to silo","CP-5 EU-10",IF(J54="cement supplement delivery to silo","CP-5 EU-11"))))))))))))</f>
        <v/>
      </c>
      <c r="J54" s="82"/>
      <c r="K54" s="61"/>
      <c r="L54" s="156"/>
      <c r="M54" s="219" t="str">
        <f>IF(J54="truck mix loading",IF($F$57="yes",L54*0.05/2000,L54/2000),"")</f>
        <v/>
      </c>
      <c r="N54" s="219" t="str">
        <f>IF(J54="central mix loading",IF($F$57="yes",L54*0.05/2000,L54/2000),"")</f>
        <v/>
      </c>
      <c r="Q54" s="68"/>
      <c r="R54" s="68"/>
      <c r="S54" s="68"/>
    </row>
    <row r="55" spans="2:22" ht="14.25" customHeight="1" x14ac:dyDescent="0.2">
      <c r="B55" s="79" t="str">
        <f>IF('Concrete Plant (CP-5)'!$D$4&gt;2,"County:","")</f>
        <v/>
      </c>
      <c r="C55" s="339"/>
      <c r="D55" s="342"/>
      <c r="E55" s="343"/>
      <c r="F55" s="175"/>
      <c r="G55" s="45"/>
      <c r="H55" s="127" t="str">
        <f t="shared" ref="H55:H63" si="20">IF(J55="cement delivery to silo","CP-1 EP-2",IF(J55="cement supplement delivery to silo","CP-1 EP-3",IF(J55="weigh hopper loading","CP-1 EP-4",IF(J55="truck mix loading","CP-1 EP-5",IF(J55="central mix loading","CP-1 EP-6",IF(J55="","","CP-1 EP-1"))))))</f>
        <v/>
      </c>
      <c r="I55" s="127" t="str">
        <f t="shared" si="19"/>
        <v/>
      </c>
      <c r="J55" s="82"/>
      <c r="K55" s="61"/>
      <c r="L55" s="156"/>
      <c r="M55" s="219" t="str">
        <f t="shared" ref="M55:M63" si="21">IF(J55="truck mix loading",IF($F$57="yes",L55*0.05/2000,L55/2000),"")</f>
        <v/>
      </c>
      <c r="N55" s="219" t="str">
        <f t="shared" ref="N55:N63" si="22">IF(J55="central mix loading",IF($F$57="yes",L55*0.05/2000,L55/2000),"")</f>
        <v/>
      </c>
      <c r="Q55" s="68"/>
      <c r="R55" s="68"/>
      <c r="S55" s="68"/>
    </row>
    <row r="56" spans="2:22" ht="14.25" customHeight="1" x14ac:dyDescent="0.2">
      <c r="B56" s="79" t="str">
        <f>IF('Concrete Plant (CP-5)'!$D$4&gt;2,"Batching Period (Dates):","")</f>
        <v/>
      </c>
      <c r="C56" s="352"/>
      <c r="D56" s="358"/>
      <c r="E56" s="359"/>
      <c r="F56" s="175"/>
      <c r="G56" s="45"/>
      <c r="H56" s="127" t="str">
        <f t="shared" si="20"/>
        <v/>
      </c>
      <c r="I56" s="127" t="str">
        <f t="shared" si="19"/>
        <v/>
      </c>
      <c r="J56" s="82"/>
      <c r="K56" s="61"/>
      <c r="L56" s="156"/>
      <c r="M56" s="219" t="str">
        <f t="shared" si="21"/>
        <v/>
      </c>
      <c r="N56" s="219" t="str">
        <f t="shared" si="22"/>
        <v/>
      </c>
      <c r="Q56" s="68"/>
      <c r="R56" s="68"/>
      <c r="S56" s="68"/>
    </row>
    <row r="57" spans="2:22" ht="14.25" customHeight="1" x14ac:dyDescent="0.2">
      <c r="B57" s="51" t="str">
        <f>IF(OR(COUNTIF(J54:J63,"Truck Mix Loading")&gt;0,(COUNTIF(J54:J63,"Central Mix Loading")&gt;0)),"Is the Central/Truck Mix Loading process controlled by a baghouse?","")</f>
        <v/>
      </c>
      <c r="C57" s="51"/>
      <c r="D57" s="51"/>
      <c r="E57" s="51"/>
      <c r="F57" s="221"/>
      <c r="G57" s="45"/>
      <c r="H57" s="127" t="str">
        <f t="shared" si="20"/>
        <v/>
      </c>
      <c r="I57" s="127" t="str">
        <f t="shared" si="19"/>
        <v/>
      </c>
      <c r="J57" s="82"/>
      <c r="K57" s="61"/>
      <c r="L57" s="156"/>
      <c r="M57" s="219" t="str">
        <f t="shared" si="21"/>
        <v/>
      </c>
      <c r="N57" s="219" t="str">
        <f t="shared" si="22"/>
        <v/>
      </c>
      <c r="Q57" s="68"/>
      <c r="R57" s="68"/>
      <c r="S57" s="68"/>
    </row>
    <row r="58" spans="2:22" ht="14.25" customHeight="1" x14ac:dyDescent="0.2">
      <c r="F58" s="177"/>
      <c r="G58" s="45"/>
      <c r="H58" s="127" t="str">
        <f t="shared" si="20"/>
        <v/>
      </c>
      <c r="I58" s="127" t="str">
        <f t="shared" si="19"/>
        <v/>
      </c>
      <c r="J58" s="82"/>
      <c r="K58" s="61"/>
      <c r="L58" s="156"/>
      <c r="M58" s="219" t="str">
        <f t="shared" si="21"/>
        <v/>
      </c>
      <c r="N58" s="219" t="str">
        <f t="shared" si="22"/>
        <v/>
      </c>
      <c r="Q58" s="68"/>
      <c r="R58" s="68"/>
      <c r="S58" s="68"/>
    </row>
    <row r="59" spans="2:22" ht="29.25" customHeight="1" x14ac:dyDescent="0.2">
      <c r="B59" s="312" t="str">
        <f>IF(AND(B61="",B62="",B63="",B64="",B65=""),"","Process (complete stack information if applicable):")</f>
        <v/>
      </c>
      <c r="C59" s="312" t="str">
        <f>IF(AND(B61="",B62="",B63="",B64="",B65=""),"","Stack Height (ft):")</f>
        <v/>
      </c>
      <c r="D59" s="312" t="str">
        <f>IF(AND(B61="",B62="",B63="",B64="",B65=""),"","Stack Diameter (inches):")</f>
        <v/>
      </c>
      <c r="E59" s="312" t="str">
        <f>IF(AND(B61="",B62="",B63="",B64="",B65=""),"","Flow Rate (acfm):")</f>
        <v/>
      </c>
      <c r="F59" s="312" t="str">
        <f>IF(AND(B61="",B62="",B63="",B64="",B65=""),"","Temp (Deg F):")</f>
        <v/>
      </c>
      <c r="H59" s="127" t="str">
        <f t="shared" si="20"/>
        <v/>
      </c>
      <c r="I59" s="127" t="str">
        <f t="shared" si="19"/>
        <v/>
      </c>
      <c r="J59" s="82"/>
      <c r="K59" s="61"/>
      <c r="L59" s="156"/>
      <c r="M59" s="219" t="str">
        <f t="shared" si="21"/>
        <v/>
      </c>
      <c r="N59" s="219" t="str">
        <f t="shared" si="22"/>
        <v/>
      </c>
    </row>
    <row r="60" spans="2:22" ht="14.25" customHeight="1" x14ac:dyDescent="0.2">
      <c r="B60" s="312"/>
      <c r="C60" s="312"/>
      <c r="D60" s="312"/>
      <c r="E60" s="312"/>
      <c r="F60" s="312"/>
      <c r="G60" s="76"/>
      <c r="H60" s="127" t="str">
        <f t="shared" si="20"/>
        <v/>
      </c>
      <c r="I60" s="127" t="str">
        <f t="shared" si="19"/>
        <v/>
      </c>
      <c r="J60" s="82"/>
      <c r="K60" s="61"/>
      <c r="L60" s="156"/>
      <c r="M60" s="219" t="str">
        <f t="shared" si="21"/>
        <v/>
      </c>
      <c r="N60" s="219" t="str">
        <f t="shared" si="22"/>
        <v/>
      </c>
    </row>
    <row r="61" spans="2:22" ht="14.25" customHeight="1" x14ac:dyDescent="0.2">
      <c r="B61" s="398" t="str">
        <f>IF(COUNTIF(J54:J63,"Cement Delivery to Silo")&gt;0,"EP-2 Cement Silo Stack:","")</f>
        <v/>
      </c>
      <c r="C61" s="221"/>
      <c r="D61" s="221"/>
      <c r="E61" s="221"/>
      <c r="F61" s="221"/>
      <c r="H61" s="127" t="str">
        <f t="shared" si="20"/>
        <v/>
      </c>
      <c r="I61" s="127" t="str">
        <f t="shared" si="19"/>
        <v/>
      </c>
      <c r="J61" s="82"/>
      <c r="K61" s="61"/>
      <c r="L61" s="156"/>
      <c r="M61" s="219" t="str">
        <f t="shared" si="21"/>
        <v/>
      </c>
      <c r="N61" s="219" t="str">
        <f t="shared" si="22"/>
        <v/>
      </c>
    </row>
    <row r="62" spans="2:22" ht="14.25" customHeight="1" x14ac:dyDescent="0.2">
      <c r="B62" s="398" t="str">
        <f>IF(COUNTIF(J54:J63,"Cement Supplement Delivery to Silo")&gt;0,"EP-3 Cement Supplement Silo Stack:","")</f>
        <v/>
      </c>
      <c r="C62" s="221"/>
      <c r="D62" s="221"/>
      <c r="E62" s="221"/>
      <c r="F62" s="221"/>
      <c r="H62" s="127" t="str">
        <f t="shared" si="20"/>
        <v/>
      </c>
      <c r="I62" s="127" t="str">
        <f t="shared" si="19"/>
        <v/>
      </c>
      <c r="J62" s="82"/>
      <c r="K62" s="61"/>
      <c r="L62" s="156"/>
      <c r="M62" s="219" t="str">
        <f t="shared" si="21"/>
        <v/>
      </c>
      <c r="N62" s="219" t="str">
        <f t="shared" si="22"/>
        <v/>
      </c>
    </row>
    <row r="63" spans="2:22" ht="14.25" customHeight="1" x14ac:dyDescent="0.2">
      <c r="B63" s="398" t="str">
        <f>IF(COUNTIF(J54:J63,"Weigh Hopper Loading")&gt;0,"EP-4 Weigh Hopper Loading Stack:","")</f>
        <v/>
      </c>
      <c r="C63" s="221"/>
      <c r="D63" s="221"/>
      <c r="E63" s="221"/>
      <c r="F63" s="221"/>
      <c r="H63" s="127" t="str">
        <f t="shared" si="20"/>
        <v/>
      </c>
      <c r="I63" s="127" t="str">
        <f t="shared" si="19"/>
        <v/>
      </c>
      <c r="J63" s="82"/>
      <c r="K63" s="61"/>
      <c r="L63" s="156"/>
      <c r="M63" s="219" t="str">
        <f t="shared" si="21"/>
        <v/>
      </c>
      <c r="N63" s="219" t="str">
        <f t="shared" si="22"/>
        <v/>
      </c>
    </row>
    <row r="64" spans="2:22" ht="14.25" customHeight="1" x14ac:dyDescent="0.2">
      <c r="B64" s="398" t="str">
        <f>IF(COUNTIF(J54:J63,"Truck Mix Loading")&gt;0,"EP-5 Truck Mix Loading Stack:","")</f>
        <v/>
      </c>
      <c r="C64" s="221"/>
      <c r="D64" s="221"/>
      <c r="E64" s="221"/>
      <c r="F64" s="221"/>
      <c r="H64" s="45"/>
      <c r="I64" s="45"/>
    </row>
    <row r="65" spans="2:14" ht="14.25" customHeight="1" x14ac:dyDescent="0.2">
      <c r="B65" s="398" t="str">
        <f>IF(COUNTIF(J54:J63,"Central Mix Loading")&gt;0,"EP-6 Central Mix Loading Stack:","")</f>
        <v/>
      </c>
      <c r="C65" s="221"/>
      <c r="D65" s="221"/>
      <c r="E65" s="221"/>
      <c r="F65" s="221"/>
      <c r="G65" s="45"/>
      <c r="H65" s="74" t="str">
        <f>IF('Concrete Plant (CP-5)'!$D$4&gt;2,"Stock Pile Area","")</f>
        <v/>
      </c>
      <c r="I65" s="74"/>
      <c r="J65" s="75"/>
    </row>
    <row r="66" spans="2:14" ht="14.25" customHeight="1" x14ac:dyDescent="0.2">
      <c r="B66" s="73"/>
      <c r="C66" s="163"/>
      <c r="D66" s="163"/>
      <c r="E66" s="163"/>
      <c r="F66" s="176"/>
      <c r="G66" s="45"/>
      <c r="I66" s="51" t="str">
        <f>IF('Concrete Plant (CP-5)'!$D$4&gt;2,"Emission Unit #","")</f>
        <v/>
      </c>
      <c r="J66" s="80" t="str">
        <f>IF('Concrete Plant (CP-5)'!$D$4&gt;2,"Maximum Storage Area (acres)","")</f>
        <v/>
      </c>
      <c r="K66" s="81" t="str">
        <f>IF('Concrete Plant (CP-5)'!$D$4&gt;2,"Actual Storage Area (acres)","")</f>
        <v/>
      </c>
      <c r="L66" s="80" t="str">
        <f>IF('Concrete Plant (CP-5)'!$D$4&gt;2,"Actual Days in Existence (days)","")</f>
        <v/>
      </c>
      <c r="M66" s="146"/>
      <c r="N66" s="146"/>
    </row>
    <row r="67" spans="2:14" ht="14.25" customHeight="1" x14ac:dyDescent="0.2">
      <c r="B67" s="73"/>
      <c r="C67" s="163"/>
      <c r="D67" s="163"/>
      <c r="E67" s="163"/>
      <c r="F67" s="176"/>
      <c r="G67" s="45"/>
      <c r="I67" s="65"/>
      <c r="J67" s="144"/>
      <c r="K67" s="66"/>
      <c r="L67" s="144"/>
      <c r="M67" s="146"/>
      <c r="N67" s="146"/>
    </row>
    <row r="68" spans="2:14" ht="14.25" customHeight="1" x14ac:dyDescent="0.2">
      <c r="B68" s="73"/>
      <c r="C68" s="163"/>
      <c r="D68" s="163"/>
      <c r="E68" s="163"/>
      <c r="F68" s="176"/>
      <c r="G68" s="45"/>
    </row>
    <row r="69" spans="2:14" ht="28.5" customHeight="1" x14ac:dyDescent="0.25">
      <c r="B69" s="78" t="str">
        <f>IF('Concrete Plant (CP-5)'!$D$4&gt;3,"Batch Plant","")</f>
        <v/>
      </c>
      <c r="C69" s="71" t="str">
        <f>IF('Concrete Plant (CP-5)'!$D$4&gt;3,"Site 4","")</f>
        <v/>
      </c>
      <c r="D69" s="71"/>
      <c r="E69" s="71"/>
      <c r="F69" s="71"/>
      <c r="G69" s="45"/>
      <c r="H69" s="310" t="str">
        <f>IF('Concrete Plant (CP-5)'!$D$4&gt;3,"Emission Point #","")</f>
        <v/>
      </c>
      <c r="I69" s="310" t="str">
        <f>IF('Concrete Plant (CP-5)'!$D$4&gt;3,"Emission     Unit #","")</f>
        <v/>
      </c>
      <c r="J69" s="310" t="str">
        <f>IF('Concrete Plant (CP-5)'!$D$4&gt;3,"Processes","")</f>
        <v/>
      </c>
      <c r="K69" s="311" t="str">
        <f>IF('Concrete Plant (CP-5)'!$D$4&gt;3,"Combined Maximum Hourly Design Rate for all Like Processes (cubic yard/hr)","")</f>
        <v/>
      </c>
      <c r="L69" s="310" t="str">
        <f>IF('Concrete Plant (CP-5)'!$D$4&gt;3,('Facility Information'!G5&amp;" Annual Throughput (cubic yards)"),"")</f>
        <v/>
      </c>
      <c r="M69" s="217"/>
      <c r="N69" s="217"/>
    </row>
    <row r="70" spans="2:14" ht="14.25" customHeight="1" x14ac:dyDescent="0.2">
      <c r="B70" s="79" t="str">
        <f>IF('Concrete Plant (CP-5)'!$D$4&gt;3,"Site Name:","")</f>
        <v/>
      </c>
      <c r="C70" s="349"/>
      <c r="D70" s="356"/>
      <c r="E70" s="357"/>
      <c r="F70" s="175"/>
      <c r="G70" s="45"/>
      <c r="H70" s="127" t="str">
        <f>IF(J70="cement delivery to silo","CP-1 EP-2",IF(J70="cement supplement delivery to silo","CP-1 EP-3",IF(J70="weigh hopper loading","CP-1 EP-4",IF(J70="truck mix loading","CP-1 EP-5",IF(J70="central mix loading","CP-1 EP-6",IF(J70="","","CP-1 EP-1"))))))</f>
        <v/>
      </c>
      <c r="I70" s="127" t="str">
        <f t="shared" ref="I70:I79" si="23">IF(J70="","",IF(J70="aggregate delivery to ground storage","CP-5 EU-1",IF(J70="sand delivery to ground storage","CP-5 EU-2",IF(J70="aggregate transfer to conveyor","CP-5 EU-3",IF(J70="sand transfer to conveyor","CP-5 EU-4",IF(J70="aggregate transfer to elevated storage","CP-5 EU-5",IF(J70="sand transfer to elevated storage","CP-5 EU-6",IF(J70="weigh hopper loading","CP-5 EU-7",IF(J70="central mix loading","CP-5 EU-8",IF(J70="truck mix loading","CP-5 EU-9",IF(J70="cement delivery to silo","CP-5 EU-10",IF(J70="cement supplement delivery to silo","CP-5 EU-11"))))))))))))</f>
        <v/>
      </c>
      <c r="J70" s="82"/>
      <c r="K70" s="61"/>
      <c r="L70" s="156"/>
      <c r="M70" s="219" t="str">
        <f>IF(J70="truck mix loading",IF($F$73="yes",L70*0.05/2000,L70/2000),"")</f>
        <v/>
      </c>
      <c r="N70" s="219" t="str">
        <f>IF(J70="central mix loading",IF($F$73="yes",L70*0.05/2000,L70/2000),"")</f>
        <v/>
      </c>
    </row>
    <row r="71" spans="2:14" ht="14.25" customHeight="1" x14ac:dyDescent="0.2">
      <c r="B71" s="79" t="str">
        <f>IF('Concrete Plant (CP-5)'!$D$4&gt;3,"County:","")</f>
        <v/>
      </c>
      <c r="C71" s="339"/>
      <c r="D71" s="342"/>
      <c r="E71" s="343"/>
      <c r="F71" s="175"/>
      <c r="G71" s="45"/>
      <c r="H71" s="127" t="str">
        <f t="shared" ref="H71:H79" si="24">IF(J71="cement delivery to silo","CP-1 EP-2",IF(J71="cement supplement delivery to silo","CP-1 EP-3",IF(J71="weigh hopper loading","CP-1 EP-4",IF(J71="truck mix loading","CP-1 EP-5",IF(J71="central mix loading","CP-1 EP-6",IF(J71="","","CP-1 EP-1"))))))</f>
        <v/>
      </c>
      <c r="I71" s="127" t="str">
        <f t="shared" si="23"/>
        <v/>
      </c>
      <c r="J71" s="82"/>
      <c r="K71" s="61"/>
      <c r="L71" s="156"/>
      <c r="M71" s="219" t="str">
        <f t="shared" ref="M71:M79" si="25">IF(J71="truck mix loading",IF($F$73="yes",L71*0.05/2000,L71/2000),"")</f>
        <v/>
      </c>
      <c r="N71" s="219" t="str">
        <f t="shared" ref="N71:N79" si="26">IF(J71="central mix loading",IF($F$73="yes",L71*0.05/2000,L71/2000),"")</f>
        <v/>
      </c>
    </row>
    <row r="72" spans="2:14" ht="14.25" customHeight="1" x14ac:dyDescent="0.2">
      <c r="B72" s="79" t="str">
        <f>IF('Concrete Plant (CP-5)'!$D$4&gt;3,"Batching Period (Dates):","")</f>
        <v/>
      </c>
      <c r="C72" s="352"/>
      <c r="D72" s="358"/>
      <c r="E72" s="359"/>
      <c r="F72" s="175"/>
      <c r="G72" s="45"/>
      <c r="H72" s="127" t="str">
        <f t="shared" si="24"/>
        <v/>
      </c>
      <c r="I72" s="127" t="str">
        <f t="shared" si="23"/>
        <v/>
      </c>
      <c r="J72" s="82"/>
      <c r="K72" s="61"/>
      <c r="L72" s="156"/>
      <c r="M72" s="219" t="str">
        <f t="shared" si="25"/>
        <v/>
      </c>
      <c r="N72" s="219" t="str">
        <f t="shared" si="26"/>
        <v/>
      </c>
    </row>
    <row r="73" spans="2:14" ht="14.25" customHeight="1" x14ac:dyDescent="0.2">
      <c r="B73" s="51" t="str">
        <f>IF(OR(COUNTIF(J70:J79,"Truck Mix Loading")&gt;0,(COUNTIF(J70:J79,"Central Mix Loading")&gt;0)),"Is the Central/Truck Mix Loading process controlled by a baghouse?","")</f>
        <v/>
      </c>
      <c r="C73" s="51"/>
      <c r="D73" s="51"/>
      <c r="E73" s="51"/>
      <c r="F73" s="221"/>
      <c r="H73" s="127" t="str">
        <f t="shared" si="24"/>
        <v/>
      </c>
      <c r="I73" s="127" t="str">
        <f t="shared" si="23"/>
        <v/>
      </c>
      <c r="J73" s="82"/>
      <c r="K73" s="61"/>
      <c r="L73" s="156"/>
      <c r="M73" s="219" t="str">
        <f t="shared" si="25"/>
        <v/>
      </c>
      <c r="N73" s="219" t="str">
        <f t="shared" si="26"/>
        <v/>
      </c>
    </row>
    <row r="74" spans="2:14" ht="14.25" customHeight="1" x14ac:dyDescent="0.2">
      <c r="F74" s="177"/>
      <c r="G74" s="76"/>
      <c r="H74" s="127" t="str">
        <f t="shared" si="24"/>
        <v/>
      </c>
      <c r="I74" s="127" t="str">
        <f t="shared" si="23"/>
        <v/>
      </c>
      <c r="J74" s="82"/>
      <c r="K74" s="61"/>
      <c r="L74" s="156"/>
      <c r="M74" s="219" t="str">
        <f t="shared" si="25"/>
        <v/>
      </c>
      <c r="N74" s="219" t="str">
        <f t="shared" si="26"/>
        <v/>
      </c>
    </row>
    <row r="75" spans="2:14" ht="27.75" customHeight="1" x14ac:dyDescent="0.2">
      <c r="B75" s="312" t="str">
        <f>IF(AND(B77="",B78="",B79="",B80="",B81=""),"","Process (complete stack information if applicable):")</f>
        <v/>
      </c>
      <c r="C75" s="312" t="str">
        <f>IF(AND(B77="",B78="",B79="",B80="",B81=""),"","Stack Height (ft):")</f>
        <v/>
      </c>
      <c r="D75" s="312" t="str">
        <f>IF(AND(B77="",B78="",B79="",B80="",B81=""),"","Stack Diameter (inches):")</f>
        <v/>
      </c>
      <c r="E75" s="312" t="str">
        <f>IF(AND(B77="",B78="",B79="",B80="",B81=""),"","Flow Rate (acfm):")</f>
        <v/>
      </c>
      <c r="F75" s="312" t="str">
        <f>IF(AND(B77="",B78="",B79="",B80="",B81=""),"","Temp (Deg F):")</f>
        <v/>
      </c>
      <c r="H75" s="127" t="str">
        <f t="shared" si="24"/>
        <v/>
      </c>
      <c r="I75" s="127" t="str">
        <f t="shared" si="23"/>
        <v/>
      </c>
      <c r="J75" s="82"/>
      <c r="K75" s="61"/>
      <c r="L75" s="156"/>
      <c r="M75" s="219" t="str">
        <f t="shared" si="25"/>
        <v/>
      </c>
      <c r="N75" s="219" t="str">
        <f t="shared" si="26"/>
        <v/>
      </c>
    </row>
    <row r="76" spans="2:14" ht="14.25" customHeight="1" x14ac:dyDescent="0.2">
      <c r="B76" s="312"/>
      <c r="C76" s="312"/>
      <c r="D76" s="312"/>
      <c r="E76" s="312"/>
      <c r="F76" s="312"/>
      <c r="H76" s="127" t="str">
        <f t="shared" si="24"/>
        <v/>
      </c>
      <c r="I76" s="127" t="str">
        <f t="shared" si="23"/>
        <v/>
      </c>
      <c r="J76" s="82"/>
      <c r="K76" s="61"/>
      <c r="L76" s="156"/>
      <c r="M76" s="219" t="str">
        <f t="shared" si="25"/>
        <v/>
      </c>
      <c r="N76" s="219" t="str">
        <f t="shared" si="26"/>
        <v/>
      </c>
    </row>
    <row r="77" spans="2:14" ht="14.25" customHeight="1" x14ac:dyDescent="0.2">
      <c r="B77" s="45" t="str">
        <f>IF(COUNTIF(J70:J79,"Cement Delivery to Silo")&gt;0,"EP-2 Cement Silo Stack:","")</f>
        <v/>
      </c>
      <c r="C77" s="221"/>
      <c r="D77" s="221"/>
      <c r="E77" s="221"/>
      <c r="F77" s="221"/>
      <c r="H77" s="127" t="str">
        <f t="shared" si="24"/>
        <v/>
      </c>
      <c r="I77" s="127" t="str">
        <f t="shared" si="23"/>
        <v/>
      </c>
      <c r="J77" s="82"/>
      <c r="K77" s="61"/>
      <c r="L77" s="156"/>
      <c r="M77" s="219" t="str">
        <f t="shared" si="25"/>
        <v/>
      </c>
      <c r="N77" s="219" t="str">
        <f t="shared" si="26"/>
        <v/>
      </c>
    </row>
    <row r="78" spans="2:14" ht="14.25" customHeight="1" x14ac:dyDescent="0.2">
      <c r="B78" s="45" t="str">
        <f>IF(COUNTIF(J70:J79,"Cement Supplement Delivery to Silo")&gt;0,"EP-3 Cement Supplement Silo Stack:","")</f>
        <v/>
      </c>
      <c r="C78" s="221"/>
      <c r="D78" s="221"/>
      <c r="E78" s="221"/>
      <c r="F78" s="221"/>
      <c r="H78" s="127" t="str">
        <f t="shared" si="24"/>
        <v/>
      </c>
      <c r="I78" s="127" t="str">
        <f t="shared" si="23"/>
        <v/>
      </c>
      <c r="J78" s="82"/>
      <c r="K78" s="61"/>
      <c r="L78" s="156"/>
      <c r="M78" s="219" t="str">
        <f t="shared" si="25"/>
        <v/>
      </c>
      <c r="N78" s="219" t="str">
        <f t="shared" si="26"/>
        <v/>
      </c>
    </row>
    <row r="79" spans="2:14" ht="14.25" customHeight="1" x14ac:dyDescent="0.2">
      <c r="B79" s="45" t="str">
        <f>IF(COUNTIF(J70:J79,"Weigh Hopper Loading")&gt;0,"EP-4 Weigh Hopper Loading Stack:","")</f>
        <v/>
      </c>
      <c r="C79" s="221"/>
      <c r="D79" s="221"/>
      <c r="E79" s="221"/>
      <c r="F79" s="221"/>
      <c r="G79" s="45"/>
      <c r="H79" s="127" t="str">
        <f t="shared" si="24"/>
        <v/>
      </c>
      <c r="I79" s="127" t="str">
        <f t="shared" si="23"/>
        <v/>
      </c>
      <c r="J79" s="82"/>
      <c r="K79" s="61"/>
      <c r="L79" s="156"/>
      <c r="M79" s="219" t="str">
        <f t="shared" si="25"/>
        <v/>
      </c>
      <c r="N79" s="219" t="str">
        <f t="shared" si="26"/>
        <v/>
      </c>
    </row>
    <row r="80" spans="2:14" ht="14.25" customHeight="1" x14ac:dyDescent="0.2">
      <c r="B80" s="45" t="str">
        <f>IF(COUNTIF(J70:J79,"Truck Mix Loading")&gt;0,"EP-5 Truck Mix Loading Stack:","")</f>
        <v/>
      </c>
      <c r="C80" s="221"/>
      <c r="D80" s="221"/>
      <c r="E80" s="221"/>
      <c r="F80" s="221"/>
      <c r="G80" s="45"/>
      <c r="H80" s="45"/>
      <c r="I80" s="45"/>
    </row>
    <row r="81" spans="2:14" ht="14.25" customHeight="1" x14ac:dyDescent="0.2">
      <c r="B81" s="45" t="str">
        <f>IF(COUNTIF(J70:J79,"Central Mix Loading")&gt;0,"EP-6 Central Mix Loading Stack:","")</f>
        <v/>
      </c>
      <c r="C81" s="221"/>
      <c r="D81" s="221"/>
      <c r="E81" s="221"/>
      <c r="F81" s="221"/>
      <c r="G81" s="45"/>
      <c r="H81" s="74" t="str">
        <f>IF('Concrete Plant (CP-5)'!$D$4&gt;3,"Stock Pile Area","")</f>
        <v/>
      </c>
      <c r="I81" s="74"/>
      <c r="J81" s="75"/>
    </row>
    <row r="82" spans="2:14" ht="14.25" customHeight="1" x14ac:dyDescent="0.2">
      <c r="B82" s="73"/>
      <c r="C82" s="163"/>
      <c r="D82" s="163"/>
      <c r="E82" s="163"/>
      <c r="F82" s="176"/>
      <c r="G82" s="45"/>
      <c r="I82" s="51" t="str">
        <f>IF('Concrete Plant (CP-5)'!$D$4&gt;3,"Emission Unit #","")</f>
        <v/>
      </c>
      <c r="J82" s="80" t="str">
        <f>IF('Concrete Plant (CP-5)'!$D$4&gt;3,"Maximum Storage Area (acres)","")</f>
        <v/>
      </c>
      <c r="K82" s="81" t="str">
        <f>IF('Concrete Plant (CP-5)'!$D$4&gt;3,"Actual Storage Area (acres)","")</f>
        <v/>
      </c>
      <c r="L82" s="80" t="str">
        <f>IF('Concrete Plant (CP-5)'!$D$4&gt;3,"Actual Days in Existence (days)","")</f>
        <v/>
      </c>
      <c r="M82" s="146"/>
      <c r="N82" s="146"/>
    </row>
    <row r="83" spans="2:14" ht="14.25" customHeight="1" x14ac:dyDescent="0.2">
      <c r="B83" s="73"/>
      <c r="C83" s="163"/>
      <c r="D83" s="163"/>
      <c r="E83" s="163"/>
      <c r="F83" s="176"/>
      <c r="G83" s="45"/>
      <c r="I83" s="65"/>
      <c r="J83" s="144"/>
      <c r="K83" s="66"/>
      <c r="L83" s="144"/>
      <c r="M83" s="146"/>
      <c r="N83" s="146"/>
    </row>
    <row r="84" spans="2:14" ht="14.25" customHeight="1" x14ac:dyDescent="0.2">
      <c r="B84" s="73"/>
      <c r="C84" s="163"/>
      <c r="D84" s="163"/>
      <c r="E84" s="163"/>
      <c r="F84" s="176"/>
      <c r="G84" s="45"/>
    </row>
    <row r="85" spans="2:14" ht="28.5" customHeight="1" x14ac:dyDescent="0.25">
      <c r="B85" s="78" t="str">
        <f>IF('Concrete Plant (CP-5)'!$D$4&gt;4,"Batch Plant","")</f>
        <v/>
      </c>
      <c r="C85" s="71" t="str">
        <f>IF('Concrete Plant (CP-5)'!$D$4&gt;4,"Site 5","")</f>
        <v/>
      </c>
      <c r="D85" s="71"/>
      <c r="E85" s="71"/>
      <c r="F85" s="71"/>
      <c r="G85" s="45"/>
      <c r="H85" s="310" t="str">
        <f>IF('Concrete Plant (CP-5)'!$D$4&gt;4,"Emission Point #","")</f>
        <v/>
      </c>
      <c r="I85" s="310" t="str">
        <f>IF('Concrete Plant (CP-5)'!$D$4&gt;4,"Emission     Unit #","")</f>
        <v/>
      </c>
      <c r="J85" s="310" t="str">
        <f>IF('Concrete Plant (CP-5)'!$D$4&gt;4,"Processes","")</f>
        <v/>
      </c>
      <c r="K85" s="311" t="str">
        <f>IF('Concrete Plant (CP-5)'!$D$4&gt;4,"Combined Maximum Hourly Design Rate for all Like Processes (cubic yard/hr)","")</f>
        <v/>
      </c>
      <c r="L85" s="310" t="str">
        <f>IF('Concrete Plant (CP-5)'!$D$4&gt;4,('Facility Information'!G5&amp;" Annual Throughput (cubic yards)"),"")</f>
        <v/>
      </c>
      <c r="M85" s="217"/>
      <c r="N85" s="217"/>
    </row>
    <row r="86" spans="2:14" ht="14.25" customHeight="1" x14ac:dyDescent="0.2">
      <c r="B86" s="79" t="str">
        <f>IF('Concrete Plant (CP-5)'!$D$4&gt;4,"Site Name:","")</f>
        <v/>
      </c>
      <c r="C86" s="349"/>
      <c r="D86" s="356"/>
      <c r="E86" s="357"/>
      <c r="F86" s="175"/>
      <c r="G86" s="45"/>
      <c r="H86" s="127" t="str">
        <f>IF(J86="cement delivery to silo","CP-1 EP-2",IF(J86="cement supplement delivery to silo","CP-1 EP-3",IF(J86="weigh hopper loading","CP-1 EP-4",IF(J86="truck mix loading","CP-1 EP-5",IF(J86="central mix loading","CP-1 EP-6",IF(J86="","","CP-1 EP-1"))))))</f>
        <v/>
      </c>
      <c r="I86" s="127" t="str">
        <f t="shared" ref="I86:I95" si="27">IF(J86="","",IF(J86="aggregate delivery to ground storage","CP-5 EU-1",IF(J86="sand delivery to ground storage","CP-5 EU-2",IF(J86="aggregate transfer to conveyor","CP-5 EU-3",IF(J86="sand transfer to conveyor","CP-5 EU-4",IF(J86="aggregate transfer to elevated storage","CP-5 EU-5",IF(J86="sand transfer to elevated storage","CP-5 EU-6",IF(J86="weigh hopper loading","CP-5 EU-7",IF(J86="central mix loading","CP-5 EU-8",IF(J86="truck mix loading","CP-5 EU-9",IF(J86="cement delivery to silo","CP-5 EU-10",IF(J86="cement supplement delivery to silo","CP-5 EU-11"))))))))))))</f>
        <v/>
      </c>
      <c r="J86" s="82"/>
      <c r="K86" s="61"/>
      <c r="L86" s="156"/>
      <c r="M86" s="219" t="str">
        <f>IF(J86="truck mix loading",IF($F$89="yes",L86*0.05/2000,L86/2000),"")</f>
        <v/>
      </c>
      <c r="N86" s="219" t="str">
        <f>IF(J86="central mix loading",IF($F$89="yes",L86*0.05/2000,L86/2000),"")</f>
        <v/>
      </c>
    </row>
    <row r="87" spans="2:14" ht="14.25" customHeight="1" x14ac:dyDescent="0.2">
      <c r="B87" s="79" t="str">
        <f>IF('Concrete Plant (CP-5)'!$D$4&gt;4,"County:","")</f>
        <v/>
      </c>
      <c r="C87" s="339"/>
      <c r="D87" s="342"/>
      <c r="E87" s="343"/>
      <c r="F87" s="175"/>
      <c r="H87" s="127" t="str">
        <f t="shared" ref="H87:H95" si="28">IF(J87="cement delivery to silo","CP-1 EP-2",IF(J87="cement supplement delivery to silo","CP-1 EP-3",IF(J87="weigh hopper loading","CP-1 EP-4",IF(J87="truck mix loading","CP-1 EP-5",IF(J87="central mix loading","CP-1 EP-6",IF(J87="","","CP-1 EP-1"))))))</f>
        <v/>
      </c>
      <c r="I87" s="127" t="str">
        <f t="shared" si="27"/>
        <v/>
      </c>
      <c r="J87" s="82"/>
      <c r="K87" s="61"/>
      <c r="L87" s="156"/>
      <c r="M87" s="219" t="str">
        <f t="shared" ref="M87:M95" si="29">IF(J87="truck mix loading",IF($F$89="yes",L87*0.05/2000,L87/2000),"")</f>
        <v/>
      </c>
      <c r="N87" s="219" t="str">
        <f t="shared" ref="N87:N95" si="30">IF(J87="central mix loading",IF($F$89="yes",L87*0.05/2000,L87/2000),"")</f>
        <v/>
      </c>
    </row>
    <row r="88" spans="2:14" ht="14.25" customHeight="1" x14ac:dyDescent="0.2">
      <c r="B88" s="79" t="str">
        <f>IF('Concrete Plant (CP-5)'!$D$4&gt;4,"Batching Period (Dates):","")</f>
        <v/>
      </c>
      <c r="C88" s="352"/>
      <c r="D88" s="358"/>
      <c r="E88" s="359"/>
      <c r="F88" s="175"/>
      <c r="G88" s="76"/>
      <c r="H88" s="127" t="str">
        <f t="shared" si="28"/>
        <v/>
      </c>
      <c r="I88" s="127" t="str">
        <f t="shared" si="27"/>
        <v/>
      </c>
      <c r="J88" s="82"/>
      <c r="K88" s="61"/>
      <c r="L88" s="156"/>
      <c r="M88" s="219" t="str">
        <f t="shared" si="29"/>
        <v/>
      </c>
      <c r="N88" s="219" t="str">
        <f t="shared" si="30"/>
        <v/>
      </c>
    </row>
    <row r="89" spans="2:14" ht="14.25" customHeight="1" x14ac:dyDescent="0.2">
      <c r="B89" s="51" t="str">
        <f>IF(OR(COUNTIF(J86:J95,"Truck Mix Loading")&gt;0,(COUNTIF(J86:J95,"Central Mix Loading")&gt;0)),"Is the Central/Truck Mix Loading process controlled by a baghouse?","")</f>
        <v/>
      </c>
      <c r="C89" s="51"/>
      <c r="D89" s="51"/>
      <c r="E89" s="51"/>
      <c r="F89" s="221"/>
      <c r="H89" s="127" t="str">
        <f t="shared" si="28"/>
        <v/>
      </c>
      <c r="I89" s="127" t="str">
        <f t="shared" si="27"/>
        <v/>
      </c>
      <c r="J89" s="82"/>
      <c r="K89" s="61"/>
      <c r="L89" s="156"/>
      <c r="M89" s="219" t="str">
        <f t="shared" si="29"/>
        <v/>
      </c>
      <c r="N89" s="219" t="str">
        <f t="shared" si="30"/>
        <v/>
      </c>
    </row>
    <row r="90" spans="2:14" ht="14.25" customHeight="1" x14ac:dyDescent="0.2">
      <c r="F90" s="177"/>
      <c r="H90" s="127" t="str">
        <f t="shared" si="28"/>
        <v/>
      </c>
      <c r="I90" s="127" t="str">
        <f t="shared" si="27"/>
        <v/>
      </c>
      <c r="J90" s="82"/>
      <c r="K90" s="61"/>
      <c r="L90" s="156"/>
      <c r="M90" s="219" t="str">
        <f t="shared" si="29"/>
        <v/>
      </c>
      <c r="N90" s="219" t="str">
        <f t="shared" si="30"/>
        <v/>
      </c>
    </row>
    <row r="91" spans="2:14" ht="28.5" customHeight="1" x14ac:dyDescent="0.2">
      <c r="B91" s="312" t="str">
        <f>IF(AND(B93="",B94="",B95="",B96="",B97=""),"","Process (complete stack information if applicable):")</f>
        <v/>
      </c>
      <c r="C91" s="312" t="str">
        <f>IF(AND(B93="",B94="",B95="",B96="",B97=""),"","Stack Height (ft):")</f>
        <v/>
      </c>
      <c r="D91" s="312" t="str">
        <f>IF(AND(B93="",B94="",B95="",B96="",B97=""),"","Stack Diameter (inches):")</f>
        <v/>
      </c>
      <c r="E91" s="312" t="str">
        <f>IF(AND(B93="",B94="",B95="",B96="",B97=""),"","Flow Rate (acfm):")</f>
        <v/>
      </c>
      <c r="F91" s="312" t="str">
        <f>IF(AND(B93="",B94="",B95="",B96="",B97=""),"","Temp (Deg F):")</f>
        <v/>
      </c>
      <c r="H91" s="127" t="str">
        <f t="shared" si="28"/>
        <v/>
      </c>
      <c r="I91" s="127" t="str">
        <f t="shared" si="27"/>
        <v/>
      </c>
      <c r="J91" s="82"/>
      <c r="K91" s="61"/>
      <c r="L91" s="156"/>
      <c r="M91" s="219" t="str">
        <f t="shared" si="29"/>
        <v/>
      </c>
      <c r="N91" s="219" t="str">
        <f t="shared" si="30"/>
        <v/>
      </c>
    </row>
    <row r="92" spans="2:14" ht="14.25" customHeight="1" x14ac:dyDescent="0.2">
      <c r="B92" s="312"/>
      <c r="C92" s="312"/>
      <c r="D92" s="312"/>
      <c r="E92" s="312"/>
      <c r="F92" s="312"/>
      <c r="H92" s="127" t="str">
        <f t="shared" si="28"/>
        <v/>
      </c>
      <c r="I92" s="127" t="str">
        <f t="shared" si="27"/>
        <v/>
      </c>
      <c r="J92" s="82"/>
      <c r="K92" s="61"/>
      <c r="L92" s="156"/>
      <c r="M92" s="219" t="str">
        <f t="shared" si="29"/>
        <v/>
      </c>
      <c r="N92" s="219" t="str">
        <f t="shared" si="30"/>
        <v/>
      </c>
    </row>
    <row r="93" spans="2:14" ht="14.25" customHeight="1" x14ac:dyDescent="0.2">
      <c r="B93" s="45" t="str">
        <f>IF(COUNTIF(J86:J95,"Cement Delivery to Silo")&gt;0,"EP-2 Cement Silo Stack:","")</f>
        <v/>
      </c>
      <c r="C93" s="221"/>
      <c r="D93" s="221"/>
      <c r="E93" s="221"/>
      <c r="F93" s="221"/>
      <c r="G93" s="45"/>
      <c r="H93" s="127" t="str">
        <f t="shared" si="28"/>
        <v/>
      </c>
      <c r="I93" s="127" t="str">
        <f t="shared" si="27"/>
        <v/>
      </c>
      <c r="J93" s="82"/>
      <c r="K93" s="61"/>
      <c r="L93" s="156"/>
      <c r="M93" s="219" t="str">
        <f t="shared" si="29"/>
        <v/>
      </c>
      <c r="N93" s="219" t="str">
        <f t="shared" si="30"/>
        <v/>
      </c>
    </row>
    <row r="94" spans="2:14" ht="14.25" customHeight="1" x14ac:dyDescent="0.2">
      <c r="B94" s="45" t="str">
        <f>IF(COUNTIF(J86:J95,"Cement Supplement Delivery to Silo")&gt;0,"EP-3 Cement Supplement Silo Stack:","")</f>
        <v/>
      </c>
      <c r="C94" s="221"/>
      <c r="D94" s="221"/>
      <c r="E94" s="221"/>
      <c r="F94" s="221"/>
      <c r="G94" s="45"/>
      <c r="H94" s="127" t="str">
        <f t="shared" si="28"/>
        <v/>
      </c>
      <c r="I94" s="127" t="str">
        <f t="shared" si="27"/>
        <v/>
      </c>
      <c r="J94" s="82"/>
      <c r="K94" s="61"/>
      <c r="L94" s="156"/>
      <c r="M94" s="219" t="str">
        <f t="shared" si="29"/>
        <v/>
      </c>
      <c r="N94" s="219" t="str">
        <f t="shared" si="30"/>
        <v/>
      </c>
    </row>
    <row r="95" spans="2:14" ht="14.25" customHeight="1" x14ac:dyDescent="0.2">
      <c r="B95" s="45" t="str">
        <f>IF(COUNTIF(J86:J95,"Weigh Hopper Loading")&gt;0,"EP-4 Weigh Hopper Loading Stack:","")</f>
        <v/>
      </c>
      <c r="C95" s="221"/>
      <c r="D95" s="221"/>
      <c r="E95" s="221"/>
      <c r="F95" s="221"/>
      <c r="G95" s="45"/>
      <c r="H95" s="127" t="str">
        <f t="shared" si="28"/>
        <v/>
      </c>
      <c r="I95" s="127" t="str">
        <f t="shared" si="27"/>
        <v/>
      </c>
      <c r="J95" s="82"/>
      <c r="K95" s="61"/>
      <c r="L95" s="156"/>
      <c r="M95" s="219" t="str">
        <f t="shared" si="29"/>
        <v/>
      </c>
      <c r="N95" s="219" t="str">
        <f t="shared" si="30"/>
        <v/>
      </c>
    </row>
    <row r="96" spans="2:14" ht="14.25" customHeight="1" x14ac:dyDescent="0.2">
      <c r="B96" s="45" t="str">
        <f>IF(COUNTIF(J86:J95,"Truck Mix Loading")&gt;0,"EP-5 Truck Mix Loading Stack:","")</f>
        <v/>
      </c>
      <c r="C96" s="221"/>
      <c r="D96" s="221"/>
      <c r="E96" s="221"/>
      <c r="F96" s="221"/>
      <c r="G96" s="45"/>
      <c r="H96" s="45"/>
      <c r="I96" s="45"/>
    </row>
    <row r="97" spans="2:14" ht="14.25" customHeight="1" x14ac:dyDescent="0.2">
      <c r="B97" s="45" t="str">
        <f>IF(COUNTIF(J86:J95,"Central Mix Loading")&gt;0,"EP-6 Central Mix Loading Stack:","")</f>
        <v/>
      </c>
      <c r="C97" s="221"/>
      <c r="D97" s="221"/>
      <c r="E97" s="221"/>
      <c r="F97" s="221"/>
      <c r="G97" s="45"/>
      <c r="H97" s="74" t="str">
        <f>IF('Concrete Plant (CP-5)'!$D$4&gt;4,"Stock Pile Area","")</f>
        <v/>
      </c>
      <c r="I97" s="74"/>
      <c r="J97" s="75"/>
    </row>
    <row r="98" spans="2:14" ht="14.25" customHeight="1" x14ac:dyDescent="0.2">
      <c r="B98" s="73"/>
      <c r="C98" s="163"/>
      <c r="D98" s="163"/>
      <c r="E98" s="163"/>
      <c r="F98" s="176"/>
      <c r="G98" s="45"/>
      <c r="I98" s="51" t="str">
        <f>IF('Concrete Plant (CP-5)'!$D$4&gt;4,"Emission Unit #","")</f>
        <v/>
      </c>
      <c r="J98" s="80" t="str">
        <f>IF('Concrete Plant (CP-5)'!$D$4&gt;4,"Maximum Storage Area (acres)","")</f>
        <v/>
      </c>
      <c r="K98" s="81" t="str">
        <f>IF('Concrete Plant (CP-5)'!$D$4&gt;4,"Actual Storage Area (acres)","")</f>
        <v/>
      </c>
      <c r="L98" s="80" t="str">
        <f>IF('Concrete Plant (CP-5)'!$D$4&gt;4,"Actual Days in Existence (days)","")</f>
        <v/>
      </c>
      <c r="M98" s="146"/>
      <c r="N98" s="146"/>
    </row>
    <row r="99" spans="2:14" ht="14.25" customHeight="1" x14ac:dyDescent="0.2">
      <c r="B99" s="73"/>
      <c r="C99" s="163"/>
      <c r="D99" s="163"/>
      <c r="E99" s="163"/>
      <c r="F99" s="176"/>
      <c r="G99" s="45"/>
      <c r="I99" s="62"/>
      <c r="J99" s="144"/>
      <c r="K99" s="66"/>
      <c r="L99" s="144"/>
      <c r="M99" s="146"/>
      <c r="N99" s="146"/>
    </row>
    <row r="100" spans="2:14" ht="14.25" customHeight="1" x14ac:dyDescent="0.2">
      <c r="B100" s="73"/>
      <c r="C100" s="163"/>
      <c r="D100" s="163"/>
      <c r="E100" s="163"/>
      <c r="F100" s="176"/>
      <c r="G100" s="45"/>
      <c r="H100" s="45"/>
    </row>
    <row r="101" spans="2:14" ht="28.5" customHeight="1" x14ac:dyDescent="0.25">
      <c r="B101" s="78" t="str">
        <f>IF('Concrete Plant (CP-5)'!$D$4&gt;5,"Batch Plant","")</f>
        <v/>
      </c>
      <c r="C101" s="71" t="str">
        <f>IF('Concrete Plant (CP-5)'!$D$4&gt;5,"Site 6","")</f>
        <v/>
      </c>
      <c r="D101" s="71"/>
      <c r="E101" s="71"/>
      <c r="F101" s="71"/>
      <c r="G101" s="45"/>
      <c r="H101" s="310" t="str">
        <f>IF('Concrete Plant (CP-5)'!$D$4&gt;5,"Emission Point #","")</f>
        <v/>
      </c>
      <c r="I101" s="310" t="str">
        <f>IF('Concrete Plant (CP-5)'!$D$4&gt;5,"Emission     Unit #","")</f>
        <v/>
      </c>
      <c r="J101" s="310" t="str">
        <f>IF('Concrete Plant (CP-5)'!$D$4&gt;5,"Processes","")</f>
        <v/>
      </c>
      <c r="K101" s="311" t="str">
        <f>IF('Concrete Plant (CP-5)'!$D$4&gt;5,"Combined Maximum Hourly Design Rate for all Like Processes (cubic yard/hr)","")</f>
        <v/>
      </c>
      <c r="L101" s="310" t="str">
        <f>IF('Concrete Plant (CP-5)'!$D$4&gt;5,('Facility Information'!G5&amp;" Annual Throughput (cubic yards)"),"")</f>
        <v/>
      </c>
      <c r="M101" s="217"/>
      <c r="N101" s="217"/>
    </row>
    <row r="102" spans="2:14" ht="14.25" customHeight="1" x14ac:dyDescent="0.2">
      <c r="B102" s="79" t="str">
        <f>IF('Concrete Plant (CP-5)'!$D$4&gt;5,"Site Name:","")</f>
        <v/>
      </c>
      <c r="C102" s="339"/>
      <c r="D102" s="342"/>
      <c r="E102" s="343"/>
      <c r="F102" s="175"/>
      <c r="G102" s="76"/>
      <c r="H102" s="127" t="str">
        <f>IF(J102="cement delivery to silo","CP-1 EP-2",IF(J102="cement supplement delivery to silo","CP-1 EP-3",IF(J102="weigh hopper loading","CP-1 EP-4",IF(J102="truck mix loading","CP-1 EP-5",IF(J102="central mix loading","CP-1 EP-6",IF(J102="","","CP-1 EP-1"))))))</f>
        <v/>
      </c>
      <c r="I102" s="127" t="str">
        <f t="shared" ref="I102:I111" si="31">IF(J102="","",IF(J102="aggregate delivery to ground storage","CP-5 EU-1",IF(J102="sand delivery to ground storage","CP-5 EU-2",IF(J102="aggregate transfer to conveyor","CP-5 EU-3",IF(J102="sand transfer to conveyor","CP-5 EU-4",IF(J102="aggregate transfer to elevated storage","CP-5 EU-5",IF(J102="sand transfer to elevated storage","CP-5 EU-6",IF(J102="weigh hopper loading","CP-5 EU-7",IF(J102="central mix loading","CP-5 EU-8",IF(J102="truck mix loading","CP-5 EU-9",IF(J102="cement delivery to silo","CP-5 EU-10",IF(J102="cement supplement delivery to silo","CP-5 EU-11"))))))))))))</f>
        <v/>
      </c>
      <c r="J102" s="82"/>
      <c r="K102" s="61"/>
      <c r="L102" s="156"/>
      <c r="M102" s="219" t="str">
        <f>IF(J102="truck mix loading",IF($F$105="yes",L102*0.05/2000,L102/2000),"")</f>
        <v/>
      </c>
      <c r="N102" s="219" t="str">
        <f>IF(J102="central mix loading",IF($F$105="yes",L102*0.05/2000,L102/2000),"")</f>
        <v/>
      </c>
    </row>
    <row r="103" spans="2:14" ht="14.25" customHeight="1" x14ac:dyDescent="0.2">
      <c r="B103" s="79" t="str">
        <f>IF('Concrete Plant (CP-5)'!$D$4&gt;5,"County:","")</f>
        <v/>
      </c>
      <c r="C103" s="352"/>
      <c r="D103" s="358"/>
      <c r="E103" s="359"/>
      <c r="F103" s="175"/>
      <c r="H103" s="127" t="str">
        <f t="shared" ref="H103:H111" si="32">IF(J103="cement delivery to silo","CP-1 EP-2",IF(J103="cement supplement delivery to silo","CP-1 EP-3",IF(J103="weigh hopper loading","CP-1 EP-4",IF(J103="truck mix loading","CP-1 EP-5",IF(J103="central mix loading","CP-1 EP-6",IF(J103="","","CP-1 EP-1"))))))</f>
        <v/>
      </c>
      <c r="I103" s="127" t="str">
        <f t="shared" si="31"/>
        <v/>
      </c>
      <c r="J103" s="82"/>
      <c r="K103" s="61"/>
      <c r="L103" s="156"/>
      <c r="M103" s="219" t="str">
        <f t="shared" ref="M103:M111" si="33">IF(J103="truck mix loading",IF($F$105="yes",L103*0.05/2000,L103/2000),"")</f>
        <v/>
      </c>
      <c r="N103" s="219" t="str">
        <f t="shared" ref="N103:N111" si="34">IF(J103="central mix loading",IF($F$105="yes",L103*0.05/2000,L103/2000),"")</f>
        <v/>
      </c>
    </row>
    <row r="104" spans="2:14" ht="14.25" customHeight="1" x14ac:dyDescent="0.2">
      <c r="B104" s="79" t="str">
        <f>IF('Concrete Plant (CP-5)'!$D$4&gt;5,"Batching Period (Dates):","")</f>
        <v/>
      </c>
      <c r="C104" s="352"/>
      <c r="D104" s="358"/>
      <c r="E104" s="359"/>
      <c r="F104" s="175"/>
      <c r="H104" s="127" t="str">
        <f t="shared" si="32"/>
        <v/>
      </c>
      <c r="I104" s="127" t="str">
        <f t="shared" si="31"/>
        <v/>
      </c>
      <c r="J104" s="82"/>
      <c r="K104" s="61"/>
      <c r="L104" s="156"/>
      <c r="M104" s="219" t="str">
        <f t="shared" si="33"/>
        <v/>
      </c>
      <c r="N104" s="219" t="str">
        <f t="shared" si="34"/>
        <v/>
      </c>
    </row>
    <row r="105" spans="2:14" ht="14.25" customHeight="1" x14ac:dyDescent="0.2">
      <c r="B105" s="51" t="str">
        <f>IF(OR(COUNTIF(J102:J111,"Truck Mix Loading")&gt;0,(COUNTIF(J102:J111,"Central Mix Loading")&gt;0)),"Is the Central/Truck Mix Loading process controlled by a baghouse?","")</f>
        <v/>
      </c>
      <c r="C105" s="51"/>
      <c r="D105" s="51"/>
      <c r="E105" s="51"/>
      <c r="F105" s="221"/>
      <c r="H105" s="127" t="str">
        <f t="shared" si="32"/>
        <v/>
      </c>
      <c r="I105" s="127" t="str">
        <f t="shared" si="31"/>
        <v/>
      </c>
      <c r="J105" s="82"/>
      <c r="K105" s="61"/>
      <c r="L105" s="156"/>
      <c r="M105" s="219" t="str">
        <f t="shared" si="33"/>
        <v/>
      </c>
      <c r="N105" s="219" t="str">
        <f t="shared" si="34"/>
        <v/>
      </c>
    </row>
    <row r="106" spans="2:14" ht="14.25" customHeight="1" x14ac:dyDescent="0.2">
      <c r="F106" s="177"/>
      <c r="H106" s="127" t="str">
        <f t="shared" si="32"/>
        <v/>
      </c>
      <c r="I106" s="127" t="str">
        <f t="shared" si="31"/>
        <v/>
      </c>
      <c r="J106" s="82"/>
      <c r="K106" s="61"/>
      <c r="L106" s="156"/>
      <c r="M106" s="219" t="str">
        <f t="shared" si="33"/>
        <v/>
      </c>
      <c r="N106" s="219" t="str">
        <f t="shared" si="34"/>
        <v/>
      </c>
    </row>
    <row r="107" spans="2:14" ht="28.5" customHeight="1" x14ac:dyDescent="0.2">
      <c r="B107" s="312" t="str">
        <f>IF(AND(B109="",B110="",B111="",B112="",B113=""),"","Process (complete stack information if applicable):")</f>
        <v/>
      </c>
      <c r="C107" s="312" t="str">
        <f>IF(AND(B109="",B110="",B111="",B112="",B113=""),"","Stack Height (ft):")</f>
        <v/>
      </c>
      <c r="D107" s="312" t="str">
        <f>IF(AND(B109="",B110="",B111="",B112="",B113=""),"","Stack Diameter (inches):")</f>
        <v/>
      </c>
      <c r="E107" s="312" t="str">
        <f>IF(AND(B109="",B110="",B111="",B112="",B113=""),"","Flow Rate (acfm):")</f>
        <v/>
      </c>
      <c r="F107" s="312" t="str">
        <f>IF(AND(B109="",B110="",B111="",B112="",B113=""),"","Temp (Deg F):")</f>
        <v/>
      </c>
      <c r="G107" s="45"/>
      <c r="H107" s="127" t="str">
        <f t="shared" si="32"/>
        <v/>
      </c>
      <c r="I107" s="127" t="str">
        <f t="shared" si="31"/>
        <v/>
      </c>
      <c r="J107" s="82"/>
      <c r="K107" s="61"/>
      <c r="L107" s="156"/>
      <c r="M107" s="219" t="str">
        <f t="shared" si="33"/>
        <v/>
      </c>
      <c r="N107" s="219" t="str">
        <f t="shared" si="34"/>
        <v/>
      </c>
    </row>
    <row r="108" spans="2:14" ht="14.25" customHeight="1" x14ac:dyDescent="0.2">
      <c r="B108" s="312"/>
      <c r="C108" s="312"/>
      <c r="D108" s="312"/>
      <c r="E108" s="312"/>
      <c r="F108" s="312"/>
      <c r="G108" s="45"/>
      <c r="H108" s="127" t="str">
        <f t="shared" si="32"/>
        <v/>
      </c>
      <c r="I108" s="127" t="str">
        <f t="shared" si="31"/>
        <v/>
      </c>
      <c r="J108" s="82"/>
      <c r="K108" s="61"/>
      <c r="L108" s="156"/>
      <c r="M108" s="219" t="str">
        <f t="shared" si="33"/>
        <v/>
      </c>
      <c r="N108" s="219" t="str">
        <f t="shared" si="34"/>
        <v/>
      </c>
    </row>
    <row r="109" spans="2:14" ht="14.25" customHeight="1" x14ac:dyDescent="0.2">
      <c r="B109" s="45" t="str">
        <f>IF(COUNTIF(J102:J111,"Cement Delivery to Silo")&gt;0,"EP-2 Cement Silo Stack:","")</f>
        <v/>
      </c>
      <c r="C109" s="221"/>
      <c r="D109" s="221"/>
      <c r="E109" s="221"/>
      <c r="F109" s="221"/>
      <c r="G109" s="45"/>
      <c r="H109" s="127" t="str">
        <f t="shared" si="32"/>
        <v/>
      </c>
      <c r="I109" s="127" t="str">
        <f t="shared" si="31"/>
        <v/>
      </c>
      <c r="J109" s="82"/>
      <c r="K109" s="61"/>
      <c r="L109" s="156"/>
      <c r="M109" s="219" t="str">
        <f t="shared" si="33"/>
        <v/>
      </c>
      <c r="N109" s="219" t="str">
        <f t="shared" si="34"/>
        <v/>
      </c>
    </row>
    <row r="110" spans="2:14" ht="14.25" customHeight="1" x14ac:dyDescent="0.2">
      <c r="B110" s="45" t="str">
        <f>IF(COUNTIF(J102:J111,"Cement Supplement Delivery to Silo")&gt;0,"EP-3 Cement Supplement Silo Stack:","")</f>
        <v/>
      </c>
      <c r="C110" s="221"/>
      <c r="D110" s="221"/>
      <c r="E110" s="221"/>
      <c r="F110" s="221"/>
      <c r="G110" s="45"/>
      <c r="H110" s="127" t="str">
        <f t="shared" si="32"/>
        <v/>
      </c>
      <c r="I110" s="127" t="str">
        <f t="shared" si="31"/>
        <v/>
      </c>
      <c r="J110" s="82"/>
      <c r="K110" s="61"/>
      <c r="L110" s="156"/>
      <c r="M110" s="219" t="str">
        <f t="shared" si="33"/>
        <v/>
      </c>
      <c r="N110" s="219" t="str">
        <f t="shared" si="34"/>
        <v/>
      </c>
    </row>
    <row r="111" spans="2:14" ht="14.25" customHeight="1" x14ac:dyDescent="0.2">
      <c r="B111" s="45" t="str">
        <f>IF(COUNTIF(J102:J111,"Weigh Hopper Loading")&gt;0,"EP-4 Weigh Hopper Loading Stack:","")</f>
        <v/>
      </c>
      <c r="C111" s="221"/>
      <c r="D111" s="221"/>
      <c r="E111" s="221"/>
      <c r="F111" s="221"/>
      <c r="G111" s="45"/>
      <c r="H111" s="127" t="str">
        <f t="shared" si="32"/>
        <v/>
      </c>
      <c r="I111" s="127" t="str">
        <f t="shared" si="31"/>
        <v/>
      </c>
      <c r="J111" s="82"/>
      <c r="K111" s="61"/>
      <c r="L111" s="156"/>
      <c r="M111" s="219" t="str">
        <f t="shared" si="33"/>
        <v/>
      </c>
      <c r="N111" s="219" t="str">
        <f t="shared" si="34"/>
        <v/>
      </c>
    </row>
    <row r="112" spans="2:14" ht="14.25" customHeight="1" x14ac:dyDescent="0.2">
      <c r="B112" s="45" t="str">
        <f>IF(COUNTIF(J102:J111,"Truck Mix Loading")&gt;0,"EP-5 Truck Mix Loading Stack:","")</f>
        <v/>
      </c>
      <c r="C112" s="221"/>
      <c r="D112" s="221"/>
      <c r="E112" s="221"/>
      <c r="F112" s="221"/>
      <c r="G112" s="45"/>
      <c r="H112" s="45"/>
      <c r="I112" s="45"/>
    </row>
    <row r="113" spans="2:14" ht="14.25" customHeight="1" x14ac:dyDescent="0.2">
      <c r="B113" s="45" t="str">
        <f>IF(COUNTIF(J102:J111,"Central Mix Loading")&gt;0,"EP-6 Central Mix Loading Stack:","")</f>
        <v/>
      </c>
      <c r="C113" s="221"/>
      <c r="D113" s="221"/>
      <c r="E113" s="221"/>
      <c r="F113" s="221"/>
      <c r="G113" s="45"/>
      <c r="H113" s="74" t="str">
        <f>IF('Concrete Plant (CP-5)'!$D$4&gt;5,"Stock Pile Area","")</f>
        <v/>
      </c>
      <c r="I113" s="74"/>
      <c r="J113" s="75"/>
    </row>
    <row r="114" spans="2:14" ht="14.25" customHeight="1" x14ac:dyDescent="0.2">
      <c r="B114" s="73"/>
      <c r="C114" s="163"/>
      <c r="D114" s="163"/>
      <c r="E114" s="163"/>
      <c r="F114" s="176"/>
      <c r="G114" s="45"/>
      <c r="I114" s="51" t="str">
        <f>IF('Concrete Plant (CP-5)'!$D$4&gt;5,"Emission Unit #","")</f>
        <v/>
      </c>
      <c r="J114" s="80" t="str">
        <f>IF('Concrete Plant (CP-5)'!$D$4&gt;5,"Maximum Storage Area (acres)","")</f>
        <v/>
      </c>
      <c r="K114" s="81" t="str">
        <f>IF('Concrete Plant (CP-5)'!$D$4&gt;5,"Actual Storage Area (acres)","")</f>
        <v/>
      </c>
      <c r="L114" s="80" t="str">
        <f>IF('Concrete Plant (CP-5)'!$D$4&gt;5,"Actual Days in Existence (days)","")</f>
        <v/>
      </c>
      <c r="M114" s="146"/>
      <c r="N114" s="146"/>
    </row>
    <row r="115" spans="2:14" ht="14.25" customHeight="1" x14ac:dyDescent="0.2">
      <c r="B115" s="73"/>
      <c r="C115" s="163"/>
      <c r="D115" s="163"/>
      <c r="E115" s="163"/>
      <c r="F115" s="176"/>
      <c r="G115" s="45"/>
      <c r="I115" s="65"/>
      <c r="J115" s="144"/>
      <c r="K115" s="66"/>
      <c r="L115" s="144"/>
      <c r="M115" s="146"/>
      <c r="N115" s="146"/>
    </row>
    <row r="116" spans="2:14" ht="14.25" customHeight="1" x14ac:dyDescent="0.2">
      <c r="B116" s="73"/>
      <c r="C116" s="163"/>
      <c r="D116" s="163"/>
      <c r="E116" s="163"/>
      <c r="F116" s="176"/>
      <c r="G116" s="45"/>
      <c r="I116" s="139"/>
      <c r="J116" s="125"/>
      <c r="K116" s="125"/>
      <c r="L116" s="125"/>
      <c r="M116" s="146"/>
      <c r="N116" s="146"/>
    </row>
    <row r="117" spans="2:14" ht="28.5" customHeight="1" x14ac:dyDescent="0.25">
      <c r="B117" s="78" t="str">
        <f>IF('Concrete Plant (CP-5)'!$D$4&gt;6,"Batch Plant","")</f>
        <v/>
      </c>
      <c r="C117" s="71" t="str">
        <f>IF('Concrete Plant (CP-5)'!$D$4&gt;6,"Site 7","")</f>
        <v/>
      </c>
      <c r="D117" s="71"/>
      <c r="E117" s="71"/>
      <c r="F117" s="71"/>
      <c r="G117" s="76"/>
      <c r="H117" s="310" t="str">
        <f>IF('Concrete Plant (CP-5)'!$D$4&gt;6,"Emission Point #","")</f>
        <v/>
      </c>
      <c r="I117" s="310" t="str">
        <f>IF('Concrete Plant (CP-5)'!$D$4&gt;6,"Emission     Unit #","")</f>
        <v/>
      </c>
      <c r="J117" s="310" t="str">
        <f>IF('Concrete Plant (CP-5)'!$D$4&gt;6,"Processes","")</f>
        <v/>
      </c>
      <c r="K117" s="311" t="str">
        <f>IF('Concrete Plant (CP-5)'!$D$4&gt;6,"Combined Maximum Hourly Design Rate for all Like Processes (cubic yard/hr)","")</f>
        <v/>
      </c>
      <c r="L117" s="310" t="str">
        <f>IF('Concrete Plant (CP-5)'!$D$4&gt;6,('Facility Information'!G5&amp;" Annual Throughput (cubic yards)"),"")</f>
        <v/>
      </c>
      <c r="M117" s="217"/>
      <c r="N117" s="217"/>
    </row>
    <row r="118" spans="2:14" ht="14.25" customHeight="1" x14ac:dyDescent="0.2">
      <c r="B118" s="79" t="str">
        <f>IF('Concrete Plant (CP-5)'!$D$4&gt;6,"Site Name:","")</f>
        <v/>
      </c>
      <c r="C118" s="349"/>
      <c r="D118" s="356"/>
      <c r="E118" s="357"/>
      <c r="F118" s="175"/>
      <c r="H118" s="127" t="str">
        <f>IF(J118="cement delivery to silo","CP-1 EP-2",IF(J118="cement supplement delivery to silo","CP-1 EP-3",IF(J118="weigh hopper loading","CP-1 EP-4",IF(J118="truck mix loading","CP-1 EP-5",IF(J118="central mix loading","CP-1 EP-6",IF(J118="","","CP-1 EP-1"))))))</f>
        <v/>
      </c>
      <c r="I118" s="127" t="str">
        <f t="shared" ref="I118:I127" si="35">IF(J118="","",IF(J118="aggregate delivery to ground storage","CP-5 EU-1",IF(J118="sand delivery to ground storage","CP-5 EU-2",IF(J118="aggregate transfer to conveyor","CP-5 EU-3",IF(J118="sand transfer to conveyor","CP-5 EU-4",IF(J118="aggregate transfer to elevated storage","CP-5 EU-5",IF(J118="sand transfer to elevated storage","CP-5 EU-6",IF(J118="weigh hopper loading","CP-5 EU-7",IF(J118="central mix loading","CP-5 EU-8",IF(J118="truck mix loading","CP-5 EU-9",IF(J118="cement delivery to silo","CP-5 EU-10",IF(J118="cement supplement delivery to silo","CP-5 EU-11"))))))))))))</f>
        <v/>
      </c>
      <c r="J118" s="82"/>
      <c r="K118" s="61"/>
      <c r="L118" s="156"/>
      <c r="M118" s="219" t="str">
        <f>IF(J118="truck mix loading",IF($F$121="yes",L118*0.05/2000,L118/2000),"")</f>
        <v/>
      </c>
      <c r="N118" s="219" t="str">
        <f>IF(J118="central mix loading",IF($F$121="yes",L118*0.05/2000,L118/2000),"")</f>
        <v/>
      </c>
    </row>
    <row r="119" spans="2:14" ht="14.25" customHeight="1" x14ac:dyDescent="0.2">
      <c r="B119" s="79" t="str">
        <f>IF('Concrete Plant (CP-5)'!$D$4&gt;6,"County:","")</f>
        <v/>
      </c>
      <c r="C119" s="339"/>
      <c r="D119" s="342"/>
      <c r="E119" s="343"/>
      <c r="F119" s="175"/>
      <c r="H119" s="127" t="str">
        <f t="shared" ref="H119:H127" si="36">IF(J119="cement delivery to silo","CP-1 EP-2",IF(J119="cement supplement delivery to silo","CP-1 EP-3",IF(J119="weigh hopper loading","CP-1 EP-4",IF(J119="truck mix loading","CP-1 EP-5",IF(J119="central mix loading","CP-1 EP-6",IF(J119="","","CP-1 EP-1"))))))</f>
        <v/>
      </c>
      <c r="I119" s="127" t="str">
        <f t="shared" si="35"/>
        <v/>
      </c>
      <c r="J119" s="82"/>
      <c r="K119" s="61"/>
      <c r="L119" s="156"/>
      <c r="M119" s="219" t="str">
        <f t="shared" ref="M119:M127" si="37">IF(J119="truck mix loading",IF($F$121="yes",L119*0.05/2000,L119/2000),"")</f>
        <v/>
      </c>
      <c r="N119" s="219" t="str">
        <f t="shared" ref="N119:N127" si="38">IF(J119="central mix loading",IF($F$121="yes",L119*0.05/2000,L119/2000),"")</f>
        <v/>
      </c>
    </row>
    <row r="120" spans="2:14" ht="14.25" customHeight="1" x14ac:dyDescent="0.2">
      <c r="B120" s="79" t="str">
        <f>IF('Concrete Plant (CP-5)'!$D$4&gt;6,"Batching Period (Dates):","")</f>
        <v/>
      </c>
      <c r="C120" s="352"/>
      <c r="D120" s="358"/>
      <c r="E120" s="359"/>
      <c r="F120" s="175"/>
      <c r="H120" s="127" t="str">
        <f t="shared" si="36"/>
        <v/>
      </c>
      <c r="I120" s="127" t="str">
        <f t="shared" si="35"/>
        <v/>
      </c>
      <c r="J120" s="82"/>
      <c r="K120" s="61"/>
      <c r="L120" s="156"/>
      <c r="M120" s="219" t="str">
        <f t="shared" si="37"/>
        <v/>
      </c>
      <c r="N120" s="219" t="str">
        <f t="shared" si="38"/>
        <v/>
      </c>
    </row>
    <row r="121" spans="2:14" ht="14.25" customHeight="1" x14ac:dyDescent="0.2">
      <c r="B121" s="51" t="str">
        <f>IF(OR(COUNTIF(J118:J127,"Truck Mix Loading")&gt;0,(COUNTIF(J118:J127,"Central Mix Loading")&gt;0)),"Is the Central/Truck Mix Loading process controlled by a baghouse?","")</f>
        <v/>
      </c>
      <c r="C121" s="51"/>
      <c r="D121" s="51"/>
      <c r="E121" s="51"/>
      <c r="F121" s="221"/>
      <c r="G121" s="45"/>
      <c r="H121" s="127" t="str">
        <f t="shared" si="36"/>
        <v/>
      </c>
      <c r="I121" s="127" t="str">
        <f t="shared" si="35"/>
        <v/>
      </c>
      <c r="J121" s="82"/>
      <c r="K121" s="61"/>
      <c r="L121" s="156"/>
      <c r="M121" s="219" t="str">
        <f t="shared" si="37"/>
        <v/>
      </c>
      <c r="N121" s="219" t="str">
        <f t="shared" si="38"/>
        <v/>
      </c>
    </row>
    <row r="122" spans="2:14" ht="14.25" customHeight="1" x14ac:dyDescent="0.2">
      <c r="F122" s="177"/>
      <c r="G122" s="45"/>
      <c r="H122" s="127" t="str">
        <f t="shared" si="36"/>
        <v/>
      </c>
      <c r="I122" s="127" t="str">
        <f t="shared" si="35"/>
        <v/>
      </c>
      <c r="J122" s="82"/>
      <c r="K122" s="61"/>
      <c r="L122" s="156"/>
      <c r="M122" s="219" t="str">
        <f t="shared" si="37"/>
        <v/>
      </c>
      <c r="N122" s="219" t="str">
        <f t="shared" si="38"/>
        <v/>
      </c>
    </row>
    <row r="123" spans="2:14" ht="27.75" customHeight="1" x14ac:dyDescent="0.2">
      <c r="B123" s="312" t="str">
        <f>IF(AND(B125="",B126="",B127="",B128="",B129=""),"","Process (complete stack information if applicable):")</f>
        <v/>
      </c>
      <c r="C123" s="312" t="str">
        <f>IF(AND(B125="",B126="",B127="",B128="",B129=""),"","Stack Height (ft):")</f>
        <v/>
      </c>
      <c r="D123" s="312" t="str">
        <f>IF(AND(B125="",B126="",B127="",B128="",B129=""),"","Stack Diameter (inches):")</f>
        <v/>
      </c>
      <c r="E123" s="312" t="str">
        <f>IF(AND(B125="",B126="",B127="",B128="",B129=""),"","Flow Rate (acfm):")</f>
        <v/>
      </c>
      <c r="F123" s="312" t="str">
        <f>IF(AND(B125="",B126="",B127="",B128="",B129=""),"","Temp (Deg F):")</f>
        <v/>
      </c>
      <c r="G123" s="45"/>
      <c r="H123" s="127" t="str">
        <f t="shared" si="36"/>
        <v/>
      </c>
      <c r="I123" s="127" t="str">
        <f t="shared" si="35"/>
        <v/>
      </c>
      <c r="J123" s="82"/>
      <c r="K123" s="61"/>
      <c r="L123" s="156"/>
      <c r="M123" s="219" t="str">
        <f t="shared" si="37"/>
        <v/>
      </c>
      <c r="N123" s="219" t="str">
        <f t="shared" si="38"/>
        <v/>
      </c>
    </row>
    <row r="124" spans="2:14" ht="14.25" customHeight="1" x14ac:dyDescent="0.2">
      <c r="B124" s="312"/>
      <c r="C124" s="312"/>
      <c r="D124" s="312"/>
      <c r="E124" s="312"/>
      <c r="F124" s="312"/>
      <c r="G124" s="45"/>
      <c r="H124" s="127" t="str">
        <f t="shared" si="36"/>
        <v/>
      </c>
      <c r="I124" s="127" t="str">
        <f t="shared" si="35"/>
        <v/>
      </c>
      <c r="J124" s="82"/>
      <c r="K124" s="61"/>
      <c r="L124" s="156"/>
      <c r="M124" s="219" t="str">
        <f t="shared" si="37"/>
        <v/>
      </c>
      <c r="N124" s="219" t="str">
        <f t="shared" si="38"/>
        <v/>
      </c>
    </row>
    <row r="125" spans="2:14" ht="14.25" customHeight="1" x14ac:dyDescent="0.2">
      <c r="B125" s="45" t="str">
        <f>IF(COUNTIF(J118:J127,"Cement Delivery to Silo")&gt;0,"EP-2 Cement Silo Stack:","")</f>
        <v/>
      </c>
      <c r="C125" s="221"/>
      <c r="D125" s="221"/>
      <c r="E125" s="221"/>
      <c r="F125" s="221"/>
      <c r="G125" s="45"/>
      <c r="H125" s="127" t="str">
        <f t="shared" si="36"/>
        <v/>
      </c>
      <c r="I125" s="127" t="str">
        <f t="shared" si="35"/>
        <v/>
      </c>
      <c r="J125" s="82"/>
      <c r="K125" s="61"/>
      <c r="L125" s="156"/>
      <c r="M125" s="219" t="str">
        <f t="shared" si="37"/>
        <v/>
      </c>
      <c r="N125" s="219" t="str">
        <f t="shared" si="38"/>
        <v/>
      </c>
    </row>
    <row r="126" spans="2:14" ht="14.25" customHeight="1" x14ac:dyDescent="0.2">
      <c r="B126" s="45" t="str">
        <f>IF(COUNTIF(J118:J127,"Cement Supplement Delivery to Silo")&gt;0,"EP-3 Cement Supplement Silo Stack:","")</f>
        <v/>
      </c>
      <c r="C126" s="221"/>
      <c r="D126" s="221"/>
      <c r="E126" s="221"/>
      <c r="F126" s="221"/>
      <c r="G126" s="45"/>
      <c r="H126" s="127" t="str">
        <f t="shared" si="36"/>
        <v/>
      </c>
      <c r="I126" s="127" t="str">
        <f t="shared" si="35"/>
        <v/>
      </c>
      <c r="J126" s="82"/>
      <c r="K126" s="61"/>
      <c r="L126" s="156"/>
      <c r="M126" s="219" t="str">
        <f t="shared" si="37"/>
        <v/>
      </c>
      <c r="N126" s="219" t="str">
        <f t="shared" si="38"/>
        <v/>
      </c>
    </row>
    <row r="127" spans="2:14" ht="14.25" customHeight="1" x14ac:dyDescent="0.2">
      <c r="B127" s="45" t="str">
        <f>IF(COUNTIF(J118:J127,"Weigh Hopper Loading")&gt;0,"EP-4 Weigh Hopper Loading Stack:","")</f>
        <v/>
      </c>
      <c r="C127" s="221"/>
      <c r="D127" s="221"/>
      <c r="E127" s="221"/>
      <c r="F127" s="221"/>
      <c r="G127" s="45"/>
      <c r="H127" s="127" t="str">
        <f t="shared" si="36"/>
        <v/>
      </c>
      <c r="I127" s="127" t="str">
        <f t="shared" si="35"/>
        <v/>
      </c>
      <c r="J127" s="82"/>
      <c r="K127" s="61"/>
      <c r="L127" s="156"/>
      <c r="M127" s="219" t="str">
        <f t="shared" si="37"/>
        <v/>
      </c>
      <c r="N127" s="219" t="str">
        <f t="shared" si="38"/>
        <v/>
      </c>
    </row>
    <row r="128" spans="2:14" ht="14.25" customHeight="1" x14ac:dyDescent="0.2">
      <c r="B128" s="45" t="str">
        <f>IF(COUNTIF(J118:J127,"Truck Mix Loading")&gt;0,"EP-5 Truck Mix Loading Stack:","")</f>
        <v/>
      </c>
      <c r="C128" s="221"/>
      <c r="D128" s="221"/>
      <c r="E128" s="221"/>
      <c r="F128" s="221"/>
      <c r="G128" s="45"/>
      <c r="H128" s="45"/>
      <c r="I128" s="45"/>
    </row>
    <row r="129" spans="2:14" ht="14.25" customHeight="1" x14ac:dyDescent="0.2">
      <c r="B129" s="45" t="str">
        <f>IF(COUNTIF(J118:J127,"Central Mix Loading")&gt;0,"EP-6 Central Mix Loading Stack:","")</f>
        <v/>
      </c>
      <c r="C129" s="221"/>
      <c r="D129" s="221"/>
      <c r="E129" s="221"/>
      <c r="F129" s="221"/>
      <c r="G129" s="45"/>
      <c r="H129" s="74" t="str">
        <f>IF('Concrete Plant (CP-5)'!$D$4&gt;6,"Stock Pile Area","")</f>
        <v/>
      </c>
      <c r="I129" s="74"/>
      <c r="J129" s="75"/>
    </row>
    <row r="130" spans="2:14" ht="14.25" customHeight="1" x14ac:dyDescent="0.2">
      <c r="B130" s="73"/>
      <c r="C130" s="163"/>
      <c r="D130" s="163"/>
      <c r="E130" s="163"/>
      <c r="F130" s="176"/>
      <c r="G130" s="45"/>
      <c r="I130" s="51" t="str">
        <f>IF('Concrete Plant (CP-5)'!$D$4&gt;6,"Emission Unit #","")</f>
        <v/>
      </c>
      <c r="J130" s="80" t="str">
        <f>IF('Concrete Plant (CP-5)'!$D$4&gt;6,"Maximum Storage Area (acres)","")</f>
        <v/>
      </c>
      <c r="K130" s="81" t="str">
        <f>IF('Concrete Plant (CP-5)'!$D$4&gt;6,"Actual Storage Area (acres)","")</f>
        <v/>
      </c>
      <c r="L130" s="80" t="str">
        <f>IF('Concrete Plant (CP-5)'!$D$4&gt;6,"Actual Days in Existence (days)","")</f>
        <v/>
      </c>
      <c r="M130" s="146"/>
      <c r="N130" s="146"/>
    </row>
    <row r="131" spans="2:14" ht="14.25" customHeight="1" x14ac:dyDescent="0.2">
      <c r="B131" s="73"/>
      <c r="C131" s="163"/>
      <c r="D131" s="163"/>
      <c r="E131" s="163"/>
      <c r="F131" s="176"/>
      <c r="I131" s="65"/>
      <c r="J131" s="144"/>
      <c r="K131" s="66"/>
      <c r="L131" s="144"/>
      <c r="M131" s="146"/>
      <c r="N131" s="146"/>
    </row>
    <row r="132" spans="2:14" ht="14.25" customHeight="1" x14ac:dyDescent="0.2">
      <c r="B132" s="73"/>
      <c r="C132" s="163"/>
      <c r="D132" s="163"/>
      <c r="E132" s="163"/>
      <c r="F132" s="176"/>
      <c r="G132" s="76"/>
    </row>
    <row r="133" spans="2:14" ht="28.5" customHeight="1" x14ac:dyDescent="0.25">
      <c r="B133" s="78" t="str">
        <f>IF('Concrete Plant (CP-5)'!$D$4&gt;7,"Batch Plant","")</f>
        <v/>
      </c>
      <c r="C133" s="71" t="str">
        <f>IF('Concrete Plant (CP-5)'!$D$4&gt;7,"Site 8","")</f>
        <v/>
      </c>
      <c r="D133" s="71"/>
      <c r="E133" s="71"/>
      <c r="F133" s="71"/>
      <c r="H133" s="310" t="str">
        <f>IF('Concrete Plant (CP-5)'!$D$4&gt;7,"Emission Point #","")</f>
        <v/>
      </c>
      <c r="I133" s="310" t="str">
        <f>IF('Concrete Plant (CP-5)'!$D$4&gt;7,"Emission     Unit #","")</f>
        <v/>
      </c>
      <c r="J133" s="310" t="str">
        <f>IF('Concrete Plant (CP-5)'!$D$4&gt;7,"Processes","")</f>
        <v/>
      </c>
      <c r="K133" s="311" t="str">
        <f>IF('Concrete Plant (CP-5)'!$D$4&gt;7,"Combined Maximum Hourly Design Rate for all Like Processes (cubic yard/hr)","")</f>
        <v/>
      </c>
      <c r="L133" s="310" t="str">
        <f>IF('Concrete Plant (CP-5)'!$D$4&gt;7,('Facility Information'!G5&amp;" Annual Throughput (cubic yards)"),"")</f>
        <v/>
      </c>
      <c r="M133" s="217"/>
      <c r="N133" s="217"/>
    </row>
    <row r="134" spans="2:14" ht="14.25" customHeight="1" x14ac:dyDescent="0.2">
      <c r="B134" s="79" t="str">
        <f>IF('Concrete Plant (CP-5)'!$D$4&gt;7,"Site Name:","")</f>
        <v/>
      </c>
      <c r="C134" s="349"/>
      <c r="D134" s="356"/>
      <c r="E134" s="357"/>
      <c r="F134" s="175"/>
      <c r="H134" s="127" t="str">
        <f>IF(J134="cement delivery to silo","CP-1 EP-2",IF(J134="cement supplement delivery to silo","CP-1 EP-3",IF(J134="weigh hopper loading","CP-1 EP-4",IF(J134="truck mix loading","CP-1 EP-5",IF(J134="central mix loading","CP-1 EP-6",IF(J134="","","CP-1 EP-1"))))))</f>
        <v/>
      </c>
      <c r="I134" s="127" t="str">
        <f t="shared" ref="I134:I143" si="39">IF(J134="","",IF(J134="aggregate delivery to ground storage","CP-5 EU-1",IF(J134="sand delivery to ground storage","CP-5 EU-2",IF(J134="aggregate transfer to conveyor","CP-5 EU-3",IF(J134="sand transfer to conveyor","CP-5 EU-4",IF(J134="aggregate transfer to elevated storage","CP-5 EU-5",IF(J134="sand transfer to elevated storage","CP-5 EU-6",IF(J134="weigh hopper loading","CP-5 EU-7",IF(J134="central mix loading","CP-5 EU-8",IF(J134="truck mix loading","CP-5 EU-9",IF(J134="cement delivery to silo","CP-5 EU-10",IF(J134="cement supplement delivery to silo","CP-5 EU-11"))))))))))))</f>
        <v/>
      </c>
      <c r="J134" s="82"/>
      <c r="K134" s="61"/>
      <c r="L134" s="156"/>
      <c r="M134" s="219" t="str">
        <f>IF(J134="truck mix loading",IF($F$137="yes",L134*0.05/2000,L134/2000),"")</f>
        <v/>
      </c>
      <c r="N134" s="219" t="str">
        <f>IF(J134="central mix loading",IF($F$137="yes",L134*0.05/2000,L134/2000),"")</f>
        <v/>
      </c>
    </row>
    <row r="135" spans="2:14" ht="14.25" customHeight="1" x14ac:dyDescent="0.2">
      <c r="B135" s="79" t="str">
        <f>IF('Concrete Plant (CP-5)'!$D$4&gt;7,"County:","")</f>
        <v/>
      </c>
      <c r="C135" s="339"/>
      <c r="D135" s="342"/>
      <c r="E135" s="343"/>
      <c r="F135" s="175"/>
      <c r="G135" s="45"/>
      <c r="H135" s="127" t="str">
        <f t="shared" ref="H135:H143" si="40">IF(J135="cement delivery to silo","CP-1 EP-2",IF(J135="cement supplement delivery to silo","CP-1 EP-3",IF(J135="weigh hopper loading","CP-1 EP-4",IF(J135="truck mix loading","CP-1 EP-5",IF(J135="central mix loading","CP-1 EP-6",IF(J135="","","CP-1 EP-1"))))))</f>
        <v/>
      </c>
      <c r="I135" s="127" t="str">
        <f t="shared" si="39"/>
        <v/>
      </c>
      <c r="J135" s="82"/>
      <c r="K135" s="61"/>
      <c r="L135" s="156"/>
      <c r="M135" s="219" t="str">
        <f t="shared" ref="M135:M143" si="41">IF(J135="truck mix loading",IF($F$137="yes",L135*0.05/2000,L135/2000),"")</f>
        <v/>
      </c>
      <c r="N135" s="219" t="str">
        <f t="shared" ref="N135:N143" si="42">IF(J135="central mix loading",IF($F$137="yes",L135*0.05/2000,L135/2000),"")</f>
        <v/>
      </c>
    </row>
    <row r="136" spans="2:14" ht="14.25" customHeight="1" x14ac:dyDescent="0.2">
      <c r="B136" s="79" t="str">
        <f>IF('Concrete Plant (CP-5)'!$D$4&gt;7,"Batching Period (Dates):","")</f>
        <v/>
      </c>
      <c r="C136" s="352"/>
      <c r="D136" s="358"/>
      <c r="E136" s="359"/>
      <c r="F136" s="175"/>
      <c r="G136" s="45"/>
      <c r="H136" s="127" t="str">
        <f t="shared" si="40"/>
        <v/>
      </c>
      <c r="I136" s="127" t="str">
        <f t="shared" si="39"/>
        <v/>
      </c>
      <c r="J136" s="82"/>
      <c r="K136" s="61"/>
      <c r="L136" s="156"/>
      <c r="M136" s="219" t="str">
        <f t="shared" si="41"/>
        <v/>
      </c>
      <c r="N136" s="219" t="str">
        <f t="shared" si="42"/>
        <v/>
      </c>
    </row>
    <row r="137" spans="2:14" ht="14.25" customHeight="1" x14ac:dyDescent="0.2">
      <c r="B137" s="51" t="str">
        <f>IF(OR(COUNTIF(J134:J143,"Truck Mix Loading")&gt;0,(COUNTIF(J134:J143,"Central Mix Loading")&gt;0)),"Is the Central/Truck Mix Loading process controlled by a baghouse?","")</f>
        <v/>
      </c>
      <c r="C137" s="51"/>
      <c r="D137" s="51"/>
      <c r="E137" s="51"/>
      <c r="F137" s="221"/>
      <c r="G137" s="45"/>
      <c r="H137" s="127" t="str">
        <f t="shared" si="40"/>
        <v/>
      </c>
      <c r="I137" s="127" t="str">
        <f t="shared" si="39"/>
        <v/>
      </c>
      <c r="J137" s="82"/>
      <c r="K137" s="61"/>
      <c r="L137" s="156"/>
      <c r="M137" s="219" t="str">
        <f t="shared" si="41"/>
        <v/>
      </c>
      <c r="N137" s="219" t="str">
        <f t="shared" si="42"/>
        <v/>
      </c>
    </row>
    <row r="138" spans="2:14" ht="27.75" customHeight="1" x14ac:dyDescent="0.2">
      <c r="B138" s="312" t="str">
        <f>IF(AND(B140="",B141="",B142="",B143="",B144=""),"","Process (complete stack information if applicable):")</f>
        <v/>
      </c>
      <c r="C138" s="312" t="str">
        <f>IF(AND(B140="",B141="",B142="",B143="",B144=""),"","Stack Height (ft):")</f>
        <v/>
      </c>
      <c r="D138" s="312" t="str">
        <f>IF(AND(B140="",B141="",B142="",B143="",B144=""),"","Stack Diameter (inches):")</f>
        <v/>
      </c>
      <c r="E138" s="312" t="str">
        <f>IF(AND(B140="",B141="",B142="",B143="",B144=""),"","Flow Rate (acfm):")</f>
        <v/>
      </c>
      <c r="F138" s="312" t="str">
        <f>IF(AND(B140="",B141="",B142="",B143="",B144=""),"","Temp (Deg F):")</f>
        <v/>
      </c>
      <c r="G138" s="45"/>
      <c r="H138" s="127" t="str">
        <f t="shared" si="40"/>
        <v/>
      </c>
      <c r="I138" s="127" t="str">
        <f t="shared" si="39"/>
        <v/>
      </c>
      <c r="J138" s="82"/>
      <c r="K138" s="61"/>
      <c r="L138" s="156"/>
      <c r="M138" s="219" t="str">
        <f t="shared" si="41"/>
        <v/>
      </c>
      <c r="N138" s="219" t="str">
        <f t="shared" si="42"/>
        <v/>
      </c>
    </row>
    <row r="139" spans="2:14" ht="14.25" customHeight="1" x14ac:dyDescent="0.2">
      <c r="B139" s="312"/>
      <c r="C139" s="312"/>
      <c r="D139" s="312"/>
      <c r="E139" s="312"/>
      <c r="F139" s="312"/>
      <c r="G139" s="45"/>
      <c r="H139" s="127" t="str">
        <f t="shared" si="40"/>
        <v/>
      </c>
      <c r="I139" s="127" t="str">
        <f t="shared" si="39"/>
        <v/>
      </c>
      <c r="J139" s="82"/>
      <c r="K139" s="61"/>
      <c r="L139" s="156"/>
      <c r="M139" s="219" t="str">
        <f t="shared" si="41"/>
        <v/>
      </c>
      <c r="N139" s="219" t="str">
        <f t="shared" si="42"/>
        <v/>
      </c>
    </row>
    <row r="140" spans="2:14" ht="14.25" customHeight="1" x14ac:dyDescent="0.2">
      <c r="B140" s="45" t="str">
        <f>IF(COUNTIF(J134:J143,"Cement Delivery to Silo")&gt;0,"EP-2 Cement Silo Stack:","")</f>
        <v/>
      </c>
      <c r="C140" s="221"/>
      <c r="D140" s="221"/>
      <c r="E140" s="221"/>
      <c r="F140" s="221"/>
      <c r="G140" s="45"/>
      <c r="H140" s="127" t="str">
        <f t="shared" si="40"/>
        <v/>
      </c>
      <c r="I140" s="127" t="str">
        <f t="shared" si="39"/>
        <v/>
      </c>
      <c r="J140" s="82"/>
      <c r="K140" s="61"/>
      <c r="L140" s="156"/>
      <c r="M140" s="219" t="str">
        <f t="shared" si="41"/>
        <v/>
      </c>
      <c r="N140" s="219" t="str">
        <f t="shared" si="42"/>
        <v/>
      </c>
    </row>
    <row r="141" spans="2:14" ht="14.25" customHeight="1" x14ac:dyDescent="0.2">
      <c r="B141" s="45" t="str">
        <f>IF(COUNTIF(J134:J143,"Cement Supplement Delivery to Silo")&gt;0,"EP-3 Cement Supplement Silo Stack:","")</f>
        <v/>
      </c>
      <c r="C141" s="221"/>
      <c r="D141" s="221"/>
      <c r="E141" s="221"/>
      <c r="F141" s="221"/>
      <c r="G141" s="45"/>
      <c r="H141" s="127" t="str">
        <f t="shared" si="40"/>
        <v/>
      </c>
      <c r="I141" s="127" t="str">
        <f t="shared" si="39"/>
        <v/>
      </c>
      <c r="J141" s="82"/>
      <c r="K141" s="61"/>
      <c r="L141" s="156"/>
      <c r="M141" s="219" t="str">
        <f t="shared" si="41"/>
        <v/>
      </c>
      <c r="N141" s="219" t="str">
        <f t="shared" si="42"/>
        <v/>
      </c>
    </row>
    <row r="142" spans="2:14" ht="14.25" customHeight="1" x14ac:dyDescent="0.2">
      <c r="B142" s="45" t="str">
        <f>IF(COUNTIF(J134:J143,"Weigh Hopper Loading")&gt;0,"EP-4 Weigh Hopper Loading Stack:","")</f>
        <v/>
      </c>
      <c r="C142" s="221"/>
      <c r="D142" s="221"/>
      <c r="E142" s="221"/>
      <c r="F142" s="221"/>
      <c r="G142" s="45"/>
      <c r="H142" s="127" t="str">
        <f t="shared" si="40"/>
        <v/>
      </c>
      <c r="I142" s="127" t="str">
        <f t="shared" si="39"/>
        <v/>
      </c>
      <c r="J142" s="82"/>
      <c r="K142" s="61"/>
      <c r="L142" s="156"/>
      <c r="M142" s="219" t="str">
        <f t="shared" si="41"/>
        <v/>
      </c>
      <c r="N142" s="219" t="str">
        <f t="shared" si="42"/>
        <v/>
      </c>
    </row>
    <row r="143" spans="2:14" ht="14.25" customHeight="1" x14ac:dyDescent="0.2">
      <c r="B143" s="45" t="str">
        <f>IF(COUNTIF(J134:J143,"Truck Mix Loading")&gt;0,"EP-5 Truck Mix Loading Stack:","")</f>
        <v/>
      </c>
      <c r="C143" s="221"/>
      <c r="D143" s="221"/>
      <c r="E143" s="221"/>
      <c r="F143" s="221"/>
      <c r="G143" s="45"/>
      <c r="H143" s="127" t="str">
        <f t="shared" si="40"/>
        <v/>
      </c>
      <c r="I143" s="127" t="str">
        <f t="shared" si="39"/>
        <v/>
      </c>
      <c r="J143" s="82"/>
      <c r="K143" s="61"/>
      <c r="L143" s="156"/>
      <c r="M143" s="219" t="str">
        <f t="shared" si="41"/>
        <v/>
      </c>
      <c r="N143" s="219" t="str">
        <f t="shared" si="42"/>
        <v/>
      </c>
    </row>
    <row r="144" spans="2:14" ht="14.25" customHeight="1" x14ac:dyDescent="0.2">
      <c r="B144" s="45" t="str">
        <f>IF(COUNTIF(J134:J143,"Central Mix Loading")&gt;0,"EP-6 Central Mix Loading Stack:","")</f>
        <v/>
      </c>
      <c r="C144" s="221"/>
      <c r="D144" s="221"/>
      <c r="E144" s="221"/>
      <c r="F144" s="221"/>
      <c r="G144" s="45"/>
      <c r="H144" s="45"/>
      <c r="I144" s="45"/>
    </row>
    <row r="145" spans="2:14" ht="14.25" customHeight="1" x14ac:dyDescent="0.2">
      <c r="B145" s="73"/>
      <c r="C145" s="163"/>
      <c r="D145" s="163"/>
      <c r="E145" s="163"/>
      <c r="F145" s="176"/>
      <c r="H145" s="74" t="str">
        <f>IF('Concrete Plant (CP-5)'!$D$4&gt;7,"Stock Pile Area","")</f>
        <v/>
      </c>
      <c r="I145" s="74"/>
      <c r="J145" s="75"/>
    </row>
    <row r="146" spans="2:14" ht="14.25" customHeight="1" x14ac:dyDescent="0.2">
      <c r="B146" s="73"/>
      <c r="C146" s="163"/>
      <c r="D146" s="163"/>
      <c r="E146" s="163"/>
      <c r="F146" s="176"/>
      <c r="G146" s="76"/>
      <c r="I146" s="51" t="str">
        <f>IF('Concrete Plant (CP-5)'!$D$4&gt;7,"Emission Unit #","")</f>
        <v/>
      </c>
      <c r="J146" s="80" t="str">
        <f>IF('Concrete Plant (CP-5)'!$D$4&gt;7,"Maximum Storage Area (acres)","")</f>
        <v/>
      </c>
      <c r="K146" s="81" t="str">
        <f>IF('Concrete Plant (CP-5)'!$D$4&gt;7,"Actual Storage Area (acres)","")</f>
        <v/>
      </c>
      <c r="L146" s="80" t="str">
        <f>IF('Concrete Plant (CP-5)'!$D$4&gt;7,"Actual Days in Existence (days)","")</f>
        <v/>
      </c>
      <c r="M146" s="146"/>
      <c r="N146" s="146"/>
    </row>
    <row r="147" spans="2:14" ht="14.25" customHeight="1" x14ac:dyDescent="0.2">
      <c r="B147" s="73"/>
      <c r="C147" s="163"/>
      <c r="D147" s="163"/>
      <c r="E147" s="163"/>
      <c r="F147" s="176"/>
      <c r="I147" s="65"/>
      <c r="J147" s="144"/>
      <c r="K147" s="66"/>
      <c r="L147" s="144"/>
      <c r="M147" s="146"/>
      <c r="N147" s="146"/>
    </row>
    <row r="148" spans="2:14" ht="20.25" customHeight="1" x14ac:dyDescent="0.2">
      <c r="F148" s="177"/>
    </row>
    <row r="149" spans="2:14" ht="28.5" customHeight="1" x14ac:dyDescent="0.25">
      <c r="B149" s="78" t="str">
        <f>IF('Concrete Plant (CP-5)'!$D$4&gt;8,"Batch Plant","")</f>
        <v/>
      </c>
      <c r="C149" s="71" t="str">
        <f>IF('Concrete Plant (CP-5)'!$D$4&gt;8,"Site 9","")</f>
        <v/>
      </c>
      <c r="D149" s="71"/>
      <c r="E149" s="71"/>
      <c r="F149" s="71"/>
      <c r="H149" s="310" t="str">
        <f>IF('Concrete Plant (CP-5)'!$D$4&gt;8,"Emission Point #","")</f>
        <v/>
      </c>
      <c r="I149" s="310" t="str">
        <f>IF('Concrete Plant (CP-5)'!$D$4&gt;8,"Emission     Unit #","")</f>
        <v/>
      </c>
      <c r="J149" s="310" t="str">
        <f>IF('Concrete Plant (CP-5)'!$D$4&gt;8,"Processes","")</f>
        <v/>
      </c>
      <c r="K149" s="311" t="str">
        <f>IF('Concrete Plant (CP-5)'!$D$4&gt;8,"Combined Maximum Hourly Design Rate for all Like Processes (cubic yard/hr)","")</f>
        <v/>
      </c>
      <c r="L149" s="310" t="str">
        <f>IF('Concrete Plant (CP-5)'!$D$4&gt;8,('Facility Information'!G5&amp;" Annual Throughput (cubic yards)"),"")</f>
        <v/>
      </c>
    </row>
    <row r="150" spans="2:14" ht="14.25" customHeight="1" x14ac:dyDescent="0.2">
      <c r="B150" s="79" t="str">
        <f>IF('Concrete Plant (CP-5)'!$D$4&gt;8,"Site Name:","")</f>
        <v/>
      </c>
      <c r="C150" s="349"/>
      <c r="D150" s="356"/>
      <c r="E150" s="357"/>
      <c r="F150" s="175"/>
      <c r="G150" s="45"/>
      <c r="H150" s="127" t="str">
        <f>IF(J150="cement delivery to silo","CP-1 EP-2",IF(J150="cement supplement delivery to silo","CP-1 EP-3",IF(J150="weigh hopper loading","CP-1 EP-4",IF(J150="truck mix loading","CP-1 EP-5",IF(J150="central mix loading","CP-1 EP-6",IF(J150="","","CP-1 EP-1"))))))</f>
        <v/>
      </c>
      <c r="I150" s="127" t="str">
        <f t="shared" ref="I150:I159" si="43">IF(J150="","",IF(J150="aggregate delivery to ground storage","CP-5 EU-1",IF(J150="sand delivery to ground storage","CP-5 EU-2",IF(J150="aggregate transfer to conveyor","CP-5 EU-3",IF(J150="sand transfer to conveyor","CP-5 EU-4",IF(J150="aggregate transfer to elevated storage","CP-5 EU-5",IF(J150="sand transfer to elevated storage","CP-5 EU-6",IF(J150="weigh hopper loading","CP-5 EU-7",IF(J150="central mix loading","CP-5 EU-8",IF(J150="truck mix loading","CP-5 EU-9",IF(J150="cement delivery to silo","CP-5 EU-10",IF(J150="cement supplement delivery to silo","CP-5 EU-11"))))))))))))</f>
        <v/>
      </c>
      <c r="J150" s="82"/>
      <c r="K150" s="61"/>
      <c r="L150" s="156"/>
      <c r="M150" s="218" t="s">
        <v>250</v>
      </c>
      <c r="N150" s="218" t="s">
        <v>251</v>
      </c>
    </row>
    <row r="151" spans="2:14" ht="14.25" customHeight="1" x14ac:dyDescent="0.2">
      <c r="B151" s="79" t="str">
        <f>IF('Concrete Plant (CP-5)'!$D$4&gt;8,"County:","")</f>
        <v/>
      </c>
      <c r="C151" s="339"/>
      <c r="D151" s="342"/>
      <c r="E151" s="343"/>
      <c r="F151" s="175"/>
      <c r="G151" s="45"/>
      <c r="H151" s="127" t="str">
        <f t="shared" ref="H151:H159" si="44">IF(J151="cement delivery to silo","CP-1 EP-2",IF(J151="cement supplement delivery to silo","CP-1 EP-3",IF(J151="weigh hopper loading","CP-1 EP-4",IF(J151="truck mix loading","CP-1 EP-5",IF(J151="central mix loading","CP-1 EP-6",IF(J151="","","CP-1 EP-1"))))))</f>
        <v/>
      </c>
      <c r="I151" s="127" t="str">
        <f t="shared" si="43"/>
        <v/>
      </c>
      <c r="J151" s="82"/>
      <c r="K151" s="61"/>
      <c r="L151" s="156"/>
      <c r="M151" s="219" t="str">
        <f t="shared" ref="M151:M160" si="45">IF(J150="truck mix loading",IF($F$154="yes",L150*0.05/2000,L150/2000),"")</f>
        <v/>
      </c>
      <c r="N151" s="219" t="str">
        <f t="shared" ref="N151:N160" si="46">IF(J150="central mix loading",IF($F$154="yes",L150*0.05/2000,L150/2000),"")</f>
        <v/>
      </c>
    </row>
    <row r="152" spans="2:14" ht="14.25" customHeight="1" x14ac:dyDescent="0.2">
      <c r="B152" s="79" t="str">
        <f>IF('Concrete Plant (CP-5)'!$D$4&gt;8,"Batching Period (Dates):","")</f>
        <v/>
      </c>
      <c r="C152" s="352"/>
      <c r="D152" s="358"/>
      <c r="E152" s="359"/>
      <c r="F152" s="175"/>
      <c r="G152" s="45"/>
      <c r="H152" s="127" t="str">
        <f t="shared" si="44"/>
        <v/>
      </c>
      <c r="I152" s="127" t="str">
        <f t="shared" si="43"/>
        <v/>
      </c>
      <c r="J152" s="82"/>
      <c r="K152" s="61"/>
      <c r="L152" s="156"/>
      <c r="M152" s="219" t="str">
        <f t="shared" si="45"/>
        <v/>
      </c>
      <c r="N152" s="219" t="str">
        <f t="shared" si="46"/>
        <v/>
      </c>
    </row>
    <row r="153" spans="2:14" ht="14.25" customHeight="1" x14ac:dyDescent="0.2">
      <c r="B153" s="51" t="str">
        <f>IF(OR(COUNTIF(J150:J158,"Truck Mix Loading")&gt;0,(COUNTIF(J150:J158,"Central Mix Loading")&gt;0)),"Is the Central/Truck Mix Loading process controlled by a baghouse?","")</f>
        <v/>
      </c>
      <c r="C153" s="51"/>
      <c r="D153" s="51"/>
      <c r="E153" s="51"/>
      <c r="F153" s="221"/>
      <c r="G153" s="45"/>
      <c r="H153" s="127" t="str">
        <f t="shared" si="44"/>
        <v/>
      </c>
      <c r="I153" s="127" t="str">
        <f t="shared" si="43"/>
        <v/>
      </c>
      <c r="J153" s="82"/>
      <c r="K153" s="61"/>
      <c r="L153" s="156"/>
      <c r="M153" s="219" t="str">
        <f t="shared" si="45"/>
        <v/>
      </c>
      <c r="N153" s="219" t="str">
        <f t="shared" si="46"/>
        <v/>
      </c>
    </row>
    <row r="154" spans="2:14" ht="14.25" customHeight="1" x14ac:dyDescent="0.2">
      <c r="F154" s="177"/>
      <c r="G154" s="45"/>
      <c r="H154" s="127" t="str">
        <f t="shared" si="44"/>
        <v/>
      </c>
      <c r="I154" s="127" t="str">
        <f t="shared" si="43"/>
        <v/>
      </c>
      <c r="J154" s="82"/>
      <c r="K154" s="61"/>
      <c r="L154" s="156"/>
      <c r="M154" s="219" t="str">
        <f t="shared" si="45"/>
        <v/>
      </c>
      <c r="N154" s="219" t="str">
        <f t="shared" si="46"/>
        <v/>
      </c>
    </row>
    <row r="155" spans="2:14" ht="29.25" customHeight="1" x14ac:dyDescent="0.2">
      <c r="B155" s="312" t="str">
        <f>IF(AND(B157="",B158="",B159="",B160="",B161=""),"","Process (complete stack information if applicable):")</f>
        <v/>
      </c>
      <c r="C155" s="312" t="str">
        <f>IF(AND(B157="",B158="",B159="",B160="",B161=""),"","Stack Height (ft):")</f>
        <v/>
      </c>
      <c r="D155" s="312" t="str">
        <f>IF(AND(B157="",B158="",B159="",B160="",B161=""),"","Stack Diameter (inches):")</f>
        <v/>
      </c>
      <c r="E155" s="312" t="str">
        <f>IF(AND(B157="",B158="",B159="",B160="",B161=""),"","Flow Rate (acfm):")</f>
        <v/>
      </c>
      <c r="F155" s="312" t="str">
        <f>IF(AND(B157="",B158="",B159="",B160="",B161=""),"","Temp (Deg F):")</f>
        <v/>
      </c>
      <c r="G155" s="45"/>
      <c r="H155" s="127" t="str">
        <f t="shared" si="44"/>
        <v/>
      </c>
      <c r="I155" s="127" t="str">
        <f t="shared" si="43"/>
        <v/>
      </c>
      <c r="J155" s="82"/>
      <c r="K155" s="61"/>
      <c r="L155" s="156"/>
      <c r="M155" s="219" t="str">
        <f t="shared" si="45"/>
        <v/>
      </c>
      <c r="N155" s="219" t="str">
        <f t="shared" si="46"/>
        <v/>
      </c>
    </row>
    <row r="156" spans="2:14" ht="14.25" customHeight="1" x14ac:dyDescent="0.2">
      <c r="B156" s="312"/>
      <c r="C156" s="312"/>
      <c r="D156" s="312"/>
      <c r="E156" s="312"/>
      <c r="F156" s="312"/>
      <c r="G156" s="45"/>
      <c r="H156" s="127" t="str">
        <f t="shared" si="44"/>
        <v/>
      </c>
      <c r="I156" s="127" t="str">
        <f t="shared" si="43"/>
        <v/>
      </c>
      <c r="J156" s="82"/>
      <c r="K156" s="61"/>
      <c r="L156" s="156"/>
      <c r="M156" s="219" t="str">
        <f t="shared" si="45"/>
        <v/>
      </c>
      <c r="N156" s="219" t="str">
        <f t="shared" si="46"/>
        <v/>
      </c>
    </row>
    <row r="157" spans="2:14" ht="14.25" customHeight="1" x14ac:dyDescent="0.2">
      <c r="B157" s="45" t="str">
        <f>IF(COUNTIF(J150:J159,"Cement Delivery to Silo")&gt;0,"EP-2 Cement Silo Stack:","")</f>
        <v/>
      </c>
      <c r="C157" s="221"/>
      <c r="D157" s="221"/>
      <c r="E157" s="221"/>
      <c r="F157" s="221"/>
      <c r="G157" s="45"/>
      <c r="H157" s="127" t="str">
        <f t="shared" si="44"/>
        <v/>
      </c>
      <c r="I157" s="127" t="str">
        <f t="shared" si="43"/>
        <v/>
      </c>
      <c r="J157" s="82"/>
      <c r="K157" s="61"/>
      <c r="L157" s="156"/>
      <c r="M157" s="219" t="str">
        <f t="shared" si="45"/>
        <v/>
      </c>
      <c r="N157" s="219" t="str">
        <f t="shared" si="46"/>
        <v/>
      </c>
    </row>
    <row r="158" spans="2:14" ht="14.25" customHeight="1" x14ac:dyDescent="0.2">
      <c r="B158" s="45" t="str">
        <f>IF(COUNTIF(J150:J159,"Cement Supplement Delivery to Silo")&gt;0,"EP-3 Cement Supplement Silo Stack:","")</f>
        <v/>
      </c>
      <c r="C158" s="221"/>
      <c r="D158" s="221"/>
      <c r="E158" s="221"/>
      <c r="F158" s="221"/>
      <c r="G158" s="45"/>
      <c r="H158" s="127" t="str">
        <f t="shared" si="44"/>
        <v/>
      </c>
      <c r="I158" s="127" t="str">
        <f t="shared" si="43"/>
        <v/>
      </c>
      <c r="J158" s="82"/>
      <c r="K158" s="61"/>
      <c r="L158" s="156"/>
      <c r="M158" s="219" t="str">
        <f t="shared" si="45"/>
        <v/>
      </c>
      <c r="N158" s="219" t="str">
        <f t="shared" si="46"/>
        <v/>
      </c>
    </row>
    <row r="159" spans="2:14" ht="14.25" customHeight="1" x14ac:dyDescent="0.2">
      <c r="B159" s="45" t="str">
        <f>IF(COUNTIF(J150:J159,"Weigh Hopper Loading")&gt;0,"EP-4 Weigh Hopper Loading Stack:","")</f>
        <v/>
      </c>
      <c r="C159" s="221"/>
      <c r="D159" s="221"/>
      <c r="E159" s="221"/>
      <c r="F159" s="221"/>
      <c r="G159" s="45"/>
      <c r="H159" s="127" t="str">
        <f t="shared" si="44"/>
        <v/>
      </c>
      <c r="I159" s="127" t="str">
        <f t="shared" si="43"/>
        <v/>
      </c>
      <c r="J159" s="82"/>
      <c r="K159" s="61"/>
      <c r="L159" s="156"/>
      <c r="M159" s="219" t="str">
        <f t="shared" si="45"/>
        <v/>
      </c>
      <c r="N159" s="219" t="str">
        <f t="shared" si="46"/>
        <v/>
      </c>
    </row>
    <row r="160" spans="2:14" ht="14.25" customHeight="1" x14ac:dyDescent="0.2">
      <c r="B160" s="45" t="str">
        <f>IF(COUNTIF(J150:J159,"Truck Mix Loading")&gt;0,"EP-5 Truck Mix Loading Stack:","")</f>
        <v/>
      </c>
      <c r="C160" s="221"/>
      <c r="D160" s="221"/>
      <c r="E160" s="221"/>
      <c r="F160" s="221"/>
      <c r="H160" s="45"/>
      <c r="I160" s="45"/>
      <c r="M160" s="219" t="str">
        <f t="shared" si="45"/>
        <v/>
      </c>
      <c r="N160" s="219" t="str">
        <f t="shared" si="46"/>
        <v/>
      </c>
    </row>
    <row r="161" spans="2:14" ht="14.25" customHeight="1" x14ac:dyDescent="0.2">
      <c r="B161" s="45" t="str">
        <f>IF(COUNTIF(J150:J159,"Central Mix Loading")&gt;0,"EP-6 Central Mix Loading Stack:","")</f>
        <v/>
      </c>
      <c r="C161" s="221"/>
      <c r="D161" s="221"/>
      <c r="E161" s="221"/>
      <c r="F161" s="221"/>
      <c r="G161" s="76"/>
      <c r="H161" s="74" t="str">
        <f>IF('Concrete Plant (CP-5)'!$D$4&gt;8,"Stock Pile Area","")</f>
        <v/>
      </c>
      <c r="I161" s="74"/>
      <c r="J161" s="75"/>
    </row>
    <row r="162" spans="2:14" ht="14.25" customHeight="1" x14ac:dyDescent="0.2">
      <c r="B162" s="73"/>
      <c r="C162" s="163"/>
      <c r="D162" s="163"/>
      <c r="E162" s="163"/>
      <c r="F162" s="176"/>
      <c r="I162" s="51" t="str">
        <f>IF('Concrete Plant (CP-5)'!$D$4&gt;8,"Emission Unit #","")</f>
        <v/>
      </c>
      <c r="J162" s="80" t="str">
        <f>IF('Concrete Plant (CP-5)'!$D$4&gt;8,"Maximum Storage Area (acres)","")</f>
        <v/>
      </c>
      <c r="K162" s="81" t="str">
        <f>IF('Concrete Plant (CP-5)'!$D$4&gt;8,"Actual Storage Area (acres)","")</f>
        <v/>
      </c>
      <c r="L162" s="80" t="str">
        <f>IF('Concrete Plant (CP-5)'!$D$4&gt;8,"Actual Days in Existence (days)","")</f>
        <v/>
      </c>
    </row>
    <row r="163" spans="2:14" ht="14.25" customHeight="1" x14ac:dyDescent="0.2">
      <c r="B163" s="73"/>
      <c r="C163" s="163"/>
      <c r="D163" s="163"/>
      <c r="E163" s="163"/>
      <c r="F163" s="176"/>
      <c r="I163" s="65"/>
      <c r="J163" s="144"/>
      <c r="K163" s="66"/>
      <c r="L163" s="144"/>
      <c r="M163" s="146"/>
      <c r="N163" s="146"/>
    </row>
    <row r="164" spans="2:14" ht="14.25" customHeight="1" x14ac:dyDescent="0.2">
      <c r="B164" s="73"/>
      <c r="C164" s="163"/>
      <c r="D164" s="163"/>
      <c r="E164" s="163"/>
      <c r="F164" s="176"/>
      <c r="M164" s="146"/>
      <c r="N164" s="146"/>
    </row>
    <row r="165" spans="2:14" ht="28.5" customHeight="1" x14ac:dyDescent="0.25">
      <c r="B165" s="78" t="str">
        <f>IF('Concrete Plant (CP-5)'!$D$4&gt;9,"Batch Plant","")</f>
        <v/>
      </c>
      <c r="C165" s="71" t="str">
        <f>IF('Concrete Plant (CP-5)'!$D$4&gt;9,"Site 10","")</f>
        <v/>
      </c>
      <c r="D165" s="71"/>
      <c r="E165" s="71"/>
      <c r="F165" s="71"/>
      <c r="H165" s="310" t="str">
        <f>IF('Concrete Plant (CP-5)'!$D$4&gt;9,"Emission Point #","")</f>
        <v/>
      </c>
      <c r="I165" s="310" t="str">
        <f>IF('Concrete Plant (CP-5)'!$D$4&gt;9,"Emission     Unit #","")</f>
        <v/>
      </c>
      <c r="J165" s="310" t="str">
        <f>IF('Concrete Plant (CP-5)'!$D$4&gt;9,"Processes","")</f>
        <v/>
      </c>
      <c r="K165" s="311" t="str">
        <f>IF('Concrete Plant (CP-5)'!$D$4&gt;9,"Combined Maximum Hourly Design Rate for all Like Processes (cubic yard/hr)","")</f>
        <v/>
      </c>
      <c r="L165" s="310" t="str">
        <f>IF('Concrete Plant (CP-5)'!$D$4&gt;9,('Facility Information'!G5&amp;" Annual Throughput (cubic yards)"),"")</f>
        <v/>
      </c>
    </row>
    <row r="166" spans="2:14" ht="14.25" customHeight="1" x14ac:dyDescent="0.2">
      <c r="B166" s="79" t="str">
        <f>IF('Concrete Plant (CP-5)'!$D$4&gt;9,"Site Name:","")</f>
        <v/>
      </c>
      <c r="C166" s="349"/>
      <c r="D166" s="356"/>
      <c r="E166" s="357"/>
      <c r="F166" s="175"/>
      <c r="H166" s="127" t="str">
        <f>IF(J166="cement delivery to silo","CP-1 EP-2",IF(J166="cement supplement delivery to silo","CP-1 EP-3",IF(J166="weigh hopper loading","CP-1 EP-4",IF(J166="truck mix loading","CP-1 EP-5",IF(J166="central mix loading","CP-1 EP-6",IF(J166="","","CP-1 EP-1"))))))</f>
        <v/>
      </c>
      <c r="I166" s="127" t="str">
        <f t="shared" ref="I166:I175" si="47">IF(J166="","",IF(J166="aggregate delivery to ground storage","CP-5 EU-1",IF(J166="sand delivery to ground storage","CP-5 EU-2",IF(J166="aggregate transfer to conveyor","CP-5 EU-3",IF(J166="sand transfer to conveyor","CP-5 EU-4",IF(J166="aggregate transfer to elevated storage","CP-5 EU-5",IF(J166="sand transfer to elevated storage","CP-5 EU-6",IF(J166="weigh hopper loading","CP-5 EU-7",IF(J166="central mix loading","CP-5 EU-8",IF(J166="truck mix loading","CP-5 EU-9",IF(J166="cement delivery to silo","CP-5 EU-10",IF(J166="cement supplement delivery to silo","CP-5 EU-11"))))))))))))</f>
        <v/>
      </c>
      <c r="J166" s="82"/>
      <c r="K166" s="61"/>
      <c r="L166" s="156"/>
      <c r="M166" s="218" t="s">
        <v>250</v>
      </c>
      <c r="N166" s="218" t="s">
        <v>251</v>
      </c>
    </row>
    <row r="167" spans="2:14" ht="14.25" customHeight="1" x14ac:dyDescent="0.2">
      <c r="B167" s="79" t="str">
        <f>IF('Concrete Plant (CP-5)'!$D$4&gt;9,"County:","")</f>
        <v/>
      </c>
      <c r="C167" s="339"/>
      <c r="D167" s="342"/>
      <c r="E167" s="343"/>
      <c r="F167" s="175"/>
      <c r="H167" s="127" t="str">
        <f t="shared" ref="H167:H175" si="48">IF(J167="cement delivery to silo","CP-1 EP-2",IF(J167="cement supplement delivery to silo","CP-1 EP-3",IF(J167="weigh hopper loading","CP-1 EP-4",IF(J167="truck mix loading","CP-1 EP-5",IF(J167="central mix loading","CP-1 EP-6",IF(J167="","","CP-1 EP-1"))))))</f>
        <v/>
      </c>
      <c r="I167" s="127" t="str">
        <f t="shared" si="47"/>
        <v/>
      </c>
      <c r="J167" s="82"/>
      <c r="K167" s="61"/>
      <c r="L167" s="156"/>
      <c r="M167" s="219" t="str">
        <f t="shared" ref="M167:M176" si="49">IF(J166="truck mix loading",IF($F$170="yes",L166*0.05/2000,L166/2000),"")</f>
        <v/>
      </c>
      <c r="N167" s="219" t="str">
        <f t="shared" ref="N167:N176" si="50">IF(J166="central mix loading",IF($F$170="yes",L166*0.05/2000,L166/2000),"")</f>
        <v/>
      </c>
    </row>
    <row r="168" spans="2:14" ht="14.25" customHeight="1" x14ac:dyDescent="0.2">
      <c r="B168" s="79" t="str">
        <f>IF('Concrete Plant (CP-5)'!$D$4&gt;9,"Batching Period (Dates):","")</f>
        <v/>
      </c>
      <c r="C168" s="352"/>
      <c r="D168" s="358"/>
      <c r="E168" s="359"/>
      <c r="F168" s="175"/>
      <c r="H168" s="127" t="str">
        <f t="shared" si="48"/>
        <v/>
      </c>
      <c r="I168" s="127" t="str">
        <f t="shared" si="47"/>
        <v/>
      </c>
      <c r="J168" s="82"/>
      <c r="K168" s="61"/>
      <c r="L168" s="156"/>
      <c r="M168" s="219" t="str">
        <f t="shared" si="49"/>
        <v/>
      </c>
      <c r="N168" s="219" t="str">
        <f t="shared" si="50"/>
        <v/>
      </c>
    </row>
    <row r="169" spans="2:14" ht="14.25" customHeight="1" x14ac:dyDescent="0.2">
      <c r="B169" s="51" t="str">
        <f>IF(OR(COUNTIF(J166:J174,"Truck Mix Loading")&gt;0,(COUNTIF(J166:J174,"Central Mix Loading")&gt;0)),"Is the Central/Truck Mix Loading process controlled by a baghouse?","")</f>
        <v/>
      </c>
      <c r="C169" s="51"/>
      <c r="D169" s="51"/>
      <c r="E169" s="51"/>
      <c r="F169" s="221"/>
      <c r="H169" s="127" t="str">
        <f t="shared" si="48"/>
        <v/>
      </c>
      <c r="I169" s="127" t="str">
        <f t="shared" si="47"/>
        <v/>
      </c>
      <c r="J169" s="82"/>
      <c r="K169" s="61"/>
      <c r="L169" s="156"/>
      <c r="M169" s="219" t="str">
        <f t="shared" si="49"/>
        <v/>
      </c>
      <c r="N169" s="219" t="str">
        <f t="shared" si="50"/>
        <v/>
      </c>
    </row>
    <row r="170" spans="2:14" ht="14.25" customHeight="1" x14ac:dyDescent="0.2">
      <c r="H170" s="127" t="str">
        <f t="shared" si="48"/>
        <v/>
      </c>
      <c r="I170" s="127" t="str">
        <f t="shared" si="47"/>
        <v/>
      </c>
      <c r="J170" s="82"/>
      <c r="K170" s="61"/>
      <c r="L170" s="156"/>
      <c r="M170" s="219" t="str">
        <f t="shared" si="49"/>
        <v/>
      </c>
      <c r="N170" s="219" t="str">
        <f t="shared" si="50"/>
        <v/>
      </c>
    </row>
    <row r="171" spans="2:14" ht="29.25" customHeight="1" x14ac:dyDescent="0.2">
      <c r="B171" s="312" t="str">
        <f>IF(AND(B173="",B174="",B175="",B176="",B177=""),"","Process (complete stack information if applicable):")</f>
        <v/>
      </c>
      <c r="C171" s="312" t="str">
        <f>IF(AND(B173="",B174="",B175="",B176="",B177=""),"","Stack Height (ft):")</f>
        <v/>
      </c>
      <c r="D171" s="312" t="str">
        <f>IF(AND(B173="",B174="",B175="",B176="",B177=""),"","Stack Diameter (inches):")</f>
        <v/>
      </c>
      <c r="E171" s="312" t="str">
        <f>IF(AND(B173="",B174="",B175="",B176="",B177=""),"","Flow Rate (acfm):")</f>
        <v/>
      </c>
      <c r="F171" s="312" t="str">
        <f>IF(AND(B173="",B174="",B175="",B176="",B177=""),"","Temp (Deg F):")</f>
        <v/>
      </c>
      <c r="H171" s="127" t="str">
        <f t="shared" si="48"/>
        <v/>
      </c>
      <c r="I171" s="127" t="str">
        <f t="shared" si="47"/>
        <v/>
      </c>
      <c r="J171" s="82"/>
      <c r="K171" s="61"/>
      <c r="L171" s="156"/>
      <c r="M171" s="219" t="str">
        <f t="shared" si="49"/>
        <v/>
      </c>
      <c r="N171" s="219" t="str">
        <f t="shared" si="50"/>
        <v/>
      </c>
    </row>
    <row r="172" spans="2:14" ht="14.25" customHeight="1" x14ac:dyDescent="0.2">
      <c r="B172" s="312"/>
      <c r="C172" s="312"/>
      <c r="D172" s="312"/>
      <c r="E172" s="312"/>
      <c r="F172" s="312"/>
      <c r="H172" s="127" t="str">
        <f t="shared" si="48"/>
        <v/>
      </c>
      <c r="I172" s="127" t="str">
        <f t="shared" si="47"/>
        <v/>
      </c>
      <c r="J172" s="82"/>
      <c r="K172" s="61"/>
      <c r="L172" s="156"/>
      <c r="M172" s="219" t="str">
        <f t="shared" si="49"/>
        <v/>
      </c>
      <c r="N172" s="219" t="str">
        <f t="shared" si="50"/>
        <v/>
      </c>
    </row>
    <row r="173" spans="2:14" ht="14.25" customHeight="1" x14ac:dyDescent="0.2">
      <c r="B173" s="45" t="str">
        <f>IF(COUNTIF(J166:J175,"Cement Delivery to Silo")&gt;0,"EP-2 Cement Silo Stack:","")</f>
        <v/>
      </c>
      <c r="C173" s="221"/>
      <c r="D173" s="221"/>
      <c r="E173" s="221"/>
      <c r="F173" s="221"/>
      <c r="H173" s="127" t="str">
        <f t="shared" si="48"/>
        <v/>
      </c>
      <c r="I173" s="127" t="str">
        <f t="shared" si="47"/>
        <v/>
      </c>
      <c r="J173" s="82"/>
      <c r="K173" s="61"/>
      <c r="L173" s="156"/>
      <c r="M173" s="219" t="str">
        <f t="shared" si="49"/>
        <v/>
      </c>
      <c r="N173" s="219" t="str">
        <f t="shared" si="50"/>
        <v/>
      </c>
    </row>
    <row r="174" spans="2:14" ht="14.25" customHeight="1" x14ac:dyDescent="0.2">
      <c r="B174" s="45" t="str">
        <f>IF(COUNTIF(J166:J175,"Cement Supplement Delivery to Silo")&gt;0,"EP-3 Cement Supplement Silo Stack:","")</f>
        <v/>
      </c>
      <c r="C174" s="221"/>
      <c r="D174" s="221"/>
      <c r="E174" s="221"/>
      <c r="F174" s="221"/>
      <c r="H174" s="127" t="str">
        <f t="shared" si="48"/>
        <v/>
      </c>
      <c r="I174" s="127" t="str">
        <f t="shared" si="47"/>
        <v/>
      </c>
      <c r="J174" s="82"/>
      <c r="K174" s="61"/>
      <c r="L174" s="156"/>
      <c r="M174" s="219" t="str">
        <f t="shared" si="49"/>
        <v/>
      </c>
      <c r="N174" s="219" t="str">
        <f t="shared" si="50"/>
        <v/>
      </c>
    </row>
    <row r="175" spans="2:14" ht="14.25" customHeight="1" x14ac:dyDescent="0.2">
      <c r="B175" s="45" t="str">
        <f>IF(COUNTIF(J166:J175,"Weigh Hopper Loading")&gt;0,"EP-4 Weigh Hopper Loading Stack:","")</f>
        <v/>
      </c>
      <c r="C175" s="221"/>
      <c r="D175" s="221"/>
      <c r="E175" s="221"/>
      <c r="F175" s="221"/>
      <c r="H175" s="127" t="str">
        <f t="shared" si="48"/>
        <v/>
      </c>
      <c r="I175" s="127" t="str">
        <f t="shared" si="47"/>
        <v/>
      </c>
      <c r="J175" s="82"/>
      <c r="K175" s="61"/>
      <c r="L175" s="156"/>
      <c r="M175" s="219" t="str">
        <f t="shared" si="49"/>
        <v/>
      </c>
      <c r="N175" s="219" t="str">
        <f t="shared" si="50"/>
        <v/>
      </c>
    </row>
    <row r="176" spans="2:14" ht="14.25" customHeight="1" x14ac:dyDescent="0.2">
      <c r="B176" s="45" t="str">
        <f>IF(COUNTIF(J166:J175,"Truck Mix Loading")&gt;0,"EP-5 Truck Mix Loading Stack:","")</f>
        <v/>
      </c>
      <c r="C176" s="221"/>
      <c r="D176" s="221"/>
      <c r="E176" s="221"/>
      <c r="F176" s="221"/>
      <c r="H176" s="45"/>
      <c r="I176" s="45"/>
      <c r="M176" s="219" t="str">
        <f t="shared" si="49"/>
        <v/>
      </c>
      <c r="N176" s="219" t="str">
        <f t="shared" si="50"/>
        <v/>
      </c>
    </row>
    <row r="177" spans="2:14" ht="14.25" customHeight="1" x14ac:dyDescent="0.2">
      <c r="B177" s="45" t="str">
        <f>IF(COUNTIF(J166:J175,"Central Mix Loading")&gt;0,"EP-6 Central Mix Loading Stack:","")</f>
        <v/>
      </c>
      <c r="C177" s="221"/>
      <c r="D177" s="221"/>
      <c r="E177" s="221"/>
      <c r="F177" s="221"/>
      <c r="H177" s="74" t="str">
        <f>IF('Concrete Plant (CP-5)'!$D$4&gt;9,"Stock Pile Area","")</f>
        <v/>
      </c>
      <c r="I177" s="74"/>
      <c r="J177" s="74"/>
      <c r="K177" s="76"/>
      <c r="L177" s="76"/>
    </row>
    <row r="178" spans="2:14" ht="14.25" customHeight="1" x14ac:dyDescent="0.2">
      <c r="B178" s="73"/>
      <c r="C178" s="163"/>
      <c r="D178" s="163"/>
      <c r="E178" s="163"/>
      <c r="F178" s="163"/>
      <c r="I178" s="51" t="str">
        <f>IF('Concrete Plant (CP-5)'!$D$4&gt;9,"Emission Unit #","")</f>
        <v/>
      </c>
      <c r="J178" s="140" t="str">
        <f>IF('Concrete Plant (CP-5)'!$D$4&gt;9,"Maximum Storage Area (acres)","")</f>
        <v/>
      </c>
      <c r="K178" s="81" t="str">
        <f>IF('Concrete Plant (CP-5)'!$D$4&gt;9,"Actual Storage Area (acres)","")</f>
        <v/>
      </c>
      <c r="L178" s="140" t="str">
        <f>IF('Concrete Plant (CP-5)'!$D$4&gt;9,"Actual Days in Existence (days)","")</f>
        <v/>
      </c>
      <c r="M178" s="71"/>
      <c r="N178" s="71"/>
    </row>
    <row r="179" spans="2:14" ht="14.25" customHeight="1" x14ac:dyDescent="0.2">
      <c r="B179" s="73"/>
      <c r="C179" s="163"/>
      <c r="D179" s="163"/>
      <c r="E179" s="163"/>
      <c r="F179" s="163"/>
      <c r="I179" s="65"/>
      <c r="J179" s="144"/>
      <c r="K179" s="66"/>
      <c r="L179" s="144"/>
      <c r="M179" s="146"/>
      <c r="N179" s="146"/>
    </row>
    <row r="180" spans="2:14" ht="14.25" customHeight="1" x14ac:dyDescent="0.2">
      <c r="B180" s="73"/>
      <c r="C180" s="163"/>
      <c r="D180" s="163"/>
      <c r="E180" s="163"/>
      <c r="F180" s="163"/>
      <c r="M180" s="146"/>
      <c r="N180" s="146"/>
    </row>
    <row r="182" spans="2:14" ht="14.25" customHeight="1" x14ac:dyDescent="0.2">
      <c r="M182" s="220">
        <f>SUM(M167:M176,M151:M160,M134:M143,M118:M127,M102:M111,M86:M95,M70:M79,M54:M63,M38:M47,M21:M30)</f>
        <v>0</v>
      </c>
      <c r="N182" s="220">
        <f>SUM(N167:N176,N151:N160,N134:N143,N118:N127,N102:N111,N86:N95,N70:N79,N54:N63,N38:N47,N21:N30)</f>
        <v>0</v>
      </c>
    </row>
  </sheetData>
  <sheetProtection algorithmName="SHA-512" hashValue="BNBV+IMnOTcg3NgTdzboDx54Rvy8yCL0mi7cMtwLcYT7j7Wi/1VROOZpi3P4gHieFQyBtZ3UwzjYwsKwTu8/PA==" saltValue="U+maKkgQH3EYdN0QSwSQiw==" spinCount="100000" sheet="1" objects="1" scenarios="1"/>
  <conditionalFormatting sqref="B134:B136 I49:L49 B38:B40 B54:B56 B70:B72 B86:B88 B102:B104 B118:B120 B150:B152 B166:B168">
    <cfRule type="notContainsBlanks" dxfId="1271" priority="246" stopIfTrue="1">
      <formula>LEN(TRIM(B38))&gt;0</formula>
    </cfRule>
  </conditionalFormatting>
  <conditionalFormatting sqref="B37:F37">
    <cfRule type="notContainsBlanks" dxfId="1270" priority="247" stopIfTrue="1">
      <formula>LEN(TRIM(B37))&gt;0</formula>
    </cfRule>
  </conditionalFormatting>
  <conditionalFormatting sqref="I66:L66">
    <cfRule type="notContainsBlanks" dxfId="1269" priority="245" stopIfTrue="1">
      <formula>LEN(TRIM(I66))&gt;0</formula>
    </cfRule>
  </conditionalFormatting>
  <conditionalFormatting sqref="B53:F53">
    <cfRule type="notContainsBlanks" dxfId="1268" priority="248" stopIfTrue="1">
      <formula>LEN(TRIM(B53))&gt;0</formula>
    </cfRule>
  </conditionalFormatting>
  <conditionalFormatting sqref="I82:L82">
    <cfRule type="notContainsBlanks" dxfId="1267" priority="242" stopIfTrue="1">
      <formula>LEN(TRIM(I82))&gt;0</formula>
    </cfRule>
  </conditionalFormatting>
  <conditionalFormatting sqref="B69:F69">
    <cfRule type="notContainsBlanks" dxfId="1266" priority="243" stopIfTrue="1">
      <formula>LEN(TRIM(B69))&gt;0</formula>
    </cfRule>
  </conditionalFormatting>
  <conditionalFormatting sqref="I98:L98">
    <cfRule type="notContainsBlanks" dxfId="1265" priority="240" stopIfTrue="1">
      <formula>LEN(TRIM(I98))&gt;0</formula>
    </cfRule>
  </conditionalFormatting>
  <conditionalFormatting sqref="B85:F85">
    <cfRule type="notContainsBlanks" dxfId="1264" priority="241" stopIfTrue="1">
      <formula>LEN(TRIM(B85))&gt;0</formula>
    </cfRule>
  </conditionalFormatting>
  <conditionalFormatting sqref="I114:L114">
    <cfRule type="notContainsBlanks" dxfId="1263" priority="238" stopIfTrue="1">
      <formula>LEN(TRIM(I114))&gt;0</formula>
    </cfRule>
  </conditionalFormatting>
  <conditionalFormatting sqref="B101:F101">
    <cfRule type="notContainsBlanks" dxfId="1262" priority="239" stopIfTrue="1">
      <formula>LEN(TRIM(B101))&gt;0</formula>
    </cfRule>
  </conditionalFormatting>
  <conditionalFormatting sqref="I130:L130">
    <cfRule type="notContainsBlanks" dxfId="1261" priority="236" stopIfTrue="1">
      <formula>LEN(TRIM(I130))&gt;0</formula>
    </cfRule>
  </conditionalFormatting>
  <conditionalFormatting sqref="B117:F117">
    <cfRule type="notContainsBlanks" dxfId="1260" priority="237" stopIfTrue="1">
      <formula>LEN(TRIM(B117))&gt;0</formula>
    </cfRule>
  </conditionalFormatting>
  <conditionalFormatting sqref="I146:L146">
    <cfRule type="notContainsBlanks" dxfId="1259" priority="234" stopIfTrue="1">
      <formula>LEN(TRIM(I146))&gt;0</formula>
    </cfRule>
  </conditionalFormatting>
  <conditionalFormatting sqref="B133:F133">
    <cfRule type="notContainsBlanks" dxfId="1258" priority="235" stopIfTrue="1">
      <formula>LEN(TRIM(B133))&gt;0</formula>
    </cfRule>
  </conditionalFormatting>
  <conditionalFormatting sqref="I162:L162">
    <cfRule type="notContainsBlanks" dxfId="1257" priority="232" stopIfTrue="1">
      <formula>LEN(TRIM(I162))&gt;0</formula>
    </cfRule>
  </conditionalFormatting>
  <conditionalFormatting sqref="B149:F149">
    <cfRule type="notContainsBlanks" dxfId="1256" priority="233" stopIfTrue="1">
      <formula>LEN(TRIM(B149))&gt;0</formula>
    </cfRule>
  </conditionalFormatting>
  <conditionalFormatting sqref="I178:L178">
    <cfRule type="notContainsBlanks" dxfId="1255" priority="231" stopIfTrue="1">
      <formula>LEN(TRIM(I178))&gt;0</formula>
    </cfRule>
  </conditionalFormatting>
  <conditionalFormatting sqref="I66:L67 H53 H64:L65 K55:L61 J55:J63 B58:F58 G50:G61 J53:L54 B53:F56">
    <cfRule type="cellIs" dxfId="1254" priority="244" stopIfTrue="1" operator="equal">
      <formula>$B$53="batch plant"</formula>
    </cfRule>
  </conditionalFormatting>
  <conditionalFormatting sqref="I82:L83 H69 H80:L81 K71:L77 J71:J79 G64:G75 J69:L70 B69:F72">
    <cfRule type="cellIs" dxfId="1253" priority="249" stopIfTrue="1" operator="equal">
      <formula>$B$69="batch plant"</formula>
    </cfRule>
  </conditionalFormatting>
  <conditionalFormatting sqref="I98:L99 H85 H96:L97 K87:L93 J87:J95 G78:G89 J85:L86 B85:F88">
    <cfRule type="cellIs" dxfId="1252" priority="250" stopIfTrue="1" operator="equal">
      <formula>$B$85="batch plant"</formula>
    </cfRule>
  </conditionalFormatting>
  <conditionalFormatting sqref="I114:L115 H112:L113 G92:G100 G101:H101 H100 K103:L109 J103:J111 G102:G103 B106:F106 J101:L102 B101:F104">
    <cfRule type="cellIs" dxfId="1251" priority="251" stopIfTrue="1" operator="equal">
      <formula>$B$101="batch plant"</formula>
    </cfRule>
  </conditionalFormatting>
  <conditionalFormatting sqref="I130:L131 H117 G106:G117 H128:L129 K119:L125 J119:J127 J117:L118 B117:F120">
    <cfRule type="cellIs" dxfId="1250" priority="252" stopIfTrue="1" operator="equal">
      <formula>$B$117="batch plant"</formula>
    </cfRule>
  </conditionalFormatting>
  <conditionalFormatting sqref="I146:L147 H133 G120:G132 H144:L145 K135:L141 J135:J143 J133:L134 B133:F136">
    <cfRule type="cellIs" dxfId="1249" priority="253" stopIfTrue="1" operator="equal">
      <formula>$B$133="batch plant"</formula>
    </cfRule>
  </conditionalFormatting>
  <conditionalFormatting sqref="I162:L163 H149 G134:G147 H160:L161 K151:L157 J151:J159 J149:L150 B149:F152">
    <cfRule type="cellIs" dxfId="1248" priority="254" stopIfTrue="1" operator="equal">
      <formula>$B$149="batch plant"</formula>
    </cfRule>
  </conditionalFormatting>
  <conditionalFormatting sqref="I37">
    <cfRule type="cellIs" dxfId="1247" priority="230" stopIfTrue="1" operator="equal">
      <formula>$B$37="crusher plant"</formula>
    </cfRule>
  </conditionalFormatting>
  <conditionalFormatting sqref="I53">
    <cfRule type="cellIs" dxfId="1246" priority="229" stopIfTrue="1" operator="equal">
      <formula>$B$37="crusher plant"</formula>
    </cfRule>
  </conditionalFormatting>
  <conditionalFormatting sqref="I69">
    <cfRule type="cellIs" dxfId="1245" priority="228" stopIfTrue="1" operator="equal">
      <formula>$B$37="crusher plant"</formula>
    </cfRule>
  </conditionalFormatting>
  <conditionalFormatting sqref="I85">
    <cfRule type="cellIs" dxfId="1244" priority="227" stopIfTrue="1" operator="equal">
      <formula>$B$37="crusher plant"</formula>
    </cfRule>
  </conditionalFormatting>
  <conditionalFormatting sqref="I101">
    <cfRule type="cellIs" dxfId="1243" priority="226" stopIfTrue="1" operator="equal">
      <formula>$B$37="crusher plant"</formula>
    </cfRule>
  </conditionalFormatting>
  <conditionalFormatting sqref="I117">
    <cfRule type="cellIs" dxfId="1242" priority="225" stopIfTrue="1" operator="equal">
      <formula>$B$37="crusher plant"</formula>
    </cfRule>
  </conditionalFormatting>
  <conditionalFormatting sqref="I133">
    <cfRule type="cellIs" dxfId="1241" priority="224" stopIfTrue="1" operator="equal">
      <formula>$B$37="crusher plant"</formula>
    </cfRule>
  </conditionalFormatting>
  <conditionalFormatting sqref="I149">
    <cfRule type="cellIs" dxfId="1240" priority="223" stopIfTrue="1" operator="equal">
      <formula>$B$37="crusher plant"</formula>
    </cfRule>
  </conditionalFormatting>
  <conditionalFormatting sqref="I165">
    <cfRule type="cellIs" dxfId="1239" priority="222" stopIfTrue="1" operator="equal">
      <formula>$B$37="crusher plant"</formula>
    </cfRule>
  </conditionalFormatting>
  <conditionalFormatting sqref="I21:I30">
    <cfRule type="notContainsBlanks" dxfId="1238" priority="221">
      <formula>LEN(TRIM(I21))&gt;0</formula>
    </cfRule>
  </conditionalFormatting>
  <conditionalFormatting sqref="I38:I47">
    <cfRule type="expression" dxfId="1237" priority="220">
      <formula>$B$37="batch plant"</formula>
    </cfRule>
  </conditionalFormatting>
  <conditionalFormatting sqref="I54:I63">
    <cfRule type="expression" dxfId="1236" priority="219">
      <formula>$B$53="batch plant"</formula>
    </cfRule>
  </conditionalFormatting>
  <conditionalFormatting sqref="I70:I79">
    <cfRule type="expression" dxfId="1235" priority="218">
      <formula>$B$69="batch plant"</formula>
    </cfRule>
  </conditionalFormatting>
  <conditionalFormatting sqref="I86:I95">
    <cfRule type="expression" dxfId="1234" priority="217">
      <formula>$B$85="batch plant"</formula>
    </cfRule>
  </conditionalFormatting>
  <conditionalFormatting sqref="I102:I111">
    <cfRule type="expression" dxfId="1233" priority="216">
      <formula>$B$101="batch plant"</formula>
    </cfRule>
  </conditionalFormatting>
  <conditionalFormatting sqref="I118:I127">
    <cfRule type="expression" dxfId="1232" priority="215">
      <formula>$B$117="batch plant"</formula>
    </cfRule>
  </conditionalFormatting>
  <conditionalFormatting sqref="I134:I143">
    <cfRule type="expression" dxfId="1231" priority="214">
      <formula>$B$133="batch plant"</formula>
    </cfRule>
  </conditionalFormatting>
  <conditionalFormatting sqref="I150:I159">
    <cfRule type="expression" dxfId="1230" priority="213">
      <formula>$B$149="batch plant"</formula>
    </cfRule>
  </conditionalFormatting>
  <conditionalFormatting sqref="I166:I175">
    <cfRule type="expression" dxfId="1229" priority="212">
      <formula>$B$165="batch plant"</formula>
    </cfRule>
  </conditionalFormatting>
  <conditionalFormatting sqref="C107:F108">
    <cfRule type="notContainsBlanks" dxfId="1228" priority="100">
      <formula>LEN(TRIM(C107))&gt;0</formula>
    </cfRule>
  </conditionalFormatting>
  <conditionalFormatting sqref="B107:B108">
    <cfRule type="notContainsBlanks" dxfId="1227" priority="99">
      <formula>LEN(TRIM(B107))&gt;0</formula>
    </cfRule>
  </conditionalFormatting>
  <conditionalFormatting sqref="B29:B32">
    <cfRule type="notContainsBlanks" dxfId="1226" priority="146">
      <formula>LEN(TRIM(B29))&gt;0</formula>
    </cfRule>
  </conditionalFormatting>
  <conditionalFormatting sqref="J38:L47 I50:L50 C38:F40">
    <cfRule type="cellIs" dxfId="1225" priority="204" operator="equal">
      <formula>$B$37="batch plant"</formula>
    </cfRule>
  </conditionalFormatting>
  <conditionalFormatting sqref="K62:L63">
    <cfRule type="cellIs" dxfId="1224" priority="203" stopIfTrue="1" operator="equal">
      <formula>$B$53="batch plant"</formula>
    </cfRule>
  </conditionalFormatting>
  <conditionalFormatting sqref="B110:B113">
    <cfRule type="notContainsBlanks" dxfId="1223" priority="92">
      <formula>LEN(TRIM(B110))&gt;0</formula>
    </cfRule>
  </conditionalFormatting>
  <conditionalFormatting sqref="C123:F124">
    <cfRule type="notContainsBlanks" dxfId="1222" priority="90">
      <formula>LEN(TRIM(C123))&gt;0</formula>
    </cfRule>
  </conditionalFormatting>
  <conditionalFormatting sqref="K78:L79">
    <cfRule type="cellIs" dxfId="1221" priority="197" stopIfTrue="1" operator="equal">
      <formula>$B$69="batch plant"</formula>
    </cfRule>
  </conditionalFormatting>
  <conditionalFormatting sqref="K94:L95">
    <cfRule type="cellIs" dxfId="1220" priority="191" stopIfTrue="1" operator="equal">
      <formula>$B$85="batch plant"</formula>
    </cfRule>
  </conditionalFormatting>
  <conditionalFormatting sqref="B125">
    <cfRule type="notContainsBlanks" dxfId="1219" priority="81">
      <formula>LEN(TRIM(B125))&gt;0</formula>
    </cfRule>
  </conditionalFormatting>
  <conditionalFormatting sqref="C138:F139">
    <cfRule type="notContainsBlanks" dxfId="1218" priority="80">
      <formula>LEN(TRIM(C138))&gt;0</formula>
    </cfRule>
  </conditionalFormatting>
  <conditionalFormatting sqref="B138:B139">
    <cfRule type="notContainsBlanks" dxfId="1217" priority="79">
      <formula>LEN(TRIM(B138))&gt;0</formula>
    </cfRule>
  </conditionalFormatting>
  <conditionalFormatting sqref="K110:L111">
    <cfRule type="cellIs" dxfId="1216" priority="185" stopIfTrue="1" operator="equal">
      <formula>$B$101="batch plant"</formula>
    </cfRule>
  </conditionalFormatting>
  <conditionalFormatting sqref="K126:L127">
    <cfRule type="cellIs" dxfId="1215" priority="180" stopIfTrue="1" operator="equal">
      <formula>$B$117="batch plant"</formula>
    </cfRule>
  </conditionalFormatting>
  <conditionalFormatting sqref="C155:F156">
    <cfRule type="notContainsBlanks" dxfId="1214" priority="70">
      <formula>LEN(TRIM(C155))&gt;0</formula>
    </cfRule>
  </conditionalFormatting>
  <conditionalFormatting sqref="K142:L143">
    <cfRule type="cellIs" dxfId="1213" priority="172" stopIfTrue="1" operator="equal">
      <formula>$B$133="batch plant"</formula>
    </cfRule>
  </conditionalFormatting>
  <conditionalFormatting sqref="B158:B161">
    <cfRule type="notContainsBlanks" dxfId="1212" priority="62">
      <formula>LEN(TRIM(B158))&gt;0</formula>
    </cfRule>
  </conditionalFormatting>
  <conditionalFormatting sqref="B157">
    <cfRule type="notContainsBlanks" dxfId="1211" priority="61">
      <formula>LEN(TRIM(B157))&gt;0</formula>
    </cfRule>
  </conditionalFormatting>
  <conditionalFormatting sqref="C171:F172">
    <cfRule type="notContainsBlanks" dxfId="1210" priority="60">
      <formula>LEN(TRIM(C171))&gt;0</formula>
    </cfRule>
  </conditionalFormatting>
  <conditionalFormatting sqref="K158:L159">
    <cfRule type="cellIs" dxfId="1209" priority="166" stopIfTrue="1" operator="equal">
      <formula>$B$149="batch plant"</formula>
    </cfRule>
  </conditionalFormatting>
  <conditionalFormatting sqref="B173">
    <cfRule type="notContainsBlanks" dxfId="1208" priority="51">
      <formula>LEN(TRIM(B173))&gt;0</formula>
    </cfRule>
  </conditionalFormatting>
  <conditionalFormatting sqref="B165:F165">
    <cfRule type="notContainsBlanks" dxfId="1207" priority="256" stopIfTrue="1">
      <formula>LEN(TRIM(B165))&gt;0</formula>
    </cfRule>
  </conditionalFormatting>
  <conditionalFormatting sqref="B165:F165">
    <cfRule type="cellIs" dxfId="1206" priority="155" stopIfTrue="1" operator="equal">
      <formula>$B$149="batch plant"</formula>
    </cfRule>
  </conditionalFormatting>
  <conditionalFormatting sqref="J166:L166 J175:L175 K167:L173 J167:J174 F166:F168">
    <cfRule type="cellIs" dxfId="1205" priority="154" stopIfTrue="1" operator="equal">
      <formula>$B$165="batch plant"</formula>
    </cfRule>
  </conditionalFormatting>
  <conditionalFormatting sqref="K174:L174">
    <cfRule type="cellIs" dxfId="1204" priority="153" stopIfTrue="1" operator="equal">
      <formula>$B$165="batch plant"</formula>
    </cfRule>
  </conditionalFormatting>
  <conditionalFormatting sqref="I179:L179">
    <cfRule type="cellIs" dxfId="1203" priority="152" stopIfTrue="1" operator="equal">
      <formula>$B$165="batch plant"</formula>
    </cfRule>
  </conditionalFormatting>
  <conditionalFormatting sqref="C166:E168">
    <cfRule type="cellIs" dxfId="1202" priority="151" stopIfTrue="1" operator="equal">
      <formula>$B$165="batch plant"</formula>
    </cfRule>
  </conditionalFormatting>
  <conditionalFormatting sqref="B28">
    <cfRule type="notContainsBlanks" dxfId="1201" priority="145">
      <formula>LEN(TRIM(B28))&gt;0</formula>
    </cfRule>
  </conditionalFormatting>
  <conditionalFormatting sqref="C28:F28">
    <cfRule type="cellIs" dxfId="1200" priority="144" operator="equal">
      <formula>$B$28=""</formula>
    </cfRule>
  </conditionalFormatting>
  <conditionalFormatting sqref="C29:F29">
    <cfRule type="cellIs" dxfId="1199" priority="143" operator="equal">
      <formula>$B$29=""</formula>
    </cfRule>
  </conditionalFormatting>
  <conditionalFormatting sqref="C31:F31">
    <cfRule type="cellIs" dxfId="1198" priority="142" operator="equal">
      <formula>$B$31=""</formula>
    </cfRule>
  </conditionalFormatting>
  <conditionalFormatting sqref="C26:F27">
    <cfRule type="notContainsBlanks" dxfId="1197" priority="147">
      <formula>LEN(TRIM(C26))&gt;0</formula>
    </cfRule>
  </conditionalFormatting>
  <conditionalFormatting sqref="B26:B27">
    <cfRule type="notContainsBlanks" dxfId="1196" priority="141">
      <formula>LEN(TRIM(B26))&gt;0</formula>
    </cfRule>
  </conditionalFormatting>
  <conditionalFormatting sqref="C28:F32">
    <cfRule type="notContainsBlanks" dxfId="1195" priority="140">
      <formula>LEN(TRIM(C28))&gt;0</formula>
    </cfRule>
  </conditionalFormatting>
  <conditionalFormatting sqref="C32:F32">
    <cfRule type="cellIs" dxfId="1194" priority="148" operator="equal">
      <formula>$B$32=""</formula>
    </cfRule>
  </conditionalFormatting>
  <conditionalFormatting sqref="C30:F30">
    <cfRule type="cellIs" dxfId="1193" priority="149" operator="equal">
      <formula>$B$30=""</formula>
    </cfRule>
  </conditionalFormatting>
  <conditionalFormatting sqref="B43:F44">
    <cfRule type="notContainsBlanks" dxfId="1192" priority="139">
      <formula>LEN(TRIM(B43))&gt;0</formula>
    </cfRule>
  </conditionalFormatting>
  <conditionalFormatting sqref="C45:F45">
    <cfRule type="cellIs" dxfId="1191" priority="138" operator="equal">
      <formula>$B$45=""</formula>
    </cfRule>
  </conditionalFormatting>
  <conditionalFormatting sqref="C46:F46">
    <cfRule type="cellIs" dxfId="1190" priority="137" operator="equal">
      <formula>$B$46=""</formula>
    </cfRule>
  </conditionalFormatting>
  <conditionalFormatting sqref="C47:F47">
    <cfRule type="cellIs" dxfId="1189" priority="136" operator="equal">
      <formula>$B$47=""</formula>
    </cfRule>
  </conditionalFormatting>
  <conditionalFormatting sqref="C48:F48">
    <cfRule type="cellIs" dxfId="1188" priority="135" operator="equal">
      <formula>$B$48=""</formula>
    </cfRule>
  </conditionalFormatting>
  <conditionalFormatting sqref="C49:F49">
    <cfRule type="cellIs" dxfId="1187" priority="134" operator="equal">
      <formula>$B$49=""</formula>
    </cfRule>
  </conditionalFormatting>
  <conditionalFormatting sqref="C45:F49">
    <cfRule type="notContainsBlanks" dxfId="1186" priority="133">
      <formula>LEN(TRIM(C45))&gt;0</formula>
    </cfRule>
  </conditionalFormatting>
  <conditionalFormatting sqref="B46:B49">
    <cfRule type="notContainsBlanks" dxfId="1185" priority="132">
      <formula>LEN(TRIM(B46))&gt;0</formula>
    </cfRule>
  </conditionalFormatting>
  <conditionalFormatting sqref="B45">
    <cfRule type="notContainsBlanks" dxfId="1184" priority="131">
      <formula>LEN(TRIM(B45))&gt;0</formula>
    </cfRule>
  </conditionalFormatting>
  <conditionalFormatting sqref="B62:B65">
    <cfRule type="notContainsBlanks" dxfId="1183" priority="122">
      <formula>LEN(TRIM(B62))&gt;0</formula>
    </cfRule>
  </conditionalFormatting>
  <conditionalFormatting sqref="B61">
    <cfRule type="notContainsBlanks" dxfId="1182" priority="121">
      <formula>LEN(TRIM(B61))&gt;0</formula>
    </cfRule>
  </conditionalFormatting>
  <conditionalFormatting sqref="C59:F60">
    <cfRule type="notContainsBlanks" dxfId="1181" priority="130">
      <formula>LEN(TRIM(C59))&gt;0</formula>
    </cfRule>
  </conditionalFormatting>
  <conditionalFormatting sqref="B59:B60">
    <cfRule type="notContainsBlanks" dxfId="1180" priority="129">
      <formula>LEN(TRIM(B59))&gt;0</formula>
    </cfRule>
  </conditionalFormatting>
  <conditionalFormatting sqref="C61:F61">
    <cfRule type="cellIs" dxfId="1179" priority="128" operator="equal">
      <formula>$B$61=""</formula>
    </cfRule>
  </conditionalFormatting>
  <conditionalFormatting sqref="C62:F62">
    <cfRule type="cellIs" dxfId="1178" priority="127" operator="equal">
      <formula>$B$62=""</formula>
    </cfRule>
  </conditionalFormatting>
  <conditionalFormatting sqref="C63:F63">
    <cfRule type="cellIs" dxfId="1177" priority="126" operator="equal">
      <formula>$B$63=""</formula>
    </cfRule>
  </conditionalFormatting>
  <conditionalFormatting sqref="C64:F64">
    <cfRule type="cellIs" dxfId="1176" priority="125" operator="equal">
      <formula>$B$64=""</formula>
    </cfRule>
  </conditionalFormatting>
  <conditionalFormatting sqref="C65:F65">
    <cfRule type="cellIs" dxfId="1175" priority="124" operator="equal">
      <formula>$B$65=""</formula>
    </cfRule>
  </conditionalFormatting>
  <conditionalFormatting sqref="C61:F65">
    <cfRule type="notContainsBlanks" dxfId="1174" priority="123">
      <formula>LEN(TRIM(C61))&gt;0</formula>
    </cfRule>
  </conditionalFormatting>
  <conditionalFormatting sqref="B75:B76">
    <cfRule type="notContainsBlanks" dxfId="1173" priority="119">
      <formula>LEN(TRIM(B75))&gt;0</formula>
    </cfRule>
  </conditionalFormatting>
  <conditionalFormatting sqref="B78:B81">
    <cfRule type="notContainsBlanks" dxfId="1172" priority="112">
      <formula>LEN(TRIM(B78))&gt;0</formula>
    </cfRule>
  </conditionalFormatting>
  <conditionalFormatting sqref="B77">
    <cfRule type="notContainsBlanks" dxfId="1171" priority="111">
      <formula>LEN(TRIM(B77))&gt;0</formula>
    </cfRule>
  </conditionalFormatting>
  <conditionalFormatting sqref="C75:F76">
    <cfRule type="notContainsBlanks" dxfId="1170" priority="120">
      <formula>LEN(TRIM(C75))&gt;0</formula>
    </cfRule>
  </conditionalFormatting>
  <conditionalFormatting sqref="C77:F77">
    <cfRule type="cellIs" dxfId="1169" priority="118" operator="equal">
      <formula>$B$77=""</formula>
    </cfRule>
  </conditionalFormatting>
  <conditionalFormatting sqref="C78:F78">
    <cfRule type="cellIs" dxfId="1168" priority="117" operator="equal">
      <formula>$B$78=""</formula>
    </cfRule>
  </conditionalFormatting>
  <conditionalFormatting sqref="C79:F79">
    <cfRule type="cellIs" dxfId="1167" priority="116" operator="equal">
      <formula>$B$79=""</formula>
    </cfRule>
  </conditionalFormatting>
  <conditionalFormatting sqref="C80:F80">
    <cfRule type="cellIs" dxfId="1166" priority="115" operator="equal">
      <formula>$B$80=""</formula>
    </cfRule>
  </conditionalFormatting>
  <conditionalFormatting sqref="C81:F81">
    <cfRule type="cellIs" dxfId="1165" priority="114" operator="equal">
      <formula>$B$81=""</formula>
    </cfRule>
  </conditionalFormatting>
  <conditionalFormatting sqref="C77:F81">
    <cfRule type="notContainsBlanks" dxfId="1164" priority="113">
      <formula>LEN(TRIM(C77))&gt;0</formula>
    </cfRule>
  </conditionalFormatting>
  <conditionalFormatting sqref="C91:F92">
    <cfRule type="notContainsBlanks" dxfId="1163" priority="110">
      <formula>LEN(TRIM(C91))&gt;0</formula>
    </cfRule>
  </conditionalFormatting>
  <conditionalFormatting sqref="B91:B92">
    <cfRule type="notContainsBlanks" dxfId="1162" priority="109">
      <formula>LEN(TRIM(B91))&gt;0</formula>
    </cfRule>
  </conditionalFormatting>
  <conditionalFormatting sqref="C93:F93">
    <cfRule type="cellIs" dxfId="1161" priority="108" operator="equal">
      <formula>$B$93=""</formula>
    </cfRule>
  </conditionalFormatting>
  <conditionalFormatting sqref="C94:F94">
    <cfRule type="cellIs" dxfId="1160" priority="107" operator="equal">
      <formula>$B$94=""</formula>
    </cfRule>
  </conditionalFormatting>
  <conditionalFormatting sqref="C95:F95">
    <cfRule type="cellIs" dxfId="1159" priority="106" operator="equal">
      <formula>$B$95=""</formula>
    </cfRule>
  </conditionalFormatting>
  <conditionalFormatting sqref="C96:F96">
    <cfRule type="cellIs" dxfId="1158" priority="105" operator="equal">
      <formula>$B$96=""</formula>
    </cfRule>
  </conditionalFormatting>
  <conditionalFormatting sqref="C97:F97">
    <cfRule type="cellIs" dxfId="1157" priority="104" operator="equal">
      <formula>$B$97=""</formula>
    </cfRule>
  </conditionalFormatting>
  <conditionalFormatting sqref="C93:F97">
    <cfRule type="notContainsBlanks" dxfId="1156" priority="103">
      <formula>LEN(TRIM(C93))&gt;0</formula>
    </cfRule>
  </conditionalFormatting>
  <conditionalFormatting sqref="B94:B97">
    <cfRule type="notContainsBlanks" dxfId="1155" priority="102">
      <formula>LEN(TRIM(B94))&gt;0</formula>
    </cfRule>
  </conditionalFormatting>
  <conditionalFormatting sqref="B93">
    <cfRule type="notContainsBlanks" dxfId="1154" priority="101">
      <formula>LEN(TRIM(B93))&gt;0</formula>
    </cfRule>
  </conditionalFormatting>
  <conditionalFormatting sqref="B109">
    <cfRule type="notContainsBlanks" dxfId="1153" priority="91">
      <formula>LEN(TRIM(B109))&gt;0</formula>
    </cfRule>
  </conditionalFormatting>
  <conditionalFormatting sqref="C109:F109">
    <cfRule type="cellIs" dxfId="1152" priority="98" operator="equal">
      <formula>$B$109=""</formula>
    </cfRule>
  </conditionalFormatting>
  <conditionalFormatting sqref="C110:F110">
    <cfRule type="cellIs" dxfId="1151" priority="97" operator="equal">
      <formula>$B$110=""</formula>
    </cfRule>
  </conditionalFormatting>
  <conditionalFormatting sqref="C111:F111">
    <cfRule type="cellIs" dxfId="1150" priority="96" operator="equal">
      <formula>$B$111=""</formula>
    </cfRule>
  </conditionalFormatting>
  <conditionalFormatting sqref="C112:F112">
    <cfRule type="cellIs" dxfId="1149" priority="95" operator="equal">
      <formula>$B$112=""</formula>
    </cfRule>
  </conditionalFormatting>
  <conditionalFormatting sqref="C113:F113">
    <cfRule type="cellIs" dxfId="1148" priority="94" operator="equal">
      <formula>$B$113=""</formula>
    </cfRule>
  </conditionalFormatting>
  <conditionalFormatting sqref="C109:F113">
    <cfRule type="notContainsBlanks" dxfId="1147" priority="93">
      <formula>LEN(TRIM(C109))&gt;0</formula>
    </cfRule>
  </conditionalFormatting>
  <conditionalFormatting sqref="B123:B124">
    <cfRule type="notContainsBlanks" dxfId="1146" priority="89">
      <formula>LEN(TRIM(B123))&gt;0</formula>
    </cfRule>
  </conditionalFormatting>
  <conditionalFormatting sqref="C125:F125">
    <cfRule type="cellIs" dxfId="1145" priority="88" operator="equal">
      <formula>$B$125=""</formula>
    </cfRule>
  </conditionalFormatting>
  <conditionalFormatting sqref="C126:F126">
    <cfRule type="cellIs" dxfId="1144" priority="87" operator="equal">
      <formula>$B$126=""</formula>
    </cfRule>
  </conditionalFormatting>
  <conditionalFormatting sqref="C127:F127">
    <cfRule type="cellIs" dxfId="1143" priority="86" operator="equal">
      <formula>$B$127=""</formula>
    </cfRule>
  </conditionalFormatting>
  <conditionalFormatting sqref="C128:F128">
    <cfRule type="cellIs" dxfId="1142" priority="85" operator="equal">
      <formula>$B$128=""</formula>
    </cfRule>
  </conditionalFormatting>
  <conditionalFormatting sqref="C129:F129">
    <cfRule type="cellIs" dxfId="1141" priority="84" operator="equal">
      <formula>$B$129=""</formula>
    </cfRule>
  </conditionalFormatting>
  <conditionalFormatting sqref="C125:F129">
    <cfRule type="notContainsBlanks" dxfId="1140" priority="83">
      <formula>LEN(TRIM(C125))&gt;0</formula>
    </cfRule>
  </conditionalFormatting>
  <conditionalFormatting sqref="B126:B129">
    <cfRule type="notContainsBlanks" dxfId="1139" priority="82">
      <formula>LEN(TRIM(B126))&gt;0</formula>
    </cfRule>
  </conditionalFormatting>
  <conditionalFormatting sqref="B140">
    <cfRule type="notContainsBlanks" dxfId="1138" priority="71">
      <formula>LEN(TRIM(B140))&gt;0</formula>
    </cfRule>
  </conditionalFormatting>
  <conditionalFormatting sqref="C140:F140">
    <cfRule type="cellIs" dxfId="1137" priority="78" operator="equal">
      <formula>$B$140=""</formula>
    </cfRule>
  </conditionalFormatting>
  <conditionalFormatting sqref="C141:F141">
    <cfRule type="cellIs" dxfId="1136" priority="77" operator="equal">
      <formula>$B$141=""</formula>
    </cfRule>
  </conditionalFormatting>
  <conditionalFormatting sqref="C142:F142">
    <cfRule type="cellIs" dxfId="1135" priority="76" operator="equal">
      <formula>$B$142=""</formula>
    </cfRule>
  </conditionalFormatting>
  <conditionalFormatting sqref="C143:F143">
    <cfRule type="cellIs" dxfId="1134" priority="75" operator="equal">
      <formula>$B$143=""</formula>
    </cfRule>
  </conditionalFormatting>
  <conditionalFormatting sqref="C144:F144">
    <cfRule type="cellIs" dxfId="1133" priority="74" operator="equal">
      <formula>$B$144=""</formula>
    </cfRule>
  </conditionalFormatting>
  <conditionalFormatting sqref="C140:F144">
    <cfRule type="notContainsBlanks" dxfId="1132" priority="73">
      <formula>LEN(TRIM(C140))&gt;0</formula>
    </cfRule>
  </conditionalFormatting>
  <conditionalFormatting sqref="B141:B144">
    <cfRule type="notContainsBlanks" dxfId="1131" priority="72">
      <formula>LEN(TRIM(B141))&gt;0</formula>
    </cfRule>
  </conditionalFormatting>
  <conditionalFormatting sqref="B155:B156">
    <cfRule type="notContainsBlanks" dxfId="1130" priority="69">
      <formula>LEN(TRIM(B155))&gt;0</formula>
    </cfRule>
  </conditionalFormatting>
  <conditionalFormatting sqref="C157:F157">
    <cfRule type="cellIs" dxfId="1129" priority="68" operator="equal">
      <formula>$B$157=""</formula>
    </cfRule>
  </conditionalFormatting>
  <conditionalFormatting sqref="C158:F158">
    <cfRule type="cellIs" dxfId="1128" priority="67" operator="equal">
      <formula>$B$158=""</formula>
    </cfRule>
  </conditionalFormatting>
  <conditionalFormatting sqref="C159:F159">
    <cfRule type="cellIs" dxfId="1127" priority="66" operator="equal">
      <formula>$B$159=""</formula>
    </cfRule>
  </conditionalFormatting>
  <conditionalFormatting sqref="C160:F160">
    <cfRule type="cellIs" dxfId="1126" priority="65" operator="equal">
      <formula>$B$160=""</formula>
    </cfRule>
  </conditionalFormatting>
  <conditionalFormatting sqref="C161:F161">
    <cfRule type="cellIs" dxfId="1125" priority="64" operator="equal">
      <formula>$B$161=""</formula>
    </cfRule>
  </conditionalFormatting>
  <conditionalFormatting sqref="C157:F161">
    <cfRule type="notContainsBlanks" dxfId="1124" priority="63">
      <formula>LEN(TRIM(C157))&gt;0</formula>
    </cfRule>
  </conditionalFormatting>
  <conditionalFormatting sqref="B171:B172">
    <cfRule type="notContainsBlanks" dxfId="1123" priority="59">
      <formula>LEN(TRIM(B171))&gt;0</formula>
    </cfRule>
  </conditionalFormatting>
  <conditionalFormatting sqref="C173:F173">
    <cfRule type="cellIs" dxfId="1122" priority="58" operator="equal">
      <formula>$B$173=""</formula>
    </cfRule>
  </conditionalFormatting>
  <conditionalFormatting sqref="C174:F174">
    <cfRule type="cellIs" dxfId="1121" priority="57" operator="equal">
      <formula>$B$174=""</formula>
    </cfRule>
  </conditionalFormatting>
  <conditionalFormatting sqref="C175:F175">
    <cfRule type="cellIs" dxfId="1120" priority="56" operator="equal">
      <formula>$B$175=""</formula>
    </cfRule>
  </conditionalFormatting>
  <conditionalFormatting sqref="C176:F176">
    <cfRule type="cellIs" dxfId="1119" priority="55" operator="equal">
      <formula>$B$176=""</formula>
    </cfRule>
  </conditionalFormatting>
  <conditionalFormatting sqref="C177:F177">
    <cfRule type="cellIs" dxfId="1118" priority="54" operator="equal">
      <formula>$B$177=""</formula>
    </cfRule>
  </conditionalFormatting>
  <conditionalFormatting sqref="C173:F177">
    <cfRule type="notContainsBlanks" dxfId="1117" priority="53">
      <formula>LEN(TRIM(C173))&gt;0</formula>
    </cfRule>
  </conditionalFormatting>
  <conditionalFormatting sqref="B174:B177">
    <cfRule type="notContainsBlanks" dxfId="1116" priority="52">
      <formula>LEN(TRIM(B174))&gt;0</formula>
    </cfRule>
  </conditionalFormatting>
  <conditionalFormatting sqref="H166:H175">
    <cfRule type="expression" dxfId="1115" priority="50">
      <formula>$B$165="batch plant"</formula>
    </cfRule>
  </conditionalFormatting>
  <conditionalFormatting sqref="H150:H159">
    <cfRule type="expression" dxfId="1114" priority="49">
      <formula>$B$149="batch plant"</formula>
    </cfRule>
  </conditionalFormatting>
  <conditionalFormatting sqref="H134:H143">
    <cfRule type="expression" dxfId="1113" priority="48">
      <formula>$B$133="batch plant"</formula>
    </cfRule>
  </conditionalFormatting>
  <conditionalFormatting sqref="H118:H127">
    <cfRule type="expression" dxfId="1112" priority="47">
      <formula>$B$117="batch plant"</formula>
    </cfRule>
  </conditionalFormatting>
  <conditionalFormatting sqref="H102:H111">
    <cfRule type="expression" dxfId="1111" priority="46">
      <formula>$B$101="batch plant"</formula>
    </cfRule>
  </conditionalFormatting>
  <conditionalFormatting sqref="H86:H95">
    <cfRule type="expression" dxfId="1110" priority="45">
      <formula>$B$85="batch plant"</formula>
    </cfRule>
  </conditionalFormatting>
  <conditionalFormatting sqref="H70:H79">
    <cfRule type="expression" dxfId="1109" priority="44">
      <formula>$B$69="batch plant"</formula>
    </cfRule>
  </conditionalFormatting>
  <conditionalFormatting sqref="H54:H63">
    <cfRule type="expression" dxfId="1108" priority="43">
      <formula>$B$53="batch plant"</formula>
    </cfRule>
  </conditionalFormatting>
  <conditionalFormatting sqref="H38:H47">
    <cfRule type="expression" dxfId="1107" priority="42">
      <formula>$B$37="batch plant"</formula>
    </cfRule>
  </conditionalFormatting>
  <conditionalFormatting sqref="H21:H30">
    <cfRule type="notContainsBlanks" dxfId="1106" priority="41">
      <formula>LEN(TRIM(H21))&gt;0</formula>
    </cfRule>
  </conditionalFormatting>
  <conditionalFormatting sqref="F24">
    <cfRule type="cellIs" dxfId="1105" priority="38" operator="equal">
      <formula>$B$24=""</formula>
    </cfRule>
  </conditionalFormatting>
  <conditionalFormatting sqref="B24:E24 B41:E41 B57:E57 B73:E73 B89:E89 B105:E105 B121:E121 B137:E137">
    <cfRule type="notContainsBlanks" dxfId="1104" priority="258">
      <formula>LEN(TRIM(B24))&gt;0</formula>
    </cfRule>
  </conditionalFormatting>
  <conditionalFormatting sqref="F41">
    <cfRule type="cellIs" dxfId="1103" priority="35" operator="equal">
      <formula>$B$41=""</formula>
    </cfRule>
  </conditionalFormatting>
  <conditionalFormatting sqref="F57">
    <cfRule type="cellIs" dxfId="1102" priority="32" operator="equal">
      <formula>$B$57=""</formula>
    </cfRule>
  </conditionalFormatting>
  <conditionalFormatting sqref="F73">
    <cfRule type="cellIs" dxfId="1101" priority="29" operator="equal">
      <formula>$B$73=""</formula>
    </cfRule>
  </conditionalFormatting>
  <conditionalFormatting sqref="F89">
    <cfRule type="cellIs" dxfId="1100" priority="26" operator="equal">
      <formula>$B$89=""</formula>
    </cfRule>
  </conditionalFormatting>
  <conditionalFormatting sqref="F105">
    <cfRule type="cellIs" dxfId="1099" priority="23" operator="equal">
      <formula>$B$105=""</formula>
    </cfRule>
  </conditionalFormatting>
  <conditionalFormatting sqref="F121">
    <cfRule type="cellIs" dxfId="1098" priority="20" operator="equal">
      <formula>$B$121=""</formula>
    </cfRule>
  </conditionalFormatting>
  <conditionalFormatting sqref="F137">
    <cfRule type="cellIs" dxfId="1097" priority="17" operator="equal">
      <formula>$B$137=""</formula>
    </cfRule>
  </conditionalFormatting>
  <conditionalFormatting sqref="B153:E153">
    <cfRule type="notContainsBlanks" dxfId="1096" priority="257">
      <formula>LEN(TRIM(B153))&gt;0</formula>
    </cfRule>
  </conditionalFormatting>
  <conditionalFormatting sqref="F153">
    <cfRule type="cellIs" dxfId="1095" priority="14" operator="equal">
      <formula>$B$153=""</formula>
    </cfRule>
  </conditionalFormatting>
  <conditionalFormatting sqref="B169:E169">
    <cfRule type="notContainsBlanks" dxfId="1094" priority="13">
      <formula>LEN(TRIM(B169))&gt;0</formula>
    </cfRule>
  </conditionalFormatting>
  <conditionalFormatting sqref="F169">
    <cfRule type="cellIs" dxfId="1093" priority="11" operator="equal">
      <formula>$B$169=""</formula>
    </cfRule>
  </conditionalFormatting>
  <dataValidations count="3">
    <dataValidation type="list" allowBlank="1" showInputMessage="1" showErrorMessage="1" sqref="J21:J30 J38:J47 J54:J63 J70:J79 J86:J95 J102:J111 J118:J127 J134:J143 J150:J159 J166:J175" xr:uid="{00000000-0002-0000-0500-000000000000}">
      <formula1>ConcreteProcesses</formula1>
    </dataValidation>
    <dataValidation type="whole" allowBlank="1" showInputMessage="1" showErrorMessage="1" sqref="C18:F18 D4 G5" xr:uid="{00000000-0002-0000-0500-000001000000}">
      <formula1>0</formula1>
      <formula2>100</formula2>
    </dataValidation>
    <dataValidation type="list" allowBlank="1" showInputMessage="1" showErrorMessage="1" sqref="F24 F41 F57 F73 F89 F105 F121 F137 F153 F169" xr:uid="{00000000-0002-0000-0500-000002000000}">
      <formula1>CHECK</formula1>
    </dataValidation>
  </dataValidations>
  <pageMargins left="0.25" right="0.25" top="0.75" bottom="0.75" header="0.3" footer="0.3"/>
  <pageSetup scale="65" fitToHeight="0" orientation="landscape" verticalDpi="300" r:id="rId1"/>
  <legacyDrawing r:id="rId2"/>
  <extLst>
    <ext xmlns:x14="http://schemas.microsoft.com/office/spreadsheetml/2009/9/main" uri="{78C0D931-6437-407d-A8EE-F0AAD7539E65}">
      <x14:conditionalFormattings>
        <x14:conditionalFormatting xmlns:xm="http://schemas.microsoft.com/office/excel/2006/main">
          <x14:cfRule type="notContainsBlanks" priority="40" id="{69549BAB-FDDD-472F-8A33-2BAF3C6E1F71}">
            <xm:f>LEN(TRIM('Concrete Plant (CP-3)'!F152))&gt;0</xm:f>
            <x14:dxf>
              <fill>
                <patternFill>
                  <bgColor rgb="FFFFFF99"/>
                </patternFill>
              </fill>
              <border>
                <left style="thin">
                  <color auto="1"/>
                </left>
                <right style="thin">
                  <color auto="1"/>
                </right>
                <top style="thin">
                  <color auto="1"/>
                </top>
                <bottom style="thin">
                  <color auto="1"/>
                </bottom>
                <vertical/>
                <horizontal/>
              </border>
            </x14:dxf>
          </x14:cfRule>
          <xm:sqref>F169 F153</xm:sqref>
        </x14:conditionalFormatting>
        <x14:conditionalFormatting xmlns:xm="http://schemas.microsoft.com/office/excel/2006/main">
          <x14:cfRule type="notContainsBlanks" priority="4" stopIfTrue="1" id="{AD48225F-EB6B-4DB7-AEA2-DF971012CB2F}">
            <xm:f>LEN(TRIM('Concrete Plant (CP-1)'!M64))&gt;0</xm:f>
            <x14:dxf>
              <border>
                <left style="thin">
                  <color indexed="64"/>
                </left>
                <right style="thin">
                  <color indexed="64"/>
                </right>
                <top style="thin">
                  <color indexed="64"/>
                </top>
                <bottom style="thin">
                  <color indexed="64"/>
                </bottom>
              </border>
            </x14:dxf>
          </x14:cfRule>
          <xm:sqref>M179:N179 M130:N130 M66:N66 M82:N82 M98:N98 M114:N114 M146:N146</xm:sqref>
        </x14:conditionalFormatting>
        <x14:conditionalFormatting xmlns:xm="http://schemas.microsoft.com/office/excel/2006/main">
          <x14:cfRule type="cellIs" priority="3" stopIfTrue="1" operator="equal" id="{68460A4C-6C06-4B83-B9FC-ACFF672711E1}">
            <xm:f>'Concrete Plant (CP-1)'!$B$51="batch plant"</xm:f>
            <x14:dxf>
              <fill>
                <patternFill patternType="none">
                  <bgColor indexed="65"/>
                </patternFill>
              </fill>
              <border>
                <left/>
                <right/>
                <top/>
                <bottom/>
              </border>
            </x14:dxf>
          </x14:cfRule>
          <xm:sqref>M64:N67 M53:N53</xm:sqref>
        </x14:conditionalFormatting>
        <x14:conditionalFormatting xmlns:xm="http://schemas.microsoft.com/office/excel/2006/main">
          <x14:cfRule type="cellIs" priority="5" stopIfTrue="1" operator="equal" id="{6EA985E9-E98A-4AEF-8B32-D88261BC8F60}">
            <xm:f>'Concrete Plant (CP-1)'!$B$67="batch plant"</xm:f>
            <x14:dxf>
              <fill>
                <patternFill patternType="none">
                  <bgColor indexed="65"/>
                </patternFill>
              </fill>
              <border>
                <left/>
                <right/>
                <top/>
                <bottom/>
              </border>
            </x14:dxf>
          </x14:cfRule>
          <xm:sqref>M80:N83 M69:N69</xm:sqref>
        </x14:conditionalFormatting>
        <x14:conditionalFormatting xmlns:xm="http://schemas.microsoft.com/office/excel/2006/main">
          <x14:cfRule type="cellIs" priority="6" stopIfTrue="1" operator="equal" id="{81BE3D24-B9D1-485E-A49D-2821169F6B3B}">
            <xm:f>'Concrete Plant (CP-1)'!$B$83="batch plant"</xm:f>
            <x14:dxf>
              <fill>
                <patternFill patternType="none">
                  <bgColor indexed="65"/>
                </patternFill>
              </fill>
              <border>
                <left/>
                <right/>
                <top/>
                <bottom/>
              </border>
            </x14:dxf>
          </x14:cfRule>
          <xm:sqref>M96:N99 M85:N85</xm:sqref>
        </x14:conditionalFormatting>
        <x14:conditionalFormatting xmlns:xm="http://schemas.microsoft.com/office/excel/2006/main">
          <x14:cfRule type="cellIs" priority="7" stopIfTrue="1" operator="equal" id="{08C430F8-6089-4C95-B60C-6F3A292071FB}">
            <xm:f>'Concrete Plant (CP-1)'!$B$99="batch plant"</xm:f>
            <x14:dxf>
              <fill>
                <patternFill patternType="none">
                  <bgColor indexed="65"/>
                </patternFill>
              </fill>
              <border>
                <left/>
                <right/>
                <top/>
                <bottom/>
              </border>
            </x14:dxf>
          </x14:cfRule>
          <xm:sqref>M112:N115 M101:N101</xm:sqref>
        </x14:conditionalFormatting>
        <x14:conditionalFormatting xmlns:xm="http://schemas.microsoft.com/office/excel/2006/main">
          <x14:cfRule type="cellIs" priority="8" stopIfTrue="1" operator="equal" id="{8867BEBB-127A-4A51-A4A1-D44D2CC55B6A}">
            <xm:f>'Concrete Plant (CP-1)'!$B$115="batch plant"</xm:f>
            <x14:dxf>
              <fill>
                <patternFill patternType="none">
                  <bgColor indexed="65"/>
                </patternFill>
              </fill>
              <border>
                <left/>
                <right/>
                <top/>
                <bottom/>
              </border>
            </x14:dxf>
          </x14:cfRule>
          <xm:sqref>M128:N131 M117:N117</xm:sqref>
        </x14:conditionalFormatting>
        <x14:conditionalFormatting xmlns:xm="http://schemas.microsoft.com/office/excel/2006/main">
          <x14:cfRule type="cellIs" priority="9" stopIfTrue="1" operator="equal" id="{3B9427DE-B828-4D7F-ADA2-9B5E204C4D80}">
            <xm:f>'Concrete Plant (CP-1)'!$B$131="batch plant"</xm:f>
            <x14:dxf>
              <fill>
                <patternFill patternType="none">
                  <bgColor indexed="65"/>
                </patternFill>
              </fill>
              <border>
                <left/>
                <right/>
                <top/>
                <bottom/>
              </border>
            </x14:dxf>
          </x14:cfRule>
          <xm:sqref>M144:N147 M133:N133</xm:sqref>
        </x14:conditionalFormatting>
        <x14:conditionalFormatting xmlns:xm="http://schemas.microsoft.com/office/excel/2006/main">
          <x14:cfRule type="cellIs" priority="10" stopIfTrue="1" operator="equal" id="{56A27787-DFC7-4F4C-A201-6CFA220A1C45}">
            <xm:f>'Concrete Plant (CP-1)'!$B$147="batch plant"</xm:f>
            <x14:dxf>
              <fill>
                <patternFill patternType="none">
                  <bgColor indexed="65"/>
                </patternFill>
              </fill>
              <border>
                <left/>
                <right/>
                <top/>
                <bottom/>
              </border>
            </x14:dxf>
          </x14:cfRule>
          <xm:sqref>M161:N164</xm:sqref>
        </x14:conditionalFormatting>
        <x14:conditionalFormatting xmlns:xm="http://schemas.microsoft.com/office/excel/2006/main">
          <x14:cfRule type="cellIs" priority="2" operator="equal" id="{CFE94E4B-4A4E-48C6-BA86-941C2744BC7F}">
            <xm:f>'Concrete Plant (CP-1)'!$B$36="batch plant"</xm:f>
            <x14:dxf>
              <fill>
                <patternFill patternType="none">
                  <bgColor auto="1"/>
                </patternFill>
              </fill>
              <border>
                <left/>
                <right/>
                <top/>
                <bottom/>
                <vertical/>
                <horizontal/>
              </border>
            </x14:dxf>
          </x14:cfRule>
          <xm:sqref>M51:N52</xm:sqref>
        </x14:conditionalFormatting>
        <x14:conditionalFormatting xmlns:xm="http://schemas.microsoft.com/office/excel/2006/main">
          <x14:cfRule type="cellIs" priority="1" stopIfTrue="1" operator="equal" id="{FE3B6990-A1DC-4CDF-A5A5-7102E4C6CEC6}">
            <xm:f>'Concrete Plant (CP-1)'!$B$164="batch plant"</xm:f>
            <x14:dxf>
              <fill>
                <patternFill patternType="none">
                  <bgColor indexed="65"/>
                </patternFill>
              </fill>
              <border>
                <left/>
                <right/>
                <top/>
                <bottom/>
              </border>
            </x14:dxf>
          </x14:cfRule>
          <xm:sqref>M180:N180</xm:sqref>
        </x14:conditionalFormatting>
        <x14:conditionalFormatting xmlns:xm="http://schemas.microsoft.com/office/excel/2006/main">
          <x14:cfRule type="notContainsBlanks" priority="1230" stopIfTrue="1" id="{AD48225F-EB6B-4DB7-AEA2-DF971012CB2F}">
            <xm:f>LEN(TRIM('Concrete Plant (CP-1)'!#REF!))&gt;0</xm:f>
            <x14:dxf>
              <border>
                <left style="thin">
                  <color indexed="64"/>
                </left>
                <right style="thin">
                  <color indexed="64"/>
                </right>
                <top style="thin">
                  <color indexed="64"/>
                </top>
                <bottom style="thin">
                  <color indexed="64"/>
                </bottom>
              </border>
            </x14:dxf>
          </x14:cfRule>
          <xm:sqref>M50:N50</xm:sqref>
        </x14:conditionalFormatting>
        <x14:conditionalFormatting xmlns:xm="http://schemas.microsoft.com/office/excel/2006/main">
          <x14:cfRule type="notContainsBlanks" priority="6498" id="{69549BAB-FDDD-472F-8A33-2BAF3C6E1F71}">
            <xm:f>LEN(TRIM('Concrete Plant (CP-3)'!F24))&gt;0</xm:f>
            <x14:dxf>
              <fill>
                <patternFill>
                  <bgColor rgb="FFFFFF99"/>
                </patternFill>
              </fill>
              <border>
                <left style="thin">
                  <color auto="1"/>
                </left>
                <right style="thin">
                  <color auto="1"/>
                </right>
                <top style="thin">
                  <color auto="1"/>
                </top>
                <bottom style="thin">
                  <color auto="1"/>
                </bottom>
                <vertical/>
                <horizontal/>
              </border>
            </x14:dxf>
          </x14:cfRule>
          <xm:sqref>F121 F41 F24 F57 F73 F89 F105 F137</xm:sqref>
        </x14:conditionalFormatting>
        <x14:conditionalFormatting xmlns:xm="http://schemas.microsoft.com/office/excel/2006/main">
          <x14:cfRule type="notContainsBlanks" priority="7433" stopIfTrue="1" id="{AD48225F-EB6B-4DB7-AEA2-DF971012CB2F}">
            <xm:f>LEN(TRIM('Concrete Plant (CP-1)'!M160))&gt;0</xm:f>
            <x14:dxf>
              <border>
                <left style="thin">
                  <color indexed="64"/>
                </left>
                <right style="thin">
                  <color indexed="64"/>
                </right>
                <top style="thin">
                  <color indexed="64"/>
                </top>
                <bottom style="thin">
                  <color indexed="64"/>
                </bottom>
              </border>
            </x14:dxf>
          </x14:cfRule>
          <xm:sqref>M163:N163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W181"/>
  <sheetViews>
    <sheetView topLeftCell="B1" workbookViewId="0">
      <selection activeCell="B1" sqref="B1"/>
    </sheetView>
  </sheetViews>
  <sheetFormatPr defaultColWidth="8.85546875" defaultRowHeight="14.25" customHeight="1" x14ac:dyDescent="0.2"/>
  <cols>
    <col min="1" max="1" width="7.85546875" style="67" hidden="1" customWidth="1"/>
    <col min="2" max="2" width="31.85546875" style="67" customWidth="1"/>
    <col min="3" max="3" width="9.42578125" style="67" customWidth="1"/>
    <col min="4" max="4" width="11.28515625" style="67" customWidth="1"/>
    <col min="5" max="5" width="9.42578125" style="67" customWidth="1"/>
    <col min="6" max="6" width="11" style="67" customWidth="1"/>
    <col min="7" max="7" width="2.85546875" style="67" customWidth="1"/>
    <col min="8" max="8" width="13.85546875" style="67" customWidth="1"/>
    <col min="9" max="9" width="14" style="67" customWidth="1"/>
    <col min="10" max="10" width="31.140625" style="67" customWidth="1"/>
    <col min="11" max="11" width="37.42578125" style="67" customWidth="1"/>
    <col min="12" max="12" width="27.42578125" style="67" customWidth="1"/>
    <col min="13" max="13" width="6.28515625" style="177" hidden="1" customWidth="1"/>
    <col min="14" max="14" width="7.42578125" style="177" hidden="1" customWidth="1"/>
    <col min="15" max="15" width="7" style="67" customWidth="1"/>
    <col min="16" max="16" width="31.28515625" style="67" customWidth="1"/>
    <col min="17" max="17" width="18.140625" style="67" customWidth="1"/>
    <col min="18" max="18" width="17" style="67" customWidth="1"/>
    <col min="19" max="19" width="18" style="67" hidden="1" customWidth="1"/>
    <col min="20" max="21" width="16.42578125" style="67" hidden="1" customWidth="1"/>
    <col min="22" max="22" width="16.28515625" style="67" customWidth="1"/>
    <col min="23" max="23" width="0" style="67" hidden="1" customWidth="1"/>
    <col min="24" max="16384" width="8.85546875" style="67"/>
  </cols>
  <sheetData>
    <row r="1" spans="2:21" ht="14.25" customHeight="1" x14ac:dyDescent="0.2">
      <c r="B1" s="322" t="s">
        <v>216</v>
      </c>
      <c r="C1" s="322"/>
      <c r="D1" s="313"/>
      <c r="E1" s="313"/>
      <c r="F1" s="169"/>
    </row>
    <row r="2" spans="2:21" ht="14.25" customHeight="1" x14ac:dyDescent="0.25">
      <c r="B2" s="325" t="s">
        <v>37</v>
      </c>
      <c r="C2" s="326"/>
      <c r="D2" s="326"/>
      <c r="E2" s="326"/>
      <c r="F2" s="178"/>
      <c r="J2" s="31"/>
      <c r="L2" s="323" t="s">
        <v>144</v>
      </c>
      <c r="M2" s="216"/>
      <c r="N2" s="216"/>
      <c r="P2" s="68" t="s">
        <v>253</v>
      </c>
      <c r="Q2" s="68"/>
      <c r="R2" s="68"/>
      <c r="S2" s="68"/>
    </row>
    <row r="3" spans="2:21" ht="22.5" customHeight="1" x14ac:dyDescent="0.2">
      <c r="P3" s="317" t="s">
        <v>0</v>
      </c>
      <c r="Q3" s="309" t="s">
        <v>242</v>
      </c>
      <c r="R3" s="309" t="s">
        <v>243</v>
      </c>
    </row>
    <row r="4" spans="2:21" ht="14.25" customHeight="1" x14ac:dyDescent="0.2">
      <c r="B4" s="180" t="str">
        <f>"Number of Sites this Plant operated at in "&amp;'Facility Information'!G5&amp;":"</f>
        <v>Number of Sites this Plant operated at in :</v>
      </c>
      <c r="C4" s="181"/>
      <c r="D4" s="168"/>
      <c r="F4" s="173"/>
      <c r="I4" s="146"/>
      <c r="P4" s="90" t="s">
        <v>191</v>
      </c>
      <c r="Q4" s="110">
        <f ca="1">MAX((IFERROR(OFFSET($J$20,MATCH("Aggregate Delivery to Ground Storage",$J$21:$J$30,0),1),0)),((IFERROR((OFFSET($J$37,MATCH("Aggregate Delivery to Ground Storage",$J$38:$J$47,0),1)),0))),((IFERROR((OFFSET($J$52,MATCH("Aggregate Delivery to Ground Storage",$J$53:$J$62,0),1)),0))),((IFERROR((OFFSET($J$69,MATCH("Aggregate Delivery to Ground Storage",$J$70:$J$79,0),1)),0))),((IFERROR((OFFSET($J$85,MATCH("Aggregate Delivery to Ground Storage",$J$86:$J$95,0),1)),0))),((IFERROR((OFFSET($J$101,MATCH("Aggregate Delivery to Ground Storage",$J$102:$J$111,0),1)),0))),((IFERROR((OFFSET($J$117,MATCH("Aggregate Delivery to Ground Storage",$J$118:$J$127,0),1)),0))),((IFERROR((OFFSET($J$133,MATCH("Aggregate Delivery to Ground Storage",$J$134:$J$143,0),1)),0))),((IFERROR((OFFSET($J$149,MATCH("Aggregate Delivery to Ground Storage",$J$150:$J$159,0),1)),0))),((IFERROR((OFFSET($J$165,MATCH("Aggregate Delivery to Ground Storage",$J$166:$J$175,0),1)),0))),)</f>
        <v>0</v>
      </c>
      <c r="R4" s="110">
        <f ca="1">SUM((IFERROR(OFFSET($J$20,MATCH("Aggregate Delivery to Ground Storage",$J$21:$J$30,0),2),0)),((IFERROR((OFFSET($J$37,MATCH("Aggregate Delivery to Ground Storage",$J$38:$J$47,0),2)),0))),((IFERROR((OFFSET($J$52,MATCH("Aggregate Delivery to Ground Storage",$J$53:$J$62,0),2)),0))),((IFERROR((OFFSET($J$69,MATCH("Aggregate Delivery to Ground Storage",$J$70:$J$79,0),2)),0))),((IFERROR((OFFSET($J$85,MATCH("Aggregate Delivery to Ground Storage",$J$86:$J$95,0),2)),0))),((IFERROR((OFFSET($J$101,MATCH("Aggregate Delivery to Ground Storage",$J$102:$J$111,0),2)),0))),((IFERROR((OFFSET($J$117,MATCH("Aggregate Delivery to Ground Storage",$J$118:$J$127,0),2)),0))),((IFERROR((OFFSET($J$133,MATCH("Aggregate Delivery to Ground Storage",$J$134:$J$143,0),2)),0))),((IFERROR((OFFSET($J$149,MATCH("Aggregate Delivery to Ground Storage",$J$150:$J$159,0),2)),0))),((IFERROR((OFFSET($J$165,MATCH("Aggregate Delivery to Ground Storage",$J$166:$J$175,0),2)),0))),)</f>
        <v>0</v>
      </c>
      <c r="S4" s="386" t="s">
        <v>252</v>
      </c>
      <c r="T4" s="386"/>
      <c r="U4" s="386"/>
    </row>
    <row r="5" spans="2:21" ht="14.25" customHeight="1" x14ac:dyDescent="0.2">
      <c r="B5" s="83"/>
      <c r="C5" s="83"/>
      <c r="D5" s="83"/>
      <c r="E5" s="83"/>
      <c r="F5" s="83"/>
      <c r="G5" s="146"/>
      <c r="H5" s="146"/>
      <c r="I5" s="146"/>
      <c r="P5" s="90" t="s">
        <v>192</v>
      </c>
      <c r="Q5" s="110">
        <f ca="1">MAX((IFERROR(OFFSET($J$20,MATCH("Sand Delivery to Ground Storage",$J$21:$J$30,0),1),0)),((IFERROR((OFFSET($J$37,MATCH("Sand Delivery to Ground Storage",$J$38:$J$47,0),1)),0))),((IFERROR((OFFSET($J$52,MATCH("Sand Delivery to Ground Storage",$J$53:$J$62,0),1)),0))),((IFERROR((OFFSET($J$69,MATCH("Sand Delivery to Ground Storage",$J$70:$J$79,0),1)),0))),((IFERROR((OFFSET($J$85,MATCH("Sand Delivery to Ground Storage",$J$86:$J$95,0),1)),0))),((IFERROR((OFFSET($J$101,MATCH("Sand Delivery to Ground Storage",$J$102:$J$111,0),1)),0))),((IFERROR((OFFSET($J$117,MATCH("Sand Delivery to Ground Storage",$J$118:$J$127,0),1)),0))),((IFERROR((OFFSET($J$133,MATCH("Sand Delivery to Ground Storage",$J$134:$J$143,0),1)),0))),((IFERROR((OFFSET($J$149,MATCH("Sand Delivery to Ground Storage",$J$150:$J$159,0),1)),0))),((IFERROR((OFFSET($J$165,MATCH("Sand Delivery to Ground Storage",$J$166:$J$175,0),1)),0))),)</f>
        <v>0</v>
      </c>
      <c r="R5" s="110">
        <f ca="1">SUM((IFERROR(OFFSET($J$20,MATCH("Sand Delivery to Ground Storage",$J$21:$J$30,0),2),0)),((IFERROR((OFFSET($J$37,MATCH("Sand Delivery to Ground Storage",$J$38:$J$47,0),2)),0))),((IFERROR((OFFSET($J$52,MATCH("Sand Delivery to Ground Storage",$J$53:$J$62,0),2)),0))),((IFERROR((OFFSET($J$69,MATCH("Sand Delivery to Ground Storage",$J$70:$J$79,0),2)),0))),((IFERROR((OFFSET($J$85,MATCH("Sand Delivery to Ground Storage",$J$86:$J$95,0),2)),0))),((IFERROR((OFFSET($J$101,MATCH("Sand Delivery to Ground Storage",$J$102:$J$111,0),2)),0))),((IFERROR((OFFSET($J$117,MATCH("Sand Delivery to Ground Storage",$J$118:$J$127,0),2)),0))),((IFERROR((OFFSET($J$133,MATCH("Sand Delivery to Ground Storage",$J$134:$J$143,0),2)),0))),((IFERROR((OFFSET($J$149,MATCH("Sand Delivery to Ground Storage",$J$150:$J$159,0),2)),0))),((IFERROR((OFFSET($J$165,MATCH("Sand Delivery to Ground Storage",$J$166:$J$175,0),2)),0))),)</f>
        <v>0</v>
      </c>
      <c r="S5" s="386"/>
      <c r="T5" s="386"/>
      <c r="U5" s="386"/>
    </row>
    <row r="6" spans="2:21" ht="14.25" customHeight="1" x14ac:dyDescent="0.2">
      <c r="B6" s="327" t="s">
        <v>156</v>
      </c>
      <c r="C6" s="328"/>
      <c r="D6" s="338"/>
      <c r="E6" s="125"/>
      <c r="F6" s="125"/>
      <c r="G6" s="45"/>
      <c r="H6" s="45"/>
      <c r="I6" s="45"/>
      <c r="J6" s="45"/>
      <c r="K6" s="45"/>
      <c r="L6" s="45"/>
      <c r="M6" s="182"/>
      <c r="N6" s="182"/>
      <c r="P6" s="90" t="s">
        <v>193</v>
      </c>
      <c r="Q6" s="110">
        <f ca="1">MAX((IFERROR(OFFSET($J$20,MATCH("Aggregate Transfer to Conveyor",$J$21:$J$30,0),1),0)),((IFERROR((OFFSET($J$37,MATCH("Aggregate Transfer to Conveyor",$J$38:$J$47,0),1)),0))),((IFERROR((OFFSET($J$52,MATCH("Aggregate Transfer to Conveyor",$J$53:$J$62,0),1)),0))),((IFERROR((OFFSET($J$69,MATCH("Aggregate Transfer to Conveyor",$J$70:$J$79,0),1)),0))),((IFERROR((OFFSET($J$85,MATCH("Aggregate Transfer to Conveyor",$J$86:$J$95,0),1)),0))),((IFERROR((OFFSET($J$101,MATCH("Aggregate Transfer to Conveyor",$J$102:$J$111,0),1)),0))),((IFERROR((OFFSET($J$117,MATCH("Aggregate Transfer to Conveyor",$J$118:$J$127,0),1)),0))),((IFERROR((OFFSET($J$133,MATCH("Aggregate Transfer to Conveyor",$J$134:$J$143,0),1)),0))),((IFERROR((OFFSET($J$149,MATCH("Aggregate Transfer to Conveyor",$J$150:$J$159,0),1)),0))),((IFERROR((OFFSET($J$165,MATCH("Aggregate Transfer to Conveyor",$J$166:$J$175,0),1)),0))),)</f>
        <v>0</v>
      </c>
      <c r="R6" s="110">
        <f ca="1">SUM((IFERROR(OFFSET($J$20,MATCH("Aggregate Transfer to Conveyor",$J$21:$J$30,0),2),0)),((IFERROR((OFFSET($J$37,MATCH("Aggregate Transfer to Conveyor",$J$38:$J$47,0),2)),0))),((IFERROR((OFFSET($J$52,MATCH("Aggregate Transfer to Conveyor",$J$53:$J$62,0),2)),0))),((IFERROR((OFFSET($J$69,MATCH("Aggregate Transfer to Conveyor",$J$70:$J$79,0),2)),0))),((IFERROR((OFFSET($J$85,MATCH("Aggregate Transfer to Conveyor",$J$86:$J$95,0),2)),0))),((IFERROR((OFFSET($J$101,MATCH("Aggregate Transfer to Conveyor",$J$102:$J$111,0),2)),0))),((IFERROR((OFFSET($J$117,MATCH("Aggregate Transfer to Conveyor",$J$118:$J$127,0),2)),0))),((IFERROR((OFFSET($J$133,MATCH("Aggregate Transfer to Conveyor",$J$134:$J$143,0),2)),0))),((IFERROR((OFFSET($J$149,MATCH("Aggregate Transfer to Conveyor",$J$150:$J$159,0),2)),0))),((IFERROR((OFFSET($J$165,MATCH("Aggregate Transfer to Conveyor",$J$166:$J$175,0),2)),0))),)</f>
        <v>0</v>
      </c>
    </row>
    <row r="7" spans="2:21" ht="14.25" customHeight="1" x14ac:dyDescent="0.2">
      <c r="B7" s="52"/>
      <c r="C7" s="50"/>
      <c r="D7" s="50"/>
      <c r="E7" s="50"/>
      <c r="F7" s="50"/>
      <c r="G7" s="45"/>
      <c r="H7" s="45"/>
      <c r="I7" s="45"/>
      <c r="J7" s="45"/>
      <c r="K7" s="45"/>
      <c r="L7" s="45"/>
      <c r="M7" s="182"/>
      <c r="N7" s="182"/>
      <c r="P7" s="90" t="s">
        <v>194</v>
      </c>
      <c r="Q7" s="110">
        <f ca="1">MAX((IFERROR(OFFSET($J$20,MATCH("Sand Transfer to Conveyor",$J$21:$J$30,0),1),0)),((IFERROR((OFFSET($J$37,MATCH("Sand Transfer to Conveyor",$J$38:$J$47,0),1)),0))),((IFERROR((OFFSET($J$52,MATCH("Sand Transfer to Conveyor",$J$53:$J$62,0),1)),0))),((IFERROR((OFFSET($J$69,MATCH("Sand Transfer to Conveyor",$J$70:$J$79,0),1)),0))),((IFERROR((OFFSET($J$85,MATCH("Sand Transfer to Conveyor",$J$86:$J$95,0),1)),0))),((IFERROR((OFFSET($J$101,MATCH("Sand Transfer to Conveyor",$J$102:$J$111,0),1)),0))),((IFERROR((OFFSET($J$117,MATCH("Sand Transfer to Conveyor",$J$118:$J$127,0),1)),0))),((IFERROR((OFFSET($J$133,MATCH("Sand Transfer to Conveyor",$J$134:$J$143,0),1)),0))),((IFERROR((OFFSET($J$149,MATCH("Sand Transfer to Conveyor",$J$150:$J$159,0),1)),0))),((IFERROR((OFFSET($J$165,MATCH("Sand Transfer to Conveyor",$J$166:$J$175,0),1)),0))),)</f>
        <v>0</v>
      </c>
      <c r="R7" s="110">
        <f ca="1">SUM((IFERROR(OFFSET($J$20,MATCH("Sand Transfer to Conveyor",$J$21:$J$30,0),2),0)),((IFERROR((OFFSET($J$37,MATCH("Sand Transfer to Conveyor",$J$38:$J$47,0),2)),0))),((IFERROR((OFFSET($J$52,MATCH("Sand Transfer to Conveyor",$J$53:$J$62,0),2)),0))),((IFERROR((OFFSET($J$69,MATCH("Sand Transfer to Conveyor",$J$70:$J$79,0),2)),0))),((IFERROR((OFFSET($J$85,MATCH("Sand Transfer to Conveyor",$J$86:$J$95,0),2)),0))),((IFERROR((OFFSET($J$101,MATCH("Sand Transfer to Conveyor",$J$102:$J$111,0),2)),0))),((IFERROR((OFFSET($J$117,MATCH("Sand Transfer to Conveyor",$J$118:$J$127,0),2)),0))),((IFERROR((OFFSET($J$133,MATCH("Sand Transfer to Conveyor",$J$134:$J$143,0),2)),0))),((IFERROR((OFFSET($J$149,MATCH("Sand Transfer to Conveyor",$J$150:$J$159,0),2)),0))),((IFERROR((OFFSET($J$165,MATCH("Sand Transfer to Conveyor",$J$166:$J$175,0),2)),0))),)</f>
        <v>0</v>
      </c>
    </row>
    <row r="8" spans="2:21" ht="14.25" customHeight="1" x14ac:dyDescent="0.2">
      <c r="B8" s="52" t="s">
        <v>149</v>
      </c>
      <c r="C8" s="45"/>
      <c r="D8" s="45"/>
      <c r="E8" s="45"/>
      <c r="F8" s="45"/>
      <c r="G8" s="50"/>
      <c r="H8" s="56" t="s">
        <v>150</v>
      </c>
      <c r="I8" s="56"/>
      <c r="J8" s="50"/>
      <c r="K8" s="50"/>
      <c r="P8" s="90" t="s">
        <v>195</v>
      </c>
      <c r="Q8" s="110">
        <f ca="1">MAX((IFERROR(OFFSET($J$20,MATCH("Aggregate Transfer to Elevated Storage",$J$21:$J$30,0),1),0)),((IFERROR((OFFSET($J$37,MATCH("Aggregate Transfer to Elevated Storage",$J$38:$J$47,0),1)),0))),((IFERROR((OFFSET($J$52,MATCH("Aggregate Transfer to Elevated Storage",$J$53:$J$62,0),1)),0))),((IFERROR((OFFSET($J$69,MATCH("Aggregate Transfer to Elevated Storage",$J$70:$J$79,0),1)),0))),((IFERROR((OFFSET($J$85,MATCH("Aggregate Transfer to Elevated Storage",$J$86:$J$95,0),1)),0))),((IFERROR((OFFSET($J$101,MATCH("Aggregate Transfer to Elevated Storage",$J$102:$J$111,0),1)),0))),((IFERROR((OFFSET($J$117,MATCH("Aggregate Transfer to Elevated Storage",$J$118:$J$127,0),1)),0))),((IFERROR((OFFSET($J$133,MATCH("Aggregate Transfer to Elevated Storage",$J$134:$J$143,0),1)),0))),((IFERROR((OFFSET($J$149,MATCH("Aggregate Transfer to Elevated Storage",$J$150:$J$159,0),1)),0))),((IFERROR((OFFSET($J$165,MATCH("Aggregate Transfer to Elevated Storage",$J$166:$J$175,0),1)),0))),)</f>
        <v>0</v>
      </c>
      <c r="R8" s="110">
        <f ca="1">SUM((IFERROR(OFFSET($J$20,MATCH("Aggregate Transfer to Elevated Storage",$J$21:$J$30,0),2),0)),((IFERROR((OFFSET($J$37,MATCH("Aggregate Transfer to Elevated Storage",$J$38:$J$47,0),2)),0))),((IFERROR((OFFSET($J$52,MATCH("Aggregate Transfer to Elevated Storage",$J$53:$J$62,0),2)),0))),((IFERROR((OFFSET($J$69,MATCH("Aggregate Transfer to Elevated Storage",$J$70:$J$79,0),2)),0))),((IFERROR((OFFSET($J$85,MATCH("Aggregate Transfer to Elevated Storage",$J$86:$J$95,0),2)),0))),((IFERROR((OFFSET($J$101,MATCH("Aggregate Transfer to Elevated Storage",$J$102:$J$111,0),2)),0))),((IFERROR((OFFSET($J$117,MATCH("Aggregate Transfer to Elevated Storage",$J$118:$J$127,0),2)),0))),((IFERROR((OFFSET($J$133,MATCH("Aggregate Transfer to Elevated Storage",$J$134:$J$143,0),2)),0))),((IFERROR((OFFSET($J$149,MATCH("Aggregate Transfer to Elevated Storage",$J$150:$J$159,0),2)),0))),((IFERROR((OFFSET($J$165,MATCH("Aggregate Transfer to Elevated Storage",$J$166:$J$175,0),2)),0))),)</f>
        <v>0</v>
      </c>
    </row>
    <row r="9" spans="2:21" ht="14.25" customHeight="1" x14ac:dyDescent="0.2">
      <c r="B9" s="389" t="s">
        <v>204</v>
      </c>
      <c r="C9" s="390"/>
      <c r="D9" s="402"/>
      <c r="E9" s="362"/>
      <c r="F9" s="174"/>
      <c r="H9" s="57" t="s">
        <v>141</v>
      </c>
      <c r="I9" s="60" t="s">
        <v>139</v>
      </c>
      <c r="J9" s="60" t="s">
        <v>140</v>
      </c>
      <c r="P9" s="90" t="s">
        <v>196</v>
      </c>
      <c r="Q9" s="110">
        <f ca="1">MAX((IFERROR(OFFSET($J$20,MATCH("Sand Transfer to Elevated Storage",$J$21:$J$30,0),1),0)),((IFERROR((OFFSET($J$37,MATCH("Sand Transfer to Elevated Storage",$J$38:$J$47,0),1)),0))),((IFERROR((OFFSET($J$52,MATCH("Sand Transfer to Elevated Storage",$J$53:$J$62,0),1)),0))),((IFERROR((OFFSET($J$69,MATCH("Sand Transfer to Elevated Storage",$J$70:$J$79,0),1)),0))),((IFERROR((OFFSET($J$85,MATCH("Sand Transfer to Elevated Storage",$J$86:$J$95,0),1)),0))),((IFERROR((OFFSET($J$101,MATCH("Sand Transfer to Elevated Storage",$J$102:$J$111,0),1)),0))),((IFERROR((OFFSET($J$117,MATCH("Sand Transfer to Elevated Storage",$J$118:$J$127,0),1)),0))),((IFERROR((OFFSET($J$133,MATCH("Sand Transfer to Elevated Storage",$J$134:$J$143,0),1)),0))),((IFERROR((OFFSET($J$149,MATCH("Sand Transfer to Elevated Storage",$J$150:$J$159,0),1)),0))),((IFERROR((OFFSET($J$165,MATCH("Sand Transfer to Elevated Storage",$J$166:$J$175,0),1)),0))),)</f>
        <v>0</v>
      </c>
      <c r="R9" s="110">
        <f ca="1">SUM((IFERROR(OFFSET($J$20,MATCH("Sand Transfer to Elevated Storage",$J$21:$J$30,0),2),0)),((IFERROR((OFFSET($J$37,MATCH("Sand Transfer to Elevated Storage",$J$38:$J$47,0),2)),0))),((IFERROR((OFFSET($J$52,MATCH("Sand Transfer to Elevated Storage",$J$53:$J$62,0),2)),0))),((IFERROR((OFFSET($J$69,MATCH("Sand Transfer to Elevated Storage",$J$70:$J$79,0),2)),0))),((IFERROR((OFFSET($J$85,MATCH("Sand Transfer to Elevated Storage",$J$86:$J$95,0),2)),0))),((IFERROR((OFFSET($J$101,MATCH("Sand Transfer to Elevated Storage",$J$102:$J$111,0),2)),0))),((IFERROR((OFFSET($J$117,MATCH("Sand Transfer to Elevated Storage",$J$118:$J$127,0),2)),0))),((IFERROR((OFFSET($J$133,MATCH("Sand Transfer to Elevated Storage",$J$134:$J$143,0),2)),0))),((IFERROR((OFFSET($J$149,MATCH("Sand Transfer to Elevated Storage",$J$150:$J$159,0),2)),0))),((IFERROR((OFFSET($J$165,MATCH("Sand Transfer to Elevated Storage",$J$166:$J$175,0),2)),0))),)</f>
        <v>0</v>
      </c>
    </row>
    <row r="10" spans="2:21" ht="14.25" customHeight="1" x14ac:dyDescent="0.2">
      <c r="B10" s="335" t="s">
        <v>205</v>
      </c>
      <c r="C10" s="393"/>
      <c r="D10" s="400"/>
      <c r="E10" s="337"/>
      <c r="F10" s="174"/>
      <c r="H10" s="59" t="s">
        <v>110</v>
      </c>
      <c r="I10" s="144"/>
      <c r="J10" s="144"/>
      <c r="P10" s="90" t="s">
        <v>203</v>
      </c>
      <c r="Q10" s="110">
        <f ca="1">MAX((IFERROR(OFFSET($J$20,MATCH("Weigh Hopper Loading",$J$21:$J$30,0),1),0)),((IFERROR((OFFSET($J$37,MATCH("Weigh Hopper Loading",$J$38:$J$47,0),1)),0))),((IFERROR((OFFSET($J$52,MATCH("Weigh Hopper Loading",$J$53:$J$62,0),1)),0))),((IFERROR((OFFSET($J$69,MATCH("Weigh Hopper Loading",$J$70:$J$79,0),1)),0))),((IFERROR((OFFSET($J$85,MATCH("Weigh Hopper Loading",$J$86:$J$95,0),1)),0))),((IFERROR((OFFSET($J$101,MATCH("Weigh Hopper Loading",$J$102:$J$111,0),1)),0))),((IFERROR((OFFSET($J$117,MATCH("Weigh Hopper Loading",$J$118:$J$127,0),1)),0))),((IFERROR((OFFSET($J$133,MATCH("Weigh Hopper Loading",$J$134:$J$143,0),1)),0))),((IFERROR((OFFSET($J$149,MATCH("Weigh Hopper Loading",$J$150:$J$159,0),1)),0))),((IFERROR((OFFSET($J$165,MATCH("Weigh Hopper Loading",$J$166:$J$175,0),1)),0))),)</f>
        <v>0</v>
      </c>
      <c r="R10" s="110">
        <f ca="1">SUM((IFERROR(OFFSET($J$20,MATCH("Weigh Hopper Loading",$J$21:$J$30,0),2),0)),((IFERROR((OFFSET($J$37,MATCH("Weigh Hopper Loading",$J$38:$J$47,0),2)),0))),((IFERROR((OFFSET($J$52,MATCH("Weigh Hopper Loading",$J$53:$J$62,0),2)),0))),((IFERROR((OFFSET($J$69,MATCH("Weigh Hopper Loading",$J$70:$J$79,0),2)),0))),((IFERROR((OFFSET($J$85,MATCH("Weigh Hopper Loading",$J$86:$J$95,0),2)),0))),((IFERROR((OFFSET($J$101,MATCH("Weigh Hopper Loading",$J$102:$J$111,0),2)),0))),((IFERROR((OFFSET($J$117,MATCH("Weigh Hopper Loading",$J$118:$J$127,0),2)),0))),((IFERROR((OFFSET($J$133,MATCH("Weigh Hopper Loading",$J$134:$J$143,0),2)),0))),((IFERROR((OFFSET($J$149,MATCH("Weigh Hopper Loading",$J$150:$J$159,0),2)),0))),((IFERROR((OFFSET($J$165,MATCH("Weigh Hopper Loading",$J$166:$J$175,0),2)),0))),)</f>
        <v>0</v>
      </c>
    </row>
    <row r="11" spans="2:21" ht="14.25" customHeight="1" x14ac:dyDescent="0.2">
      <c r="B11" s="391" t="s">
        <v>146</v>
      </c>
      <c r="C11" s="392"/>
      <c r="D11" s="403"/>
      <c r="E11" s="363"/>
      <c r="F11" s="174"/>
      <c r="H11" s="58" t="s">
        <v>17</v>
      </c>
      <c r="I11" s="144"/>
      <c r="J11" s="144"/>
      <c r="P11" s="90" t="s">
        <v>197</v>
      </c>
      <c r="Q11" s="110">
        <f ca="1">MAX((IFERROR(OFFSET($J$20,MATCH("Central Mix Loading",$J$21:$J$30,0),1),0)),((IFERROR((OFFSET($J$37,MATCH("Central Mix Loading",$J$38:$J$47,0),1)),0))),((IFERROR((OFFSET($J$52,MATCH("Central Mix Loading",$J$53:$J$62,0),1)),0))),((IFERROR((OFFSET($J$69,MATCH("Central Mix Loading",$J$70:$J$79,0),1)),0))),((IFERROR((OFFSET($J$85,MATCH("Central Mix Loading",$J$86:$J$95,0),1)),0))),((IFERROR((OFFSET($J$101,MATCH("Central Mix Loading",$J$102:$J$111,0),1)),0))),((IFERROR((OFFSET($J$117,MATCH("Central Mix Loading",$J$118:$J$127,0),1)),0))),((IFERROR((OFFSET($J$133,MATCH("Central Mix Loading",$J$134:$J$143,0),1)),0))),((IFERROR((OFFSET($J$149,MATCH("Central Mix Loading",$J$150:$J$159,0),1)),0))),((IFERROR((OFFSET($J$165,MATCH("Central Mix Loading",$J$166:$J$175,0),1)),0))),)</f>
        <v>0</v>
      </c>
      <c r="R11" s="110">
        <f ca="1">SUM((IFERROR(OFFSET($J$20,MATCH("Central Mix Loading",$J$21:$J$30,0),2),0)),((IFERROR((OFFSET($J$37,MATCH("Central Mix Loading",$J$38:$J$47,0),2)),0))),((IFERROR((OFFSET($J$52,MATCH("Central Mix Loading",$J$53:$J$62,0),2)),0))),((IFERROR((OFFSET($J$69,MATCH("Central Mix Loading",$J$70:$J$79,0),2)),0))),((IFERROR((OFFSET($J$85,MATCH("Central Mix Loading",$J$86:$J$95,0),2)),0))),((IFERROR((OFFSET($J$101,MATCH("Central Mix Loading",$J$102:$J$111,0),2)),0))),((IFERROR((OFFSET($J$117,MATCH("Central Mix Loading",$J$118:$J$127,0),2)),0))),((IFERROR((OFFSET($J$133,MATCH("Central Mix Loading",$J$134:$J$143,0),2)),0))),((IFERROR((OFFSET($J$149,MATCH("Central Mix Loading",$J$150:$J$159,0),2)),0))),((IFERROR((OFFSET($J$165,MATCH("Central Mix Loading",$J$166:$J$175,0),2)),0))),)</f>
        <v>0</v>
      </c>
    </row>
    <row r="12" spans="2:21" ht="14.25" customHeight="1" x14ac:dyDescent="0.25">
      <c r="B12" s="320" t="s">
        <v>269</v>
      </c>
      <c r="C12" s="319"/>
      <c r="D12" s="319"/>
      <c r="E12" s="319"/>
      <c r="F12" s="187"/>
      <c r="G12" s="30"/>
      <c r="H12" s="58" t="s">
        <v>3</v>
      </c>
      <c r="I12" s="144"/>
      <c r="J12" s="144"/>
      <c r="P12" s="90" t="s">
        <v>198</v>
      </c>
      <c r="Q12" s="110">
        <f ca="1">MAX((IFERROR(OFFSET($J$20,MATCH("Truck Mix Loading",$J$21:$J$30,0),1),0)),((IFERROR((OFFSET($J$37,MATCH("Truck Mix Loading",$J$38:$J$47,0),1)),0))),((IFERROR((OFFSET($J$52,MATCH("Truck Mix Loading",$J$53:$J$62,0),1)),0))),((IFERROR((OFFSET($J$69,MATCH("Truck Mix Loading",$J$70:$J$79,0),1)),0))),((IFERROR((OFFSET($J$85,MATCH("Truck Mix Loading",$J$86:$J$95,0),1)),0))),((IFERROR((OFFSET($J$101,MATCH("Truck Mix Loading",$J$102:$J$111,0),1)),0))),((IFERROR((OFFSET($J$117,MATCH("Truck Mix Loading",$J$118:$J$127,0),1)),0))),((IFERROR((OFFSET($J$133,MATCH("Truck Mix Loading",$J$134:$J$143,0),1)),0))),((IFERROR((OFFSET($J$149,MATCH("Truck Mix Loading",$J$150:$J$159,0),1)),0))),((IFERROR((OFFSET($J$165,MATCH("Truck Mix Loading",$J$166:$J$175,0),1)),0))),)</f>
        <v>0</v>
      </c>
      <c r="R12" s="110">
        <f ca="1">SUM((IFERROR(OFFSET($J$20,MATCH("Truck Mix Loading",$J$21:$J$30,0),2),0)),((IFERROR((OFFSET($J$37,MATCH("Truck Mix Loading",$J$38:$J$47,0),2)),0))),((IFERROR((OFFSET($J$52,MATCH("Truck Mix Loading",$J$53:$J$62,0),2)),0))),((IFERROR((OFFSET($J$69,MATCH("Truck Mix Loading",$J$70:$J$79,0),2)),0))),((IFERROR((OFFSET($J$85,MATCH("Truck Mix Loading",$J$86:$J$95,0),2)),0))),((IFERROR((OFFSET($J$101,MATCH("Truck Mix Loading",$J$102:$J$111,0),2)),0))),((IFERROR((OFFSET($J$117,MATCH("Truck Mix Loading",$J$118:$J$127,0),2)),0))),((IFERROR((OFFSET($J$133,MATCH("Truck Mix Loading",$J$134:$J$143,0),2)),0))),((IFERROR((OFFSET($J$149,MATCH("Truck Mix Loading",$J$150:$J$159,0),2)),0))),((IFERROR((OFFSET($J$165,MATCH("Truck Mix Loading",$J$166:$J$175,0),2)),0))),)</f>
        <v>0</v>
      </c>
    </row>
    <row r="13" spans="2:21" ht="14.25" customHeight="1" x14ac:dyDescent="0.25">
      <c r="B13" s="320" t="s">
        <v>271</v>
      </c>
      <c r="C13" s="319"/>
      <c r="D13" s="319"/>
      <c r="E13" s="319"/>
      <c r="F13" s="187"/>
      <c r="G13" s="30"/>
      <c r="H13" s="58" t="s">
        <v>27</v>
      </c>
      <c r="I13" s="144"/>
      <c r="J13" s="144"/>
      <c r="P13" s="90" t="s">
        <v>199</v>
      </c>
      <c r="Q13" s="110">
        <f ca="1">MAX((IFERROR(OFFSET($J$20,MATCH("Cement Delivery to Silo",$J$21:$J$30,0),1),0)),((IFERROR((OFFSET($J$37,MATCH("Cement Delivery to Silo",$J$38:$J$47,0),1)),0))),((IFERROR((OFFSET($J$52,MATCH("Cement Delivery to Silo",$J$53:$J$62,0),1)),0))),((IFERROR((OFFSET($J$69,MATCH("Cement Delivery to Silo",$J$70:$J$79,0),1)),0))),((IFERROR((OFFSET($J$85,MATCH("Cement Delivery to Silo",$J$86:$J$95,0),1)),0))),((IFERROR((OFFSET($J$101,MATCH("Cement Delivery to Silo",$J$102:$J$111,0),1)),0))),((IFERROR((OFFSET($J$117,MATCH("Cement Delivery to Silo",$J$118:$J$127,0),1)),0))),((IFERROR((OFFSET($J$133,MATCH("Cement Delivery to Silo",$J$134:$J$143,0),1)),0))),((IFERROR((OFFSET($J$149,MATCH("Cement Delivery to Silo",$J$150:$J$159,0),1)),0))),((IFERROR((OFFSET($J$165,MATCH("Cement Delivery to Silo",$J$166:$J$175,0),1)),0))),)</f>
        <v>0</v>
      </c>
      <c r="R13" s="110">
        <f ca="1">SUM((IFERROR(OFFSET($J$20,MATCH("Cement Delivery to Silo",$J$21:$J$30,0),2),0)),((IFERROR((OFFSET($J$37,MATCH("Cement Delivery to Silo",$J$38:$J$47,0),2)),0))),((IFERROR((OFFSET($J$52,MATCH("Cement Delivery to Silo",$J$53:$J$62,0),2)),0))),((IFERROR((OFFSET($J$69,MATCH("Cement Delivery to Silo",$J$70:$J$79,0),2)),0))),((IFERROR((OFFSET($J$85,MATCH("Cement Delivery to Silo",$J$86:$J$95,0),2)),0))),((IFERROR((OFFSET($J$101,MATCH("Cement Delivery to Silo",$J$102:$J$111,0),2)),0))),((IFERROR((OFFSET($J$117,MATCH("Cement Delivery to Silo",$J$118:$J$127,0),2)),0))),((IFERROR((OFFSET($J$133,MATCH("Cement Delivery to Silo",$J$134:$J$143,0),2)),0))),((IFERROR((OFFSET($J$149,MATCH("Cement Delivery to Silo",$J$150:$J$159,0),2)),0))),((IFERROR((OFFSET($J$165,MATCH("Cement Delivery to Silo",$J$166:$J$175,0),2)),0))),)</f>
        <v>0</v>
      </c>
    </row>
    <row r="14" spans="2:21" ht="14.25" customHeight="1" x14ac:dyDescent="0.25">
      <c r="B14" s="324" t="s">
        <v>270</v>
      </c>
      <c r="C14" s="319"/>
      <c r="D14" s="319"/>
      <c r="E14" s="319"/>
      <c r="F14" s="187"/>
      <c r="G14" s="30"/>
      <c r="H14" s="58" t="s">
        <v>5</v>
      </c>
      <c r="I14" s="144"/>
      <c r="J14" s="144"/>
      <c r="P14" s="90" t="s">
        <v>200</v>
      </c>
      <c r="Q14" s="110">
        <f ca="1">MAX((IFERROR(OFFSET($J$20,MATCH("Cement Supplement Delivery to Silo",$J$21:$J$30,0),1),0)),((IFERROR((OFFSET($J$37,MATCH("Cement Supplement Delivery to Silo",$J$38:$J$47,0),1)),0))),((IFERROR((OFFSET($J$52,MATCH("Cement Supplement Delivery to Silo",$J$53:$J$62,0),1)),0))),((IFERROR((OFFSET($J$69,MATCH("Cement Supplement Delivery to Silo",$J$70:$J$79,0),1)),0))),((IFERROR((OFFSET($J$85,MATCH("Cement Supplement Delivery to Silo",$J$86:$J$95,0),1)),0))),((IFERROR((OFFSET($J$101,MATCH("Cement Supplement Delivery to Silo",$J$102:$J$111,0),1)),0))),((IFERROR((OFFSET($J$117,MATCH("Cement Supplement Delivery to Silo",$J$118:$J$127,0),1)),0))),((IFERROR((OFFSET($J$133,MATCH("Cement Supplement Delivery to Silo",$J$134:$J$143,0),1)),0))),((IFERROR((OFFSET($J$149,MATCH("Cement Supplement Delivery to Silo",$J$150:$J$159,0),1)),0))),((IFERROR((OFFSET($J$165,MATCH("Cement Supplement Delivery to Silo",$J$166:$J$175,0),1)),0))),)</f>
        <v>0</v>
      </c>
      <c r="R14" s="110">
        <f ca="1">SUM((IFERROR(OFFSET($J$20,MATCH("Cement Supplement Delivery to Silo",$J$21:$J$30,0),2),0)),((IFERROR((OFFSET($J$37,MATCH("Cement Supplement Delivery to Silo",$J$38:$J$47,0),2)),0))),((IFERROR((OFFSET($J$52,MATCH("Cement Supplement Delivery to Silo",$J$53:$J$62,0),2)),0))),((IFERROR((OFFSET($J$69,MATCH("Cement Supplement Delivery to Silo",$J$70:$J$79,0),2)),0))),((IFERROR((OFFSET($J$85,MATCH("Cement Supplement Delivery to Silo",$J$86:$J$95,0),2)),0))),((IFERROR((OFFSET($J$101,MATCH("Cement Supplement Delivery to Silo",$J$102:$J$111,0),2)),0))),((IFERROR((OFFSET($J$117,MATCH("Cement Supplement Delivery to Silo",$J$118:$J$127,0),2)),0))),((IFERROR((OFFSET($J$133,MATCH("Cement Supplement Delivery to Silo",$J$134:$J$143,0),2)),0))),((IFERROR((OFFSET($J$149,MATCH("Cement Supplement Delivery to Silo",$J$150:$J$159,0),2)),0))),((IFERROR((OFFSET($J$165,MATCH("Cement Supplement Delivery to Silo",$J$166:$J$175,0),2)),0))),)</f>
        <v>0</v>
      </c>
    </row>
    <row r="15" spans="2:21" ht="14.25" customHeight="1" x14ac:dyDescent="0.25">
      <c r="B15" s="12"/>
      <c r="C15" s="12"/>
      <c r="D15" s="12"/>
      <c r="E15" s="12"/>
      <c r="F15" s="12"/>
      <c r="G15" s="12"/>
      <c r="H15" s="58" t="s">
        <v>6</v>
      </c>
      <c r="I15" s="144"/>
      <c r="J15" s="144"/>
    </row>
    <row r="16" spans="2:21" ht="12" customHeight="1" thickBot="1" x14ac:dyDescent="0.3">
      <c r="B16" s="85"/>
      <c r="C16" s="85"/>
      <c r="D16" s="85"/>
      <c r="E16" s="85"/>
      <c r="F16" s="85"/>
      <c r="G16" s="85"/>
      <c r="H16" s="86"/>
      <c r="I16" s="86"/>
      <c r="J16" s="124"/>
      <c r="K16" s="124"/>
      <c r="L16" s="87"/>
      <c r="M16" s="71"/>
      <c r="N16" s="71"/>
      <c r="P16" s="68"/>
      <c r="Q16" s="188" t="s">
        <v>155</v>
      </c>
      <c r="R16" s="189" t="s">
        <v>154</v>
      </c>
      <c r="S16" s="88"/>
    </row>
    <row r="17" spans="1:23" ht="14.25" customHeight="1" x14ac:dyDescent="0.25">
      <c r="B17" s="12"/>
      <c r="C17" s="12"/>
      <c r="D17" s="12"/>
      <c r="E17" s="12"/>
      <c r="F17" s="12"/>
      <c r="G17" s="12"/>
      <c r="H17" s="84"/>
      <c r="I17" s="84"/>
      <c r="J17" s="50"/>
      <c r="K17" s="50"/>
      <c r="P17" s="90" t="s">
        <v>40</v>
      </c>
      <c r="Q17" s="143">
        <f>SUM(J34,J50,J66,J83,J99,J115,J131,J147,J163,J179)</f>
        <v>0</v>
      </c>
      <c r="R17" s="143">
        <f>SUM(K34*L34,K50*L50,K66*L66,K83*L83,K99*L99,K115*L115,K131*L131,K147*L147,K163*L163,K179*L179)</f>
        <v>0</v>
      </c>
      <c r="S17" s="68"/>
    </row>
    <row r="18" spans="1:23" ht="8.25" customHeight="1" x14ac:dyDescent="0.2">
      <c r="A18" s="71"/>
      <c r="B18" s="345"/>
      <c r="C18" s="50"/>
      <c r="D18" s="50"/>
      <c r="E18" s="50"/>
      <c r="F18" s="50"/>
    </row>
    <row r="19" spans="1:23" ht="15" customHeight="1" x14ac:dyDescent="0.2">
      <c r="D19" s="71"/>
      <c r="E19" s="71"/>
      <c r="F19" s="71"/>
      <c r="M19" s="217"/>
      <c r="N19" s="217"/>
      <c r="P19" s="45" t="s">
        <v>254</v>
      </c>
    </row>
    <row r="20" spans="1:23" ht="27" customHeight="1" x14ac:dyDescent="0.25">
      <c r="B20" s="69" t="s">
        <v>201</v>
      </c>
      <c r="C20" s="70" t="s">
        <v>145</v>
      </c>
      <c r="G20" s="45"/>
      <c r="H20" s="310" t="s">
        <v>1</v>
      </c>
      <c r="I20" s="310" t="s">
        <v>181</v>
      </c>
      <c r="J20" s="310" t="s">
        <v>142</v>
      </c>
      <c r="K20" s="311" t="s">
        <v>241</v>
      </c>
      <c r="L20" s="310" t="str">
        <f>('Facility Information'!G5&amp;" Annual Throughput (cubic yards)")</f>
        <v xml:space="preserve"> Annual Throughput (cubic yards)</v>
      </c>
      <c r="M20" s="218" t="s">
        <v>250</v>
      </c>
      <c r="N20" s="218" t="s">
        <v>251</v>
      </c>
      <c r="P20" s="89" t="s">
        <v>110</v>
      </c>
      <c r="Q20" s="308" t="s">
        <v>242</v>
      </c>
      <c r="R20" s="308" t="s">
        <v>240</v>
      </c>
      <c r="S20" s="308" t="s">
        <v>147</v>
      </c>
      <c r="T20" s="308" t="s">
        <v>130</v>
      </c>
      <c r="U20" s="308" t="s">
        <v>14</v>
      </c>
      <c r="V20" s="308" t="s">
        <v>148</v>
      </c>
    </row>
    <row r="21" spans="1:23" ht="14.25" customHeight="1" x14ac:dyDescent="0.2">
      <c r="A21" s="67" t="s">
        <v>38</v>
      </c>
      <c r="B21" s="186" t="s">
        <v>89</v>
      </c>
      <c r="C21" s="349"/>
      <c r="D21" s="356"/>
      <c r="E21" s="357"/>
      <c r="F21" s="175"/>
      <c r="G21" s="45"/>
      <c r="H21" s="126" t="str">
        <f>IF(J21="cement delivery to silo","CP-1 EP-2",IF(J21="cement supplement delivery to silo","CP-1 EP-3",IF(J21="weigh hopper loading","CP-1 EP-4",IF(J21="truck mix loading","CP-1 EP-5",IF(J21="central mix loading","CP-1 EP-6",IF(J21="","","CP-1 EP-1"))))))</f>
        <v/>
      </c>
      <c r="I21" s="126" t="str">
        <f t="shared" ref="I21:I30" si="0">IF(J21="","",IF(J21="aggregate delivery to ground storage","CP-6 EU-1",IF(J21="sand delivery to ground storage","CP-6 EU-2",IF(J21="aggregate transfer to conveyor","CP-6 EU-3",IF(J21="sand transfer to conveyor","CP-6 EU-4",IF(J21="aggregate transfer to elevated storage","CP-6 EU-5",IF(J21="sand transfer to elevated storage","CP-6 EU-6",IF(J21="weigh hopper loading","CP-6 EU-7",IF(J21="central mix loading","CP-6 EU-8",IF(J21="truck mix loading","CP-6 EU-9",IF(J21="cement delivery to silo","CP-6 EU-10",IF(J21="cement supplement delivery to silo","CP-6 EU-11"))))))))))))</f>
        <v/>
      </c>
      <c r="J21" s="82"/>
      <c r="K21" s="61"/>
      <c r="L21" s="156"/>
      <c r="M21" s="219" t="str">
        <f>IF(J21="truck mix loading",IF($F$24="yes",L21*0.05/2000,L21/2000),"")</f>
        <v/>
      </c>
      <c r="N21" s="219" t="str">
        <f>IF(J21="central mix loading",IF($F$24="yes",L21*0.05/2000,L21/2000),"")</f>
        <v/>
      </c>
      <c r="P21" s="90" t="s">
        <v>191</v>
      </c>
      <c r="Q21" s="105">
        <f t="shared" ref="Q21:Q31" ca="1" si="1">Q4</f>
        <v>0</v>
      </c>
      <c r="R21" s="111">
        <f ca="1">IF(Q21=0,0,LOOKUP(P21,'Emission Factors'!$A$5:$A$16,'Emission Factors'!$D$5:$D$16))</f>
        <v>0</v>
      </c>
      <c r="S21" s="105">
        <f t="shared" ref="S21:S29" ca="1" si="2">Q21*R21</f>
        <v>0</v>
      </c>
      <c r="T21" s="105" t="str">
        <f ca="1">IF(Q21=0,"",IF($I$10&gt;0,$I$10,""))</f>
        <v/>
      </c>
      <c r="U21" s="105">
        <f ca="1">IF($J$10&gt;0,$J$10,IF($D$9&gt;0,$D$9*R21/2000,IF($D$10&gt;0,$D$10*365*R21/2000,IF($D$11&gt;0,$D$11*365*R21*Q21/2000,IF(T21="",S21*8760/2000,T21*8760/2000)))))</f>
        <v>0</v>
      </c>
      <c r="V21" s="113">
        <f t="shared" ref="V21:V27" ca="1" si="3">(R4*R21/2000)</f>
        <v>0</v>
      </c>
    </row>
    <row r="22" spans="1:23" ht="14.25" customHeight="1" x14ac:dyDescent="0.2">
      <c r="A22" s="67" t="s">
        <v>39</v>
      </c>
      <c r="B22" s="186" t="s">
        <v>90</v>
      </c>
      <c r="C22" s="339"/>
      <c r="D22" s="342"/>
      <c r="E22" s="343"/>
      <c r="F22" s="175"/>
      <c r="G22" s="45"/>
      <c r="H22" s="126" t="str">
        <f t="shared" ref="H22:H30" si="4">IF(J22="cement delivery to silo","CP-1 EP-2",IF(J22="cement supplement delivery to silo","CP-1 EP-3",IF(J22="weigh hopper loading","CP-1 EP-4",IF(J22="truck mix loading","CP-1 EP-5",IF(J22="central mix loading","CP-1 EP-6",IF(J22="","","CP-1 EP-1"))))))</f>
        <v/>
      </c>
      <c r="I22" s="126" t="str">
        <f t="shared" si="0"/>
        <v/>
      </c>
      <c r="J22" s="82"/>
      <c r="K22" s="61"/>
      <c r="L22" s="156"/>
      <c r="M22" s="219" t="str">
        <f t="shared" ref="M22:M30" si="5">IF(J22="truck mix loading",IF($F$24="yes",L22*0.05/2000,L22/2000),"")</f>
        <v/>
      </c>
      <c r="N22" s="219" t="str">
        <f t="shared" ref="N22:N30" si="6">IF(J22="central mix loading",IF($F$24="yes",L22*0.05/2000,L22/2000),"")</f>
        <v/>
      </c>
      <c r="P22" s="90" t="s">
        <v>192</v>
      </c>
      <c r="Q22" s="105">
        <f t="shared" ca="1" si="1"/>
        <v>0</v>
      </c>
      <c r="R22" s="111">
        <f ca="1">IF(Q22=0,0,LOOKUP(P22,'Emission Factors'!$A$5:$A$16,'Emission Factors'!$D$5:$D$16))</f>
        <v>0</v>
      </c>
      <c r="S22" s="105">
        <f t="shared" ca="1" si="2"/>
        <v>0</v>
      </c>
      <c r="T22" s="105" t="str">
        <f t="shared" ref="T22:T27" ca="1" si="7">IF(Q22=0,"",IF($I$10&gt;0,$I$10,""))</f>
        <v/>
      </c>
      <c r="U22" s="105">
        <f t="shared" ref="U22:U27" ca="1" si="8">IF($J$10&gt;0,"",IF($D$9&gt;0,$D$9*R22/2000,IF($D$10&gt;0,$D$10*365*R22/2000,IF($D$11&gt;0,$D$11*365*R22*Q22/2000,IF(T22="",S22*8760/2000,T22*8760/2000)))))</f>
        <v>0</v>
      </c>
      <c r="V22" s="113">
        <f t="shared" ca="1" si="3"/>
        <v>0</v>
      </c>
    </row>
    <row r="23" spans="1:23" ht="14.25" customHeight="1" x14ac:dyDescent="0.2">
      <c r="B23" s="186" t="s">
        <v>202</v>
      </c>
      <c r="C23" s="352"/>
      <c r="D23" s="358"/>
      <c r="E23" s="359"/>
      <c r="F23" s="175"/>
      <c r="G23" s="45"/>
      <c r="H23" s="126" t="str">
        <f t="shared" si="4"/>
        <v/>
      </c>
      <c r="I23" s="126" t="str">
        <f t="shared" si="0"/>
        <v/>
      </c>
      <c r="J23" s="82"/>
      <c r="K23" s="61"/>
      <c r="L23" s="156"/>
      <c r="M23" s="219" t="str">
        <f t="shared" si="5"/>
        <v/>
      </c>
      <c r="N23" s="219" t="str">
        <f t="shared" si="6"/>
        <v/>
      </c>
      <c r="P23" s="90" t="s">
        <v>193</v>
      </c>
      <c r="Q23" s="105">
        <f t="shared" ca="1" si="1"/>
        <v>0</v>
      </c>
      <c r="R23" s="111">
        <f ca="1">IF(Q23=0,0,LOOKUP(P23,'Emission Factors'!$A$5:$A$16,'Emission Factors'!$D$5:$D$16))</f>
        <v>0</v>
      </c>
      <c r="S23" s="105">
        <f t="shared" ca="1" si="2"/>
        <v>0</v>
      </c>
      <c r="T23" s="105" t="str">
        <f t="shared" ca="1" si="7"/>
        <v/>
      </c>
      <c r="U23" s="105">
        <f t="shared" ca="1" si="8"/>
        <v>0</v>
      </c>
      <c r="V23" s="113">
        <f t="shared" ca="1" si="3"/>
        <v>0</v>
      </c>
    </row>
    <row r="24" spans="1:23" ht="14.25" customHeight="1" x14ac:dyDescent="0.25">
      <c r="A24" s="6" t="s">
        <v>191</v>
      </c>
      <c r="B24" s="51" t="str">
        <f>IF(OR(COUNTIF(J21:J30,"Truck Mix Loading")&gt;0,(COUNTIF(J21:J30,"Central Mix Loading")&gt;0)),"Is the Central/Truck Mix Loading process controlled by a baghouse?","")</f>
        <v/>
      </c>
      <c r="C24" s="51"/>
      <c r="D24" s="51"/>
      <c r="E24" s="51"/>
      <c r="F24" s="221"/>
      <c r="G24" s="45"/>
      <c r="H24" s="126" t="str">
        <f t="shared" si="4"/>
        <v/>
      </c>
      <c r="I24" s="126" t="str">
        <f t="shared" si="0"/>
        <v/>
      </c>
      <c r="J24" s="82"/>
      <c r="K24" s="61"/>
      <c r="L24" s="156"/>
      <c r="M24" s="219" t="str">
        <f t="shared" si="5"/>
        <v/>
      </c>
      <c r="N24" s="219" t="str">
        <f t="shared" si="6"/>
        <v/>
      </c>
      <c r="P24" s="90" t="s">
        <v>194</v>
      </c>
      <c r="Q24" s="105">
        <f t="shared" ca="1" si="1"/>
        <v>0</v>
      </c>
      <c r="R24" s="111">
        <f ca="1">IF(Q24=0,0,LOOKUP(P24,'Emission Factors'!$A$5:$A$16,'Emission Factors'!$D$5:$D$16))</f>
        <v>0</v>
      </c>
      <c r="S24" s="105">
        <f t="shared" ca="1" si="2"/>
        <v>0</v>
      </c>
      <c r="T24" s="105" t="str">
        <f t="shared" ca="1" si="7"/>
        <v/>
      </c>
      <c r="U24" s="105">
        <f t="shared" ca="1" si="8"/>
        <v>0</v>
      </c>
      <c r="V24" s="113">
        <f t="shared" ca="1" si="3"/>
        <v>0</v>
      </c>
    </row>
    <row r="25" spans="1:23" ht="14.25" customHeight="1" x14ac:dyDescent="0.25">
      <c r="A25" s="6" t="s">
        <v>192</v>
      </c>
      <c r="B25" s="45"/>
      <c r="C25" s="45"/>
      <c r="D25" s="45"/>
      <c r="E25" s="45"/>
      <c r="F25" s="182"/>
      <c r="G25" s="45"/>
      <c r="H25" s="126" t="str">
        <f t="shared" si="4"/>
        <v/>
      </c>
      <c r="I25" s="126" t="str">
        <f t="shared" si="0"/>
        <v/>
      </c>
      <c r="J25" s="82"/>
      <c r="K25" s="61"/>
      <c r="L25" s="156"/>
      <c r="M25" s="219" t="str">
        <f t="shared" si="5"/>
        <v/>
      </c>
      <c r="N25" s="219" t="str">
        <f t="shared" si="6"/>
        <v/>
      </c>
      <c r="P25" s="90" t="s">
        <v>195</v>
      </c>
      <c r="Q25" s="105">
        <f t="shared" ca="1" si="1"/>
        <v>0</v>
      </c>
      <c r="R25" s="111">
        <f ca="1">IF(Q25=0,0,LOOKUP(P25,'Emission Factors'!$A$5:$A$16,'Emission Factors'!$D$5:$D$16))</f>
        <v>0</v>
      </c>
      <c r="S25" s="105">
        <f t="shared" ca="1" si="2"/>
        <v>0</v>
      </c>
      <c r="T25" s="105" t="str">
        <f t="shared" ca="1" si="7"/>
        <v/>
      </c>
      <c r="U25" s="105">
        <f t="shared" ca="1" si="8"/>
        <v>0</v>
      </c>
      <c r="V25" s="113">
        <f t="shared" ca="1" si="3"/>
        <v>0</v>
      </c>
    </row>
    <row r="26" spans="1:23" ht="29.25" customHeight="1" x14ac:dyDescent="0.25">
      <c r="A26" s="6" t="s">
        <v>193</v>
      </c>
      <c r="B26" s="312" t="str">
        <f>IF(AND(B28="",B29="",B32="",B31="",B30=""),"","Process (complete stack information if applicable):")</f>
        <v/>
      </c>
      <c r="C26" s="312" t="str">
        <f>IF(AND(B28="",B29="",B32="",B31="",B30=""),"","Stack Height (ft):")</f>
        <v/>
      </c>
      <c r="D26" s="312" t="str">
        <f>IF(AND(B28="",B29="",B32="",B31="",B30=""),"","Stack Diameter (inches):")</f>
        <v/>
      </c>
      <c r="E26" s="312" t="str">
        <f>IF(AND(B28="",B29="",B32="",B31="",B30=""),"","Flow Rate (acfm):")</f>
        <v/>
      </c>
      <c r="F26" s="312" t="str">
        <f>IF(AND(B28="",B29="",B32="",B31="",B30=""),"","Temp (Deg F):")</f>
        <v/>
      </c>
      <c r="G26" s="45"/>
      <c r="H26" s="126" t="str">
        <f t="shared" si="4"/>
        <v/>
      </c>
      <c r="I26" s="126" t="str">
        <f t="shared" si="0"/>
        <v/>
      </c>
      <c r="J26" s="82"/>
      <c r="K26" s="61"/>
      <c r="L26" s="156"/>
      <c r="M26" s="219" t="str">
        <f t="shared" si="5"/>
        <v/>
      </c>
      <c r="N26" s="219" t="str">
        <f t="shared" si="6"/>
        <v/>
      </c>
      <c r="P26" s="90" t="s">
        <v>196</v>
      </c>
      <c r="Q26" s="105">
        <f t="shared" ca="1" si="1"/>
        <v>0</v>
      </c>
      <c r="R26" s="111">
        <f ca="1">IF(Q26=0,0,LOOKUP(P26,'Emission Factors'!$A$5:$A$16,'Emission Factors'!$D$5:$D$16))</f>
        <v>0</v>
      </c>
      <c r="S26" s="105">
        <f t="shared" ca="1" si="2"/>
        <v>0</v>
      </c>
      <c r="T26" s="105" t="str">
        <f t="shared" ca="1" si="7"/>
        <v/>
      </c>
      <c r="U26" s="105">
        <f t="shared" ca="1" si="8"/>
        <v>0</v>
      </c>
      <c r="V26" s="113">
        <f t="shared" ca="1" si="3"/>
        <v>0</v>
      </c>
    </row>
    <row r="27" spans="1:23" ht="14.25" customHeight="1" x14ac:dyDescent="0.25">
      <c r="A27" s="6" t="s">
        <v>194</v>
      </c>
      <c r="B27" s="312"/>
      <c r="C27" s="312"/>
      <c r="D27" s="312"/>
      <c r="E27" s="312"/>
      <c r="F27" s="312"/>
      <c r="G27" s="45"/>
      <c r="H27" s="126" t="str">
        <f t="shared" si="4"/>
        <v/>
      </c>
      <c r="I27" s="126" t="str">
        <f t="shared" si="0"/>
        <v/>
      </c>
      <c r="J27" s="82"/>
      <c r="K27" s="61"/>
      <c r="L27" s="156"/>
      <c r="M27" s="219" t="str">
        <f t="shared" si="5"/>
        <v/>
      </c>
      <c r="N27" s="219" t="str">
        <f t="shared" si="6"/>
        <v/>
      </c>
      <c r="P27" s="90" t="s">
        <v>203</v>
      </c>
      <c r="Q27" s="105">
        <f t="shared" ca="1" si="1"/>
        <v>0</v>
      </c>
      <c r="R27" s="111">
        <f ca="1">IF(Q27=0,0,LOOKUP(P27,'Emission Factors'!$A$5:$A$16,'Emission Factors'!$D$5:$D$16))</f>
        <v>0</v>
      </c>
      <c r="S27" s="105">
        <f t="shared" ca="1" si="2"/>
        <v>0</v>
      </c>
      <c r="T27" s="105" t="str">
        <f t="shared" ca="1" si="7"/>
        <v/>
      </c>
      <c r="U27" s="105">
        <f t="shared" ca="1" si="8"/>
        <v>0</v>
      </c>
      <c r="V27" s="113">
        <f t="shared" ca="1" si="3"/>
        <v>0</v>
      </c>
    </row>
    <row r="28" spans="1:23" ht="14.25" customHeight="1" x14ac:dyDescent="0.25">
      <c r="A28" s="6" t="s">
        <v>195</v>
      </c>
      <c r="B28" s="45" t="str">
        <f>IF(COUNTIF(J21:J30,"Cement Delivery to Silo")&gt;0,"EP-2 Cement Silo Stack:","")</f>
        <v/>
      </c>
      <c r="C28" s="221"/>
      <c r="D28" s="221"/>
      <c r="E28" s="221"/>
      <c r="F28" s="221"/>
      <c r="G28" s="45"/>
      <c r="H28" s="126" t="str">
        <f t="shared" si="4"/>
        <v/>
      </c>
      <c r="I28" s="126" t="str">
        <f t="shared" si="0"/>
        <v/>
      </c>
      <c r="J28" s="82"/>
      <c r="K28" s="61"/>
      <c r="L28" s="156"/>
      <c r="M28" s="219" t="str">
        <f t="shared" si="5"/>
        <v/>
      </c>
      <c r="N28" s="219" t="str">
        <f t="shared" si="6"/>
        <v/>
      </c>
      <c r="P28" s="90" t="s">
        <v>197</v>
      </c>
      <c r="Q28" s="105">
        <f t="shared" ca="1" si="1"/>
        <v>0</v>
      </c>
      <c r="R28" s="111">
        <f ca="1">IF(Q28=0,0,LOOKUP(P28,'Emission Factors'!$A$5:$A$16,'Emission Factors'!$D$5:$D$16))</f>
        <v>0</v>
      </c>
      <c r="S28" s="105">
        <f t="shared" ca="1" si="2"/>
        <v>0</v>
      </c>
      <c r="T28" s="105" t="str">
        <f ca="1">IF(Q28=0,"",IF($I$10&gt;0,$I$10,IF(COUNTIF($F$24:$F$169,"no")&gt;0,"",S28*(1-0.95))))</f>
        <v/>
      </c>
      <c r="U28" s="105">
        <f ca="1">IF($J$10&gt;0,"",IF($D$9&gt;0,$D$9*R28*((100-$W$30)/100)/2000,IF($D$10&gt;0,$D$10*365*R28*((100-$W$30)/100)/2000,IF($D$11&gt;0,$D$11*365*R28*((100-$W$30)/100)*Q28/2000,IF(T28="",S28*8760/2000,T28*8760/2000)))))</f>
        <v>0</v>
      </c>
      <c r="V28" s="113">
        <f ca="1">(R28*N181)</f>
        <v>0</v>
      </c>
    </row>
    <row r="29" spans="1:23" ht="14.25" customHeight="1" x14ac:dyDescent="0.25">
      <c r="A29" s="138" t="s">
        <v>196</v>
      </c>
      <c r="B29" s="45" t="str">
        <f>IF(COUNTIF(J21:J30,"Cement Supplement Delivery to Silo")&gt;0,"EP-3 Cement Supplement Silo Stack:","")</f>
        <v/>
      </c>
      <c r="C29" s="221"/>
      <c r="D29" s="221"/>
      <c r="E29" s="221"/>
      <c r="F29" s="221"/>
      <c r="G29" s="45"/>
      <c r="H29" s="126" t="str">
        <f t="shared" si="4"/>
        <v/>
      </c>
      <c r="I29" s="126" t="str">
        <f t="shared" si="0"/>
        <v/>
      </c>
      <c r="J29" s="82"/>
      <c r="K29" s="61"/>
      <c r="L29" s="156"/>
      <c r="M29" s="219" t="str">
        <f t="shared" si="5"/>
        <v/>
      </c>
      <c r="N29" s="219" t="str">
        <f t="shared" si="6"/>
        <v/>
      </c>
      <c r="P29" s="90" t="s">
        <v>198</v>
      </c>
      <c r="Q29" s="105">
        <f t="shared" ca="1" si="1"/>
        <v>0</v>
      </c>
      <c r="R29" s="111">
        <f ca="1">IF(Q29=0,0,LOOKUP(P29,'Emission Factors'!$A$5:$A$16,'Emission Factors'!$D$5:$D$16))</f>
        <v>0</v>
      </c>
      <c r="S29" s="105">
        <f t="shared" ca="1" si="2"/>
        <v>0</v>
      </c>
      <c r="T29" s="105" t="str">
        <f ca="1">IF(Q29=0,"",IF($I$10&gt;0,$I$10,IF(COUNTIF($F$24:$F$169,"no")&gt;0,"",S29*(1-0.95))))</f>
        <v/>
      </c>
      <c r="U29" s="105">
        <f ca="1">IF($J$10&gt;0,"",IF($D$9&gt;0,$D$9*R29*((100-$W$30)/100)/2000,IF($D$10&gt;0,$D$10*365*R29*((100-$W$30)/100)/2000,IF($D$11&gt;0,$D$11*365*R29*((100-$W$30)/100)*Q29/2000,IF(T29="",S29*8760/2000,T29*8760/2000)))))</f>
        <v>0</v>
      </c>
      <c r="V29" s="113">
        <f ca="1">(R29*M181)</f>
        <v>0</v>
      </c>
    </row>
    <row r="30" spans="1:23" ht="14.25" customHeight="1" x14ac:dyDescent="0.25">
      <c r="A30" s="138" t="s">
        <v>203</v>
      </c>
      <c r="B30" s="45" t="str">
        <f>IF(COUNTIF(J21:J30,"Weigh Hopper Loading")&gt;0,"EP-4 Weigh Hopper Loading Stack:","")</f>
        <v/>
      </c>
      <c r="C30" s="221"/>
      <c r="D30" s="221"/>
      <c r="E30" s="221"/>
      <c r="F30" s="221"/>
      <c r="H30" s="126" t="str">
        <f t="shared" si="4"/>
        <v/>
      </c>
      <c r="I30" s="126" t="str">
        <f t="shared" si="0"/>
        <v/>
      </c>
      <c r="J30" s="82"/>
      <c r="K30" s="61"/>
      <c r="L30" s="156"/>
      <c r="M30" s="219" t="str">
        <f t="shared" si="5"/>
        <v/>
      </c>
      <c r="N30" s="219" t="str">
        <f t="shared" si="6"/>
        <v/>
      </c>
      <c r="P30" s="90" t="s">
        <v>199</v>
      </c>
      <c r="Q30" s="105">
        <f t="shared" ca="1" si="1"/>
        <v>0</v>
      </c>
      <c r="R30" s="111">
        <f ca="1">IF(Q30=0,0,LOOKUP(P30,'Emission Factors'!$A$5:$A$16,'Emission Factors'!$D$5:$D$16))</f>
        <v>0</v>
      </c>
      <c r="S30" s="148"/>
      <c r="T30" s="105">
        <f ca="1">IF(Q30=0,0,IF($I$10&gt;0,$I$10,Q30*R30))</f>
        <v>0</v>
      </c>
      <c r="U30" s="105">
        <f ca="1">IF($J$10&gt;0,"",IF($D$9&gt;0,$D$9*R30/2000,IF($D$10&gt;0,$D$10*365*R30/2000,IF($D$11&gt;0,$D$11*365*R30*Q30/2000,IF($I$10&gt;0,0,T30*8760/2000)))))</f>
        <v>0</v>
      </c>
      <c r="V30" s="113">
        <f ca="1">(R13*R30/2000)</f>
        <v>0</v>
      </c>
      <c r="W30" s="67">
        <f>IF(COUNTIF($F$24:$F$169,"no")&gt;0,0,95)</f>
        <v>95</v>
      </c>
    </row>
    <row r="31" spans="1:23" ht="14.25" customHeight="1" x14ac:dyDescent="0.25">
      <c r="A31" s="138" t="s">
        <v>197</v>
      </c>
      <c r="B31" s="45" t="str">
        <f>IF(COUNTIF(J21:J30,"Truck Mix Loading")&gt;0,"EP-5 Truck Mix Loading Stack:","")</f>
        <v/>
      </c>
      <c r="C31" s="221"/>
      <c r="D31" s="221"/>
      <c r="E31" s="221"/>
      <c r="F31" s="221"/>
      <c r="G31" s="76"/>
      <c r="H31" s="45"/>
      <c r="I31" s="45"/>
      <c r="P31" s="90" t="s">
        <v>200</v>
      </c>
      <c r="Q31" s="105">
        <f t="shared" ca="1" si="1"/>
        <v>0</v>
      </c>
      <c r="R31" s="111">
        <f ca="1">IF(Q31=0,0,LOOKUP(P31,'Emission Factors'!$A$5:$A$16,'Emission Factors'!$D$5:$D$16))</f>
        <v>0</v>
      </c>
      <c r="S31" s="148"/>
      <c r="T31" s="105">
        <f ca="1">IF(Q31=0,0,IF($I$10&gt;0,$I$10,Q31*R31))</f>
        <v>0</v>
      </c>
      <c r="U31" s="105">
        <f ca="1">IF($J$10&gt;0,"",IF($D$9&gt;0,$D$9*R31/2000,IF($D$10&gt;0,$D$10*365*R31/2000,IF($D$11&gt;0,$D$11*365*R31*Q31/2000,IF($I$10&gt;0,0,T31*8760/2000)))))</f>
        <v>0</v>
      </c>
      <c r="V31" s="113">
        <f ca="1">(R14*R31/2000)</f>
        <v>0</v>
      </c>
    </row>
    <row r="32" spans="1:23" ht="14.25" customHeight="1" x14ac:dyDescent="0.25">
      <c r="A32" s="138" t="s">
        <v>198</v>
      </c>
      <c r="B32" s="45" t="str">
        <f>IF(COUNTIF(J21:J30,"Central Mix Loading")&gt;0,"EP-6 Central Mix Loading Stack:","")</f>
        <v/>
      </c>
      <c r="C32" s="221"/>
      <c r="D32" s="221"/>
      <c r="E32" s="221"/>
      <c r="F32" s="221"/>
      <c r="H32" s="74" t="s">
        <v>85</v>
      </c>
      <c r="I32" s="74"/>
      <c r="J32" s="75"/>
    </row>
    <row r="33" spans="1:23" ht="14.25" customHeight="1" x14ac:dyDescent="0.25">
      <c r="A33" s="138" t="s">
        <v>199</v>
      </c>
      <c r="B33" s="73"/>
      <c r="C33" s="163"/>
      <c r="D33" s="163"/>
      <c r="E33" s="163"/>
      <c r="F33" s="176"/>
      <c r="I33" s="77" t="s">
        <v>61</v>
      </c>
      <c r="J33" s="43" t="s">
        <v>86</v>
      </c>
      <c r="K33" s="142" t="s">
        <v>87</v>
      </c>
      <c r="L33" s="43" t="s">
        <v>88</v>
      </c>
      <c r="M33" s="146"/>
      <c r="N33" s="146"/>
    </row>
    <row r="34" spans="1:23" ht="14.25" customHeight="1" x14ac:dyDescent="0.25">
      <c r="A34" s="138" t="s">
        <v>200</v>
      </c>
      <c r="B34" s="73"/>
      <c r="C34" s="163"/>
      <c r="D34" s="163"/>
      <c r="E34" s="163"/>
      <c r="F34" s="176"/>
      <c r="I34" s="63"/>
      <c r="J34" s="144"/>
      <c r="K34" s="64"/>
      <c r="L34" s="144"/>
      <c r="M34" s="146"/>
      <c r="N34" s="146"/>
      <c r="P34" s="89" t="s">
        <v>17</v>
      </c>
      <c r="Q34" s="107"/>
      <c r="R34" s="112"/>
      <c r="S34" s="108"/>
      <c r="T34" s="108"/>
      <c r="U34" s="108"/>
      <c r="V34" s="114"/>
    </row>
    <row r="35" spans="1:23" ht="14.25" customHeight="1" x14ac:dyDescent="0.2">
      <c r="B35" s="73"/>
      <c r="C35" s="163"/>
      <c r="D35" s="163"/>
      <c r="E35" s="163"/>
      <c r="F35" s="176"/>
      <c r="P35" s="90" t="s">
        <v>191</v>
      </c>
      <c r="Q35" s="105">
        <f t="shared" ref="Q35:Q45" ca="1" si="9">Q4</f>
        <v>0</v>
      </c>
      <c r="R35" s="111">
        <f ca="1">IF(Q35=0,0,LOOKUP(P35,'Emission Factors'!$A$5:$A$16,'Emission Factors'!$H$5:$H$16))</f>
        <v>0</v>
      </c>
      <c r="S35" s="105">
        <f t="shared" ref="S35:S37" ca="1" si="10">Q35*R35</f>
        <v>0</v>
      </c>
      <c r="T35" s="105" t="str">
        <f ca="1">IF(Q35=0,"",IF($I$11&gt;0,$I$11,""))</f>
        <v/>
      </c>
      <c r="U35" s="105">
        <f ca="1">IF($J$11&gt;0,$J$11,IF($D$9&gt;0,$D$9*R35/2000,IF($D$10&gt;0,$D$10*365*R35/2000,IF($D$11&gt;0,$D$11*365*R35*Q35/2000,IF(T35="",S35*8760/2000,T35*8760/2000)))))</f>
        <v>0</v>
      </c>
      <c r="V35" s="113">
        <f t="shared" ref="V35:V41" ca="1" si="11">(R4*R35/2000)</f>
        <v>0</v>
      </c>
    </row>
    <row r="36" spans="1:23" ht="14.25" customHeight="1" x14ac:dyDescent="0.2">
      <c r="B36" s="45"/>
      <c r="F36" s="177"/>
      <c r="G36" s="45"/>
      <c r="P36" s="90" t="s">
        <v>192</v>
      </c>
      <c r="Q36" s="105">
        <f t="shared" ca="1" si="9"/>
        <v>0</v>
      </c>
      <c r="R36" s="111">
        <f ca="1">IF(Q36=0,0,LOOKUP(P36,'Emission Factors'!$A$5:$A$16,'Emission Factors'!$H$5:$H$16))</f>
        <v>0</v>
      </c>
      <c r="S36" s="109">
        <f t="shared" ca="1" si="10"/>
        <v>0</v>
      </c>
      <c r="T36" s="105" t="str">
        <f t="shared" ref="T36:T37" ca="1" si="12">IF(Q36=0,"",IF($I$11&gt;0,$I$11,""))</f>
        <v/>
      </c>
      <c r="U36" s="105">
        <f t="shared" ref="U36:U37" ca="1" si="13">IF($J$11&gt;0,"",IF($D$9&gt;0,$D$9*R36/2000,IF($D$10&gt;0,$D$10*365*R36/2000,IF($D$11&gt;0,$D$11*365*R36*Q36/2000,IF(T36="",S36*8760/2000,T36*8760/2000)))))</f>
        <v>0</v>
      </c>
      <c r="V36" s="113">
        <f t="shared" ca="1" si="11"/>
        <v>0</v>
      </c>
    </row>
    <row r="37" spans="1:23" ht="28.5" customHeight="1" x14ac:dyDescent="0.25">
      <c r="B37" s="78" t="str">
        <f>IF('Concrete Plant (CP-6)'!$D$4&gt;1,"Batch Plant","")</f>
        <v/>
      </c>
      <c r="C37" s="71" t="str">
        <f>IF('Concrete Plant (CP-6)'!$D$4&gt;1,"Site 2","")</f>
        <v/>
      </c>
      <c r="D37" s="71"/>
      <c r="E37" s="71"/>
      <c r="F37" s="71"/>
      <c r="G37" s="45"/>
      <c r="H37" s="310" t="str">
        <f>IF('Concrete Plant (CP-6)'!$D$4&gt;1,"Emission Point #","")</f>
        <v/>
      </c>
      <c r="I37" s="310" t="str">
        <f>IF('Concrete Plant (CP-6)'!$D$4&gt;1,"Emission     Unit #","")</f>
        <v/>
      </c>
      <c r="J37" s="310" t="str">
        <f>IF('Concrete Plant (CP-6)'!$D$4&gt;1,"Processes","")</f>
        <v/>
      </c>
      <c r="K37" s="311" t="str">
        <f>IF('Concrete Plant (CP-6)'!$D$4&gt;1,"Combined Maximum Hourly Design Rate for all Like Processes (cubic yard/hr)","")</f>
        <v/>
      </c>
      <c r="L37" s="310" t="str">
        <f>IF('Concrete Plant (CP-6)'!$D$4&gt;1,('Facility Information'!G5&amp;" Annual Throughput (cubic yards)"),"")</f>
        <v/>
      </c>
      <c r="M37" s="217"/>
      <c r="N37" s="217"/>
      <c r="P37" s="90" t="s">
        <v>193</v>
      </c>
      <c r="Q37" s="105">
        <f t="shared" ca="1" si="9"/>
        <v>0</v>
      </c>
      <c r="R37" s="111">
        <f ca="1">IF(Q37=0,0,LOOKUP(P37,'Emission Factors'!$A$5:$A$16,'Emission Factors'!$H$5:$H$16))</f>
        <v>0</v>
      </c>
      <c r="S37" s="105">
        <f t="shared" ca="1" si="10"/>
        <v>0</v>
      </c>
      <c r="T37" s="105" t="str">
        <f t="shared" ca="1" si="12"/>
        <v/>
      </c>
      <c r="U37" s="105">
        <f t="shared" ca="1" si="13"/>
        <v>0</v>
      </c>
      <c r="V37" s="113">
        <f t="shared" ca="1" si="11"/>
        <v>0</v>
      </c>
    </row>
    <row r="38" spans="1:23" ht="14.25" customHeight="1" x14ac:dyDescent="0.2">
      <c r="B38" s="79" t="str">
        <f>IF('Concrete Plant (CP-6)'!$D$4&gt;1,"Site Name:","")</f>
        <v/>
      </c>
      <c r="C38" s="349"/>
      <c r="D38" s="356"/>
      <c r="E38" s="357"/>
      <c r="F38" s="175"/>
      <c r="G38" s="45"/>
      <c r="H38" s="127" t="str">
        <f>IF(J38="cement delivery to silo","CP-1 EP-2",IF(J38="cement supplement delivery to silo","CP-1 EP-3",IF(J38="weigh hopper loading","CP-1 EP-4",IF(J38="truck mix loading","CP-1 EP-5",IF(J38="central mix loading","CP-1 EP-6",IF(J38="","","CP-1 EP-1"))))))</f>
        <v/>
      </c>
      <c r="I38" s="127" t="str">
        <f t="shared" ref="I38:I47" si="14">IF(J38="","",IF(J38="aggregate delivery to ground storage","CP-6 EU-1",IF(J38="sand delivery to ground storage","CP-6 EU-2",IF(J38="aggregate transfer to conveyor","CP-6 EU-3",IF(J38="sand transfer to conveyor","CP-6 EU-4",IF(J38="aggregate transfer to elevated storage","CP-6 EU-5",IF(J38="sand transfer to elevated storage","CP-6 EU-6",IF(J38="weigh hopper loading","CP-6 EU-7",IF(J38="central mix loading","CP-6 EU-8",IF(J38="truck mix loading","CP-6 EU-9",IF(J38="cement delivery to silo","CP-6 EU-10",IF(J38="cement supplement delivery to silo","CP-6 EU-11"))))))))))))</f>
        <v/>
      </c>
      <c r="J38" s="82"/>
      <c r="K38" s="61"/>
      <c r="L38" s="156"/>
      <c r="M38" s="219" t="str">
        <f>IF(J38="truck mix loading",IF($F$41="yes",L38*0.05/2000,L38/2000),"")</f>
        <v/>
      </c>
      <c r="N38" s="219" t="str">
        <f>IF(J38="central mix loading",IF($F$41="yes",L38*0.05/2000,L38/2000),"")</f>
        <v/>
      </c>
      <c r="P38" s="90" t="s">
        <v>194</v>
      </c>
      <c r="Q38" s="105">
        <f t="shared" ca="1" si="9"/>
        <v>0</v>
      </c>
      <c r="R38" s="111">
        <f ca="1">IF(Q38=0,0,LOOKUP(P38,'Emission Factors'!$A$5:$A$16,'Emission Factors'!$H$5:$H$16))</f>
        <v>0</v>
      </c>
      <c r="S38" s="105">
        <f t="shared" ref="S38:S43" ca="1" si="15">Q38*R38</f>
        <v>0</v>
      </c>
      <c r="T38" s="105" t="str">
        <f ca="1">IF(Q38=0,"",IF($I$11&gt;0,$I$11,""))</f>
        <v/>
      </c>
      <c r="U38" s="105">
        <f ca="1">IF($J$11&gt;0,"",IF($D$9&gt;0,$D$9*R38/2000,IF($D$10&gt;0,$D$10*365*R38/2000,IF($D$11&gt;0,$D$11*365*R38*Q38/2000,IF(T38="",S38*8760/2000,T38*8760/2000)))))</f>
        <v>0</v>
      </c>
      <c r="V38" s="113">
        <f t="shared" ca="1" si="11"/>
        <v>0</v>
      </c>
    </row>
    <row r="39" spans="1:23" ht="14.25" customHeight="1" x14ac:dyDescent="0.2">
      <c r="B39" s="79" t="str">
        <f>IF('Concrete Plant (CP-6)'!$D$4&gt;1,"County:","")</f>
        <v/>
      </c>
      <c r="C39" s="339"/>
      <c r="D39" s="342"/>
      <c r="E39" s="343"/>
      <c r="F39" s="175"/>
      <c r="G39" s="45"/>
      <c r="H39" s="127" t="str">
        <f t="shared" ref="H39:H47" si="16">IF(J39="cement delivery to silo","CP-1 EP-2",IF(J39="cement supplement delivery to silo","CP-1 EP-3",IF(J39="weigh hopper loading","CP-1 EP-4",IF(J39="truck mix loading","CP-1 EP-5",IF(J39="central mix loading","CP-1 EP-6",IF(J39="","","CP-1 EP-1"))))))</f>
        <v/>
      </c>
      <c r="I39" s="127" t="str">
        <f t="shared" si="14"/>
        <v/>
      </c>
      <c r="J39" s="82"/>
      <c r="K39" s="61"/>
      <c r="L39" s="156"/>
      <c r="M39" s="219" t="str">
        <f t="shared" ref="M39:M47" si="17">IF(J39="truck mix loading",IF($F$41="yes",L39*0.05/2000,L39/2000),"")</f>
        <v/>
      </c>
      <c r="N39" s="219" t="str">
        <f t="shared" ref="N39:N47" si="18">IF(J39="central mix loading",IF($F$41="yes",L39*0.05/2000,L39/2000),"")</f>
        <v/>
      </c>
      <c r="P39" s="90" t="s">
        <v>195</v>
      </c>
      <c r="Q39" s="105">
        <f t="shared" ca="1" si="9"/>
        <v>0</v>
      </c>
      <c r="R39" s="111">
        <f ca="1">IF(Q39=0,0,LOOKUP(P39,'Emission Factors'!$A$5:$A$16,'Emission Factors'!$H$5:$H$16))</f>
        <v>0</v>
      </c>
      <c r="S39" s="105">
        <f t="shared" ca="1" si="15"/>
        <v>0</v>
      </c>
      <c r="T39" s="105" t="str">
        <f ca="1">IF(Q39=0,"",IF($I$11&gt;0,$I$11,""))</f>
        <v/>
      </c>
      <c r="U39" s="105">
        <f ca="1">IF($J$11&gt;0,"",IF($D$9&gt;0,$D$9*R39/2000,IF($D$10&gt;0,$D$10*365*R39/2000,IF($D$11&gt;0,$D$11*365*R39*Q39/2000,IF(T39="",S39*8760/2000,T39*8760/2000)))))</f>
        <v>0</v>
      </c>
      <c r="V39" s="113">
        <f t="shared" ca="1" si="11"/>
        <v>0</v>
      </c>
    </row>
    <row r="40" spans="1:23" ht="14.25" customHeight="1" x14ac:dyDescent="0.2">
      <c r="B40" s="79" t="str">
        <f>IF('Concrete Plant (CP-6)'!$D$4&gt;1,"Batching Period (Dates):","")</f>
        <v/>
      </c>
      <c r="C40" s="352"/>
      <c r="D40" s="358"/>
      <c r="E40" s="359"/>
      <c r="F40" s="175"/>
      <c r="G40" s="45"/>
      <c r="H40" s="127" t="str">
        <f t="shared" si="16"/>
        <v/>
      </c>
      <c r="I40" s="127" t="str">
        <f t="shared" si="14"/>
        <v/>
      </c>
      <c r="J40" s="82"/>
      <c r="K40" s="61"/>
      <c r="L40" s="156"/>
      <c r="M40" s="219" t="str">
        <f t="shared" si="17"/>
        <v/>
      </c>
      <c r="N40" s="219" t="str">
        <f t="shared" si="18"/>
        <v/>
      </c>
      <c r="P40" s="90" t="s">
        <v>196</v>
      </c>
      <c r="Q40" s="105">
        <f t="shared" ca="1" si="9"/>
        <v>0</v>
      </c>
      <c r="R40" s="111">
        <f ca="1">IF(Q40=0,0,LOOKUP(P40,'Emission Factors'!$A$5:$A$16,'Emission Factors'!$H$5:$H$16))</f>
        <v>0</v>
      </c>
      <c r="S40" s="105">
        <f t="shared" ca="1" si="15"/>
        <v>0</v>
      </c>
      <c r="T40" s="105" t="str">
        <f ca="1">IF(Q40=0,"",IF($I$11&gt;0,$I$11,""))</f>
        <v/>
      </c>
      <c r="U40" s="105">
        <f ca="1">IF($J$11&gt;0,"",IF($D$9&gt;0,$D$9*R40/2000,IF($D$10&gt;0,$D$10*365*R40/2000,IF($D$11&gt;0,$D$11*365*R40*Q40/2000,IF(T40="",S40*8760/2000,T40*8760/2000)))))</f>
        <v>0</v>
      </c>
      <c r="V40" s="113">
        <f t="shared" ca="1" si="11"/>
        <v>0</v>
      </c>
    </row>
    <row r="41" spans="1:23" ht="14.25" customHeight="1" x14ac:dyDescent="0.2">
      <c r="B41" s="51" t="str">
        <f>IF(OR(COUNTIF(J38:J47,"Truck Mix Loading")&gt;0,(COUNTIF(J38:J47,"Central Mix Loading")&gt;0)),"Is the Central/Truck Mix Loading process controlled by a baghouse?","")</f>
        <v/>
      </c>
      <c r="C41" s="51"/>
      <c r="D41" s="51"/>
      <c r="E41" s="51"/>
      <c r="F41" s="221"/>
      <c r="G41" s="45"/>
      <c r="H41" s="127" t="str">
        <f t="shared" si="16"/>
        <v/>
      </c>
      <c r="I41" s="127" t="str">
        <f t="shared" si="14"/>
        <v/>
      </c>
      <c r="J41" s="82"/>
      <c r="K41" s="61"/>
      <c r="L41" s="156"/>
      <c r="M41" s="219" t="str">
        <f t="shared" si="17"/>
        <v/>
      </c>
      <c r="N41" s="219" t="str">
        <f t="shared" si="18"/>
        <v/>
      </c>
      <c r="P41" s="90" t="s">
        <v>203</v>
      </c>
      <c r="Q41" s="105">
        <f t="shared" ca="1" si="9"/>
        <v>0</v>
      </c>
      <c r="R41" s="111">
        <f ca="1">IF(Q41=0,0,LOOKUP(P41,'Emission Factors'!$A$5:$A$16,'Emission Factors'!$H$5:$H$16))</f>
        <v>0</v>
      </c>
      <c r="S41" s="105">
        <f t="shared" ca="1" si="15"/>
        <v>0</v>
      </c>
      <c r="T41" s="105" t="str">
        <f ca="1">IF(Q41=0,"",IF($I$11&gt;0,$I$11,""))</f>
        <v/>
      </c>
      <c r="U41" s="105">
        <f ca="1">IF($J$11&gt;0,"",IF($D$9&gt;0,$D$9*R41/2000,IF($D$10&gt;0,$D$10*365*R41/2000,IF($D$11&gt;0,$D$11*365*R41*Q41/2000,IF(T41="",S41*8760/2000,T41*8760/2000)))))</f>
        <v>0</v>
      </c>
      <c r="V41" s="113">
        <f t="shared" ca="1" si="11"/>
        <v>0</v>
      </c>
      <c r="W41" s="67">
        <f>IF(COUNTIF($F$24:$F$169,"no")&gt;0,0,95)</f>
        <v>95</v>
      </c>
    </row>
    <row r="42" spans="1:23" ht="14.25" customHeight="1" x14ac:dyDescent="0.2">
      <c r="F42" s="177"/>
      <c r="G42" s="45"/>
      <c r="H42" s="127" t="str">
        <f t="shared" si="16"/>
        <v/>
      </c>
      <c r="I42" s="127" t="str">
        <f t="shared" si="14"/>
        <v/>
      </c>
      <c r="J42" s="82"/>
      <c r="K42" s="61"/>
      <c r="L42" s="156"/>
      <c r="M42" s="219" t="str">
        <f t="shared" si="17"/>
        <v/>
      </c>
      <c r="N42" s="219" t="str">
        <f t="shared" si="18"/>
        <v/>
      </c>
      <c r="P42" s="90" t="s">
        <v>197</v>
      </c>
      <c r="Q42" s="105">
        <f t="shared" ca="1" si="9"/>
        <v>0</v>
      </c>
      <c r="R42" s="111">
        <f ca="1">IF(Q42=0,0,LOOKUP(P42,'Emission Factors'!$A$5:$A$16,'Emission Factors'!$H$5:$H$16))</f>
        <v>0</v>
      </c>
      <c r="S42" s="105">
        <f t="shared" ca="1" si="15"/>
        <v>0</v>
      </c>
      <c r="T42" s="105" t="str">
        <f ca="1">IF(Q42=0,"",IF($I$11&gt;0,$I$11,IF(COUNTIF($F$24:$F$169,"no")&gt;0,"",S42*(1-0.95))))</f>
        <v/>
      </c>
      <c r="U42" s="105">
        <f ca="1">IF($J$11&gt;0,"",IF($D$9&gt;0,$D$9*R42*((100-$W$30)/100)/2000,IF($D$10&gt;0,$D$10*365*R42*((100-$W$30)/100)/2000,IF($D$11&gt;0,$D$11*365*R42*((100-$W$30)/100)*Q42/2000,IF(T42="",S42*8760/2000,T42*8760/2000)))))</f>
        <v>0</v>
      </c>
      <c r="V42" s="113">
        <f ca="1">(N181*R42)</f>
        <v>0</v>
      </c>
    </row>
    <row r="43" spans="1:23" ht="27.75" customHeight="1" x14ac:dyDescent="0.2">
      <c r="B43" s="312" t="str">
        <f>IF(AND(B45="",B46="",B47="",B48="",B49=""),"","Process (complete stack information if applicable):")</f>
        <v/>
      </c>
      <c r="C43" s="312" t="str">
        <f>IF(AND(B45="",B46="",B47="",B48="",B49=""),"","Stack Height (ft):")</f>
        <v/>
      </c>
      <c r="D43" s="312" t="str">
        <f>IF(AND(B45="",B46="",B47="",B48="",B49=""),"","Stack Diameter (inches):")</f>
        <v/>
      </c>
      <c r="E43" s="312" t="str">
        <f>IF(AND(B45="",B46="",B47="",B48="",B49=""),"","Flow Rate (acfm):")</f>
        <v/>
      </c>
      <c r="F43" s="312" t="str">
        <f>IF(AND(B45="",B46="",B47="",B48="",B49=""),"","Temp (Deg F):")</f>
        <v/>
      </c>
      <c r="G43" s="45"/>
      <c r="H43" s="127" t="str">
        <f t="shared" si="16"/>
        <v/>
      </c>
      <c r="I43" s="127" t="str">
        <f t="shared" si="14"/>
        <v/>
      </c>
      <c r="J43" s="82"/>
      <c r="K43" s="61"/>
      <c r="L43" s="156"/>
      <c r="M43" s="219" t="str">
        <f t="shared" si="17"/>
        <v/>
      </c>
      <c r="N43" s="219" t="str">
        <f t="shared" si="18"/>
        <v/>
      </c>
      <c r="P43" s="90" t="s">
        <v>198</v>
      </c>
      <c r="Q43" s="105">
        <f t="shared" ca="1" si="9"/>
        <v>0</v>
      </c>
      <c r="R43" s="111">
        <f ca="1">IF(Q43=0,0,LOOKUP(P43,'Emission Factors'!$A$5:$A$16,'Emission Factors'!$H$5:$H$16))</f>
        <v>0</v>
      </c>
      <c r="S43" s="105">
        <f t="shared" ca="1" si="15"/>
        <v>0</v>
      </c>
      <c r="T43" s="105" t="str">
        <f ca="1">IF(Q43=0,"",IF($I$11&gt;0,$I$11,IF(COUNTIF($F$24:$F$169,"no")&gt;0,"",S43*(1-0.95))))</f>
        <v/>
      </c>
      <c r="U43" s="105">
        <f ca="1">IF($J$11&gt;0,"",IF($D$9&gt;0,$D$9*R43*((100-$W$30)/100)/2000,IF($D$10&gt;0,$D$10*365*R43*((100-$W$30)/100)/2000,IF($D$11&gt;0,$D$11*365*R43*((100-$W$30)/100)*Q43/2000,IF(T43="",S43*8760/2000,T43*8760/2000)))))</f>
        <v>0</v>
      </c>
      <c r="V43" s="113">
        <f ca="1">(M181*R43)</f>
        <v>0</v>
      </c>
    </row>
    <row r="44" spans="1:23" ht="14.25" customHeight="1" x14ac:dyDescent="0.2">
      <c r="B44" s="312"/>
      <c r="C44" s="312"/>
      <c r="D44" s="312"/>
      <c r="E44" s="312"/>
      <c r="F44" s="312"/>
      <c r="G44" s="45"/>
      <c r="H44" s="127" t="str">
        <f t="shared" si="16"/>
        <v/>
      </c>
      <c r="I44" s="127" t="str">
        <f t="shared" si="14"/>
        <v/>
      </c>
      <c r="J44" s="82"/>
      <c r="K44" s="61"/>
      <c r="L44" s="156"/>
      <c r="M44" s="219" t="str">
        <f t="shared" si="17"/>
        <v/>
      </c>
      <c r="N44" s="219" t="str">
        <f t="shared" si="18"/>
        <v/>
      </c>
      <c r="P44" s="90" t="s">
        <v>199</v>
      </c>
      <c r="Q44" s="105">
        <f t="shared" ca="1" si="9"/>
        <v>0</v>
      </c>
      <c r="R44" s="111">
        <f ca="1">IF(Q44=0,0,LOOKUP(P44,'Emission Factors'!$A$5:$A$16,'Emission Factors'!$H$5:$H$16))</f>
        <v>0</v>
      </c>
      <c r="S44" s="148"/>
      <c r="T44" s="105">
        <f ca="1">IF(Q44=0,0,IF($I$10&gt;0,$I$10,Q44*R44))</f>
        <v>0</v>
      </c>
      <c r="U44" s="105">
        <f ca="1">IF($J$11&gt;0,"",IF($D$9&gt;0,$D$9*R44/2000,IF($D$10&gt;0,$D$10*365*R44/2000,IF($D$11&gt;0,$D$11*365*R44*Q44/2000,IF($I$11&gt;0,0,T44*8760/2000)))))</f>
        <v>0</v>
      </c>
      <c r="V44" s="113">
        <f ca="1">(R13*R44/2000)</f>
        <v>0</v>
      </c>
    </row>
    <row r="45" spans="1:23" ht="14.25" customHeight="1" x14ac:dyDescent="0.2">
      <c r="B45" s="45" t="str">
        <f>IF(COUNTIF(J38:J47,"Cement Delivery to Silo")&gt;0,"EP-2 Cement Silo Stack:","")</f>
        <v/>
      </c>
      <c r="C45" s="221"/>
      <c r="D45" s="221"/>
      <c r="E45" s="221"/>
      <c r="F45" s="221"/>
      <c r="H45" s="127" t="str">
        <f t="shared" si="16"/>
        <v/>
      </c>
      <c r="I45" s="127" t="str">
        <f t="shared" si="14"/>
        <v/>
      </c>
      <c r="J45" s="82"/>
      <c r="K45" s="61"/>
      <c r="L45" s="156"/>
      <c r="M45" s="219" t="str">
        <f t="shared" si="17"/>
        <v/>
      </c>
      <c r="N45" s="219" t="str">
        <f t="shared" si="18"/>
        <v/>
      </c>
      <c r="P45" s="90" t="s">
        <v>200</v>
      </c>
      <c r="Q45" s="105">
        <f t="shared" ca="1" si="9"/>
        <v>0</v>
      </c>
      <c r="R45" s="111">
        <f ca="1">IF(Q45=0,0,LOOKUP(P45,'Emission Factors'!$A$5:$A$16,'Emission Factors'!$H$5:$H$16))</f>
        <v>0</v>
      </c>
      <c r="S45" s="148"/>
      <c r="T45" s="105">
        <f ca="1">IF(Q45=0,0,IF($I$10&gt;0,$I$10,Q45*R45))</f>
        <v>0</v>
      </c>
      <c r="U45" s="105">
        <f ca="1">IF($J$11&gt;0,"",IF($D$9&gt;0,$D$9*R45/2000,IF($D$10&gt;0,$D$10*365*R45/2000,IF($D$11&gt;0,$D$11*365*R45*Q45/2000,IF($I$11&gt;0,0,T45*8760/2000)))))</f>
        <v>0</v>
      </c>
      <c r="V45" s="113">
        <f ca="1">(R14*R45/2000)</f>
        <v>0</v>
      </c>
    </row>
    <row r="46" spans="1:23" ht="14.25" customHeight="1" x14ac:dyDescent="0.2">
      <c r="B46" s="45" t="str">
        <f>IF(COUNTIF(J38:J47,"Cement Supplement Delivery to Silo")&gt;0,"EP-3 Cement Supplement Silo Stack:","")</f>
        <v/>
      </c>
      <c r="C46" s="221"/>
      <c r="D46" s="221"/>
      <c r="E46" s="221"/>
      <c r="F46" s="221"/>
      <c r="G46" s="76"/>
      <c r="H46" s="127" t="str">
        <f t="shared" si="16"/>
        <v/>
      </c>
      <c r="I46" s="127" t="str">
        <f t="shared" si="14"/>
        <v/>
      </c>
      <c r="J46" s="82"/>
      <c r="K46" s="61"/>
      <c r="L46" s="156"/>
      <c r="M46" s="219" t="str">
        <f t="shared" si="17"/>
        <v/>
      </c>
      <c r="N46" s="219" t="str">
        <f t="shared" si="18"/>
        <v/>
      </c>
      <c r="O46" s="76"/>
    </row>
    <row r="47" spans="1:23" ht="14.25" customHeight="1" x14ac:dyDescent="0.2">
      <c r="B47" s="45" t="str">
        <f>IF(COUNTIF(J38:J47,"Weigh Hopper Loading")&gt;0,"EP-4 Weigh Hopper Loading Stack:","")</f>
        <v/>
      </c>
      <c r="C47" s="221"/>
      <c r="D47" s="221"/>
      <c r="E47" s="221"/>
      <c r="F47" s="221"/>
      <c r="H47" s="127" t="str">
        <f t="shared" si="16"/>
        <v/>
      </c>
      <c r="I47" s="127" t="str">
        <f t="shared" si="14"/>
        <v/>
      </c>
      <c r="J47" s="82"/>
      <c r="K47" s="61"/>
      <c r="L47" s="156"/>
      <c r="M47" s="219" t="str">
        <f t="shared" si="17"/>
        <v/>
      </c>
      <c r="N47" s="219" t="str">
        <f t="shared" si="18"/>
        <v/>
      </c>
    </row>
    <row r="48" spans="1:23" ht="27" customHeight="1" x14ac:dyDescent="0.2">
      <c r="B48" s="45" t="str">
        <f>IF(COUNTIF(J38:J47,"Truck Mix Loading")&gt;0,"EP-5 Truck Mix Loading Stack:","")</f>
        <v/>
      </c>
      <c r="C48" s="221"/>
      <c r="D48" s="221"/>
      <c r="E48" s="221"/>
      <c r="F48" s="221"/>
      <c r="G48" s="146"/>
      <c r="H48" s="74" t="str">
        <f>IF('Concrete Plant (CP-6)'!$D$4&gt;1,"Stock Pile Area","")</f>
        <v/>
      </c>
      <c r="I48" s="74"/>
      <c r="J48" s="74"/>
      <c r="L48" s="76"/>
      <c r="P48" s="68" t="s">
        <v>40</v>
      </c>
      <c r="Q48" s="309" t="s">
        <v>151</v>
      </c>
      <c r="R48" s="309" t="s">
        <v>152</v>
      </c>
      <c r="S48" s="308" t="s">
        <v>147</v>
      </c>
      <c r="T48" s="308" t="s">
        <v>130</v>
      </c>
      <c r="U48" s="308" t="s">
        <v>14</v>
      </c>
      <c r="V48" s="308" t="s">
        <v>148</v>
      </c>
    </row>
    <row r="49" spans="2:22" ht="14.25" customHeight="1" x14ac:dyDescent="0.2">
      <c r="B49" s="45" t="str">
        <f>IF(COUNTIF(J38:J47,"Central Mix Loading")&gt;0,"EP-6 Central Mix Loading Stack:","")</f>
        <v/>
      </c>
      <c r="C49" s="221"/>
      <c r="D49" s="221"/>
      <c r="E49" s="221"/>
      <c r="F49" s="221"/>
      <c r="G49" s="71"/>
      <c r="I49" s="51" t="str">
        <f>IF('Concrete Plant (CP-6)'!$D$4&gt;1,"Emission Unit #","")</f>
        <v/>
      </c>
      <c r="J49" s="81" t="str">
        <f>IF('Concrete Plant (CP-6)'!$D$4&gt;1,"Maximum Storage Area (acres)","")</f>
        <v/>
      </c>
      <c r="K49" s="81" t="str">
        <f>IF('Concrete Plant (CP-6)'!$D$4&gt;1,"Actual Storage Area (acres)","")</f>
        <v/>
      </c>
      <c r="L49" s="81" t="str">
        <f>IF('Concrete Plant (CP-6)'!$D$4&gt;1,"Actual Days in Existence (days)","")</f>
        <v/>
      </c>
      <c r="M49" s="71"/>
      <c r="N49" s="71"/>
      <c r="P49" s="92" t="s">
        <v>153</v>
      </c>
      <c r="Q49" s="143">
        <f>Q17</f>
        <v>0</v>
      </c>
      <c r="R49" s="143">
        <v>3.64</v>
      </c>
      <c r="S49" s="143">
        <f>Q49*R49*(1/24)</f>
        <v>0</v>
      </c>
      <c r="T49" s="143"/>
      <c r="U49" s="143">
        <f>Q49*R49*365/2000</f>
        <v>0</v>
      </c>
      <c r="V49" s="143">
        <f>R17*R49/2000</f>
        <v>0</v>
      </c>
    </row>
    <row r="50" spans="2:22" ht="14.25" customHeight="1" x14ac:dyDescent="0.2">
      <c r="B50" s="73"/>
      <c r="C50" s="163"/>
      <c r="D50" s="163"/>
      <c r="E50" s="163"/>
      <c r="F50" s="176"/>
      <c r="I50" s="63"/>
      <c r="J50" s="144"/>
      <c r="K50" s="144"/>
      <c r="L50" s="144"/>
      <c r="M50" s="146"/>
      <c r="N50" s="146"/>
      <c r="Q50" s="68"/>
      <c r="R50" s="68"/>
      <c r="S50" s="68"/>
    </row>
    <row r="51" spans="2:22" ht="14.25" customHeight="1" x14ac:dyDescent="0.2">
      <c r="B51" s="73"/>
      <c r="C51" s="146"/>
      <c r="D51" s="146"/>
      <c r="E51" s="146"/>
      <c r="F51" s="146"/>
      <c r="G51" s="45"/>
      <c r="M51" s="146"/>
      <c r="N51" s="146"/>
      <c r="Q51" s="68"/>
      <c r="R51" s="68"/>
      <c r="S51" s="68"/>
    </row>
    <row r="52" spans="2:22" ht="27.75" customHeight="1" x14ac:dyDescent="0.25">
      <c r="B52" s="78" t="str">
        <f>IF('Concrete Plant (CP-6)'!$D$4&gt;2,"Batch Plant","")</f>
        <v/>
      </c>
      <c r="C52" s="71" t="str">
        <f>IF('Concrete Plant (CP-6)'!$D$4&gt;2,"Site 3","")</f>
        <v/>
      </c>
      <c r="D52" s="71"/>
      <c r="E52" s="71"/>
      <c r="F52" s="71"/>
      <c r="G52" s="45"/>
      <c r="H52" s="310" t="str">
        <f>IF('Concrete Plant (CP-6)'!$D$4&gt;2,"Emission Point #","")</f>
        <v/>
      </c>
      <c r="I52" s="310" t="str">
        <f>IF('Concrete Plant (CP-6)'!$D$4&gt;2,"Emission     Unit #","")</f>
        <v/>
      </c>
      <c r="J52" s="310" t="str">
        <f>IF('Concrete Plant (CP-6)'!$D$4&gt;2,"Processes","")</f>
        <v/>
      </c>
      <c r="K52" s="311" t="str">
        <f>IF('Concrete Plant (CP-6)'!$D$4&gt;2,"Combined Maximum Hourly Design Rate for all Like Processes (cubic yard/hr)","")</f>
        <v/>
      </c>
      <c r="L52" s="310" t="str">
        <f>IF('Concrete Plant (CP-6)'!$D$4&gt;2,('Facility Information'!G5&amp;" Annual Throughput (cubic yards)"),"")</f>
        <v/>
      </c>
      <c r="M52" s="217"/>
      <c r="N52" s="217"/>
    </row>
    <row r="53" spans="2:22" ht="14.25" customHeight="1" x14ac:dyDescent="0.2">
      <c r="B53" s="79" t="str">
        <f>IF('Concrete Plant (CP-6)'!$D$4&gt;2,"Site Name:","")</f>
        <v/>
      </c>
      <c r="C53" s="349"/>
      <c r="D53" s="356"/>
      <c r="E53" s="357"/>
      <c r="F53" s="175"/>
      <c r="G53" s="45"/>
      <c r="H53" s="127" t="str">
        <f>IF(J53="cement delivery to silo","CP-1 EP-2",IF(J53="cement supplement delivery to silo","CP-1 EP-3",IF(J53="weigh hopper loading","CP-1 EP-4",IF(J53="truck mix loading","CP-1 EP-5",IF(J53="central mix loading","CP-1 EP-6",IF(J53="","","CP-1 EP-1"))))))</f>
        <v/>
      </c>
      <c r="I53" s="127" t="str">
        <f t="shared" ref="I53:I62" si="19">IF(J53="","",IF(J53="aggregate delivery to ground storage","CP-6 EU-1",IF(J53="sand delivery to ground storage","CP-6 EU-2",IF(J53="aggregate transfer to conveyor","CP-6 EU-3",IF(J53="sand transfer to conveyor","CP-6 EU-4",IF(J53="aggregate transfer to elevated storage","CP-6 EU-5",IF(J53="sand transfer to elevated storage","CP-6 EU-6",IF(J53="weigh hopper loading","CP-6 EU-7",IF(J53="central mix loading","CP-6 EU-8",IF(J53="truck mix loading","CP-6 EU-9",IF(J53="cement delivery to silo","CP-6 EU-10",IF(J53="cement supplement delivery to silo","CP-6 EU-11"))))))))))))</f>
        <v/>
      </c>
      <c r="J53" s="82"/>
      <c r="K53" s="61"/>
      <c r="L53" s="156"/>
      <c r="M53" s="219" t="str">
        <f>IF(J53="truck mix loading",IF($F$56="yes",L53*0.05/2000,L53/2000),"")</f>
        <v/>
      </c>
      <c r="N53" s="219" t="str">
        <f>IF(J53="central mix loading",IF($F$56="yes",L53*0.05/2000,L53/2000),"")</f>
        <v/>
      </c>
      <c r="Q53" s="68"/>
      <c r="R53" s="68"/>
      <c r="S53" s="68"/>
    </row>
    <row r="54" spans="2:22" ht="14.25" customHeight="1" x14ac:dyDescent="0.2">
      <c r="B54" s="79" t="str">
        <f>IF('Concrete Plant (CP-6)'!$D$4&gt;2,"County:","")</f>
        <v/>
      </c>
      <c r="C54" s="339"/>
      <c r="D54" s="342"/>
      <c r="E54" s="343"/>
      <c r="F54" s="175"/>
      <c r="G54" s="45"/>
      <c r="H54" s="127" t="str">
        <f t="shared" ref="H54:H62" si="20">IF(J54="cement delivery to silo","CP-1 EP-2",IF(J54="cement supplement delivery to silo","CP-1 EP-3",IF(J54="weigh hopper loading","CP-1 EP-4",IF(J54="truck mix loading","CP-1 EP-5",IF(J54="central mix loading","CP-1 EP-6",IF(J54="","","CP-1 EP-1"))))))</f>
        <v/>
      </c>
      <c r="I54" s="127" t="str">
        <f t="shared" si="19"/>
        <v/>
      </c>
      <c r="J54" s="82"/>
      <c r="K54" s="61"/>
      <c r="L54" s="156"/>
      <c r="M54" s="219" t="str">
        <f t="shared" ref="M54:M62" si="21">IF(J54="truck mix loading",IF($F$56="yes",L54*0.05/2000,L54/2000),"")</f>
        <v/>
      </c>
      <c r="N54" s="219" t="str">
        <f t="shared" ref="N54:N62" si="22">IF(J54="central mix loading",IF($F$56="yes",L54*0.05/2000,L54/2000),"")</f>
        <v/>
      </c>
      <c r="Q54" s="68"/>
      <c r="R54" s="68"/>
      <c r="S54" s="68"/>
    </row>
    <row r="55" spans="2:22" ht="14.25" customHeight="1" x14ac:dyDescent="0.2">
      <c r="B55" s="79" t="str">
        <f>IF('Concrete Plant (CP-6)'!$D$4&gt;2,"Batching Period (Dates):","")</f>
        <v/>
      </c>
      <c r="C55" s="352"/>
      <c r="D55" s="358"/>
      <c r="E55" s="359"/>
      <c r="F55" s="175"/>
      <c r="G55" s="45"/>
      <c r="H55" s="127" t="str">
        <f t="shared" si="20"/>
        <v/>
      </c>
      <c r="I55" s="127" t="str">
        <f t="shared" si="19"/>
        <v/>
      </c>
      <c r="J55" s="82"/>
      <c r="K55" s="61"/>
      <c r="L55" s="156"/>
      <c r="M55" s="219" t="str">
        <f t="shared" si="21"/>
        <v/>
      </c>
      <c r="N55" s="219" t="str">
        <f t="shared" si="22"/>
        <v/>
      </c>
      <c r="Q55" s="68"/>
      <c r="R55" s="68"/>
      <c r="S55" s="68"/>
    </row>
    <row r="56" spans="2:22" ht="14.25" customHeight="1" x14ac:dyDescent="0.2">
      <c r="B56" s="51" t="str">
        <f>IF(OR(COUNTIF(J53:J62,"Truck Mix Loading")&gt;0,(COUNTIF(J53:J62,"Central Mix Loading")&gt;0)),"Is the Central/Truck Mix Loading process controlled by a baghouse?","")</f>
        <v/>
      </c>
      <c r="C56" s="51"/>
      <c r="D56" s="51"/>
      <c r="E56" s="51"/>
      <c r="F56" s="221"/>
      <c r="G56" s="45"/>
      <c r="H56" s="127" t="str">
        <f t="shared" si="20"/>
        <v/>
      </c>
      <c r="I56" s="127" t="str">
        <f t="shared" si="19"/>
        <v/>
      </c>
      <c r="J56" s="82"/>
      <c r="K56" s="61"/>
      <c r="L56" s="156"/>
      <c r="M56" s="219" t="str">
        <f t="shared" si="21"/>
        <v/>
      </c>
      <c r="N56" s="219" t="str">
        <f t="shared" si="22"/>
        <v/>
      </c>
      <c r="Q56" s="68"/>
      <c r="R56" s="68"/>
      <c r="S56" s="68"/>
    </row>
    <row r="57" spans="2:22" ht="14.25" customHeight="1" x14ac:dyDescent="0.2">
      <c r="F57" s="177"/>
      <c r="G57" s="45"/>
      <c r="H57" s="127" t="str">
        <f t="shared" si="20"/>
        <v/>
      </c>
      <c r="I57" s="127" t="str">
        <f t="shared" si="19"/>
        <v/>
      </c>
      <c r="J57" s="82"/>
      <c r="K57" s="61"/>
      <c r="L57" s="156"/>
      <c r="M57" s="219" t="str">
        <f t="shared" si="21"/>
        <v/>
      </c>
      <c r="N57" s="219" t="str">
        <f t="shared" si="22"/>
        <v/>
      </c>
      <c r="Q57" s="68"/>
      <c r="R57" s="68"/>
      <c r="S57" s="68"/>
    </row>
    <row r="58" spans="2:22" ht="29.25" customHeight="1" x14ac:dyDescent="0.2">
      <c r="B58" s="312" t="str">
        <f>IF(AND(B60="",B61="",B62="",B63="",B64=""),"","Process (complete stack information if applicable):")</f>
        <v/>
      </c>
      <c r="C58" s="312" t="str">
        <f>IF(AND(B60="",B61="",B62="",B63="",B64=""),"","Stack Height (ft):")</f>
        <v/>
      </c>
      <c r="D58" s="312" t="str">
        <f>IF(AND(B60="",B61="",B62="",B63="",B64=""),"","Stack Diameter (inches):")</f>
        <v/>
      </c>
      <c r="E58" s="312" t="str">
        <f>IF(AND(B60="",B61="",B62="",B63="",B64=""),"","Flow Rate (acfm):")</f>
        <v/>
      </c>
      <c r="F58" s="312" t="str">
        <f>IF(AND(B60="",B61="",B62="",B63="",B64=""),"","Temp (Deg F):")</f>
        <v/>
      </c>
      <c r="H58" s="127" t="str">
        <f t="shared" si="20"/>
        <v/>
      </c>
      <c r="I58" s="127" t="str">
        <f t="shared" si="19"/>
        <v/>
      </c>
      <c r="J58" s="82"/>
      <c r="K58" s="61"/>
      <c r="L58" s="156"/>
      <c r="M58" s="219" t="str">
        <f t="shared" si="21"/>
        <v/>
      </c>
      <c r="N58" s="219" t="str">
        <f t="shared" si="22"/>
        <v/>
      </c>
    </row>
    <row r="59" spans="2:22" ht="14.25" customHeight="1" x14ac:dyDescent="0.2">
      <c r="B59" s="312"/>
      <c r="C59" s="312"/>
      <c r="D59" s="312"/>
      <c r="E59" s="312"/>
      <c r="F59" s="312"/>
      <c r="G59" s="76"/>
      <c r="H59" s="127" t="str">
        <f t="shared" si="20"/>
        <v/>
      </c>
      <c r="I59" s="127" t="str">
        <f t="shared" si="19"/>
        <v/>
      </c>
      <c r="J59" s="82"/>
      <c r="K59" s="61"/>
      <c r="L59" s="156"/>
      <c r="M59" s="219" t="str">
        <f t="shared" si="21"/>
        <v/>
      </c>
      <c r="N59" s="219" t="str">
        <f t="shared" si="22"/>
        <v/>
      </c>
    </row>
    <row r="60" spans="2:22" ht="14.25" customHeight="1" x14ac:dyDescent="0.2">
      <c r="B60" s="45" t="str">
        <f>IF(COUNTIF(J53:J62,"Cement Delivery to Silo")&gt;0,"EP-2 Cement Silo Stack:","")</f>
        <v/>
      </c>
      <c r="C60" s="221"/>
      <c r="D60" s="221"/>
      <c r="E60" s="221"/>
      <c r="F60" s="221"/>
      <c r="H60" s="127" t="str">
        <f t="shared" si="20"/>
        <v/>
      </c>
      <c r="I60" s="127" t="str">
        <f t="shared" si="19"/>
        <v/>
      </c>
      <c r="J60" s="82"/>
      <c r="K60" s="61"/>
      <c r="L60" s="156"/>
      <c r="M60" s="219" t="str">
        <f t="shared" si="21"/>
        <v/>
      </c>
      <c r="N60" s="219" t="str">
        <f t="shared" si="22"/>
        <v/>
      </c>
    </row>
    <row r="61" spans="2:22" ht="14.25" customHeight="1" x14ac:dyDescent="0.2">
      <c r="B61" s="45" t="str">
        <f>IF(COUNTIF(J53:J62,"Cement Supplement Delivery to Silo")&gt;0,"EP-3 Cement Supplement Silo Stack:","")</f>
        <v/>
      </c>
      <c r="C61" s="221"/>
      <c r="D61" s="221"/>
      <c r="E61" s="221"/>
      <c r="F61" s="221"/>
      <c r="H61" s="127" t="str">
        <f t="shared" si="20"/>
        <v/>
      </c>
      <c r="I61" s="127" t="str">
        <f t="shared" si="19"/>
        <v/>
      </c>
      <c r="J61" s="82"/>
      <c r="K61" s="61"/>
      <c r="L61" s="156"/>
      <c r="M61" s="219" t="str">
        <f t="shared" si="21"/>
        <v/>
      </c>
      <c r="N61" s="219" t="str">
        <f t="shared" si="22"/>
        <v/>
      </c>
    </row>
    <row r="62" spans="2:22" ht="14.25" customHeight="1" x14ac:dyDescent="0.2">
      <c r="B62" s="45" t="str">
        <f>IF(COUNTIF(J53:J62,"Weigh Hopper Loading")&gt;0,"EP-4 Weigh Hopper Loading Stack:","")</f>
        <v/>
      </c>
      <c r="C62" s="221"/>
      <c r="D62" s="221"/>
      <c r="E62" s="221"/>
      <c r="F62" s="221"/>
      <c r="H62" s="127" t="str">
        <f t="shared" si="20"/>
        <v/>
      </c>
      <c r="I62" s="127" t="str">
        <f t="shared" si="19"/>
        <v/>
      </c>
      <c r="J62" s="82"/>
      <c r="K62" s="61"/>
      <c r="L62" s="156"/>
      <c r="M62" s="219" t="str">
        <f t="shared" si="21"/>
        <v/>
      </c>
      <c r="N62" s="219" t="str">
        <f t="shared" si="22"/>
        <v/>
      </c>
    </row>
    <row r="63" spans="2:22" ht="14.25" customHeight="1" x14ac:dyDescent="0.2">
      <c r="B63" s="45" t="str">
        <f>IF(COUNTIF(J53:J62,"Truck Mix Loading")&gt;0,"EP-5 Truck Mix Loading Stack:","")</f>
        <v/>
      </c>
      <c r="C63" s="221"/>
      <c r="D63" s="221"/>
      <c r="E63" s="221"/>
      <c r="F63" s="221"/>
      <c r="H63" s="45"/>
      <c r="I63" s="45"/>
    </row>
    <row r="64" spans="2:22" ht="14.25" customHeight="1" x14ac:dyDescent="0.2">
      <c r="B64" s="45" t="str">
        <f>IF(COUNTIF(J53:J62,"Central Mix Loading")&gt;0,"EP-6 Central Mix Loading Stack:","")</f>
        <v/>
      </c>
      <c r="C64" s="221"/>
      <c r="D64" s="221"/>
      <c r="E64" s="221"/>
      <c r="F64" s="221"/>
      <c r="G64" s="45"/>
      <c r="H64" s="74" t="str">
        <f>IF('Concrete Plant (CP-6)'!$D$4&gt;2,"Stock Pile Area","")</f>
        <v/>
      </c>
      <c r="I64" s="74"/>
      <c r="J64" s="75"/>
    </row>
    <row r="65" spans="2:14" ht="14.25" customHeight="1" x14ac:dyDescent="0.2">
      <c r="B65" s="73"/>
      <c r="C65" s="163"/>
      <c r="D65" s="163"/>
      <c r="E65" s="163"/>
      <c r="F65" s="176"/>
      <c r="G65" s="45"/>
      <c r="I65" s="51" t="str">
        <f>IF('Concrete Plant (CP-6)'!$D$4&gt;2,"Emission Unit #","")</f>
        <v/>
      </c>
      <c r="J65" s="80" t="str">
        <f>IF('Concrete Plant (CP-6)'!$D$4&gt;2,"Maximum Storage Area (acres)","")</f>
        <v/>
      </c>
      <c r="K65" s="81" t="str">
        <f>IF('Concrete Plant (CP-6)'!$D$4&gt;2,"Actual Storage Area (acres)","")</f>
        <v/>
      </c>
      <c r="L65" s="80" t="str">
        <f>IF('Concrete Plant (CP-6)'!$D$4&gt;2,"Actual Days in Existence (days)","")</f>
        <v/>
      </c>
      <c r="M65" s="146"/>
      <c r="N65" s="146"/>
    </row>
    <row r="66" spans="2:14" ht="14.25" customHeight="1" x14ac:dyDescent="0.2">
      <c r="B66" s="73"/>
      <c r="C66" s="163"/>
      <c r="D66" s="163"/>
      <c r="E66" s="163"/>
      <c r="F66" s="176"/>
      <c r="G66" s="45"/>
      <c r="I66" s="65"/>
      <c r="J66" s="144"/>
      <c r="K66" s="66"/>
      <c r="L66" s="144"/>
      <c r="M66" s="146"/>
      <c r="N66" s="146"/>
    </row>
    <row r="67" spans="2:14" ht="14.25" customHeight="1" x14ac:dyDescent="0.2">
      <c r="B67" s="73"/>
      <c r="C67" s="163"/>
      <c r="D67" s="163"/>
      <c r="E67" s="163"/>
      <c r="F67" s="176"/>
      <c r="G67" s="45"/>
    </row>
    <row r="68" spans="2:14" ht="14.25" customHeight="1" x14ac:dyDescent="0.2">
      <c r="F68" s="177"/>
      <c r="G68" s="45"/>
    </row>
    <row r="69" spans="2:14" ht="27.75" customHeight="1" x14ac:dyDescent="0.25">
      <c r="B69" s="78" t="str">
        <f>IF('Concrete Plant (CP-6)'!$D$4&gt;3,"Batch Plant","")</f>
        <v/>
      </c>
      <c r="C69" s="71" t="str">
        <f>IF('Concrete Plant (CP-6)'!$D$4&gt;3,"Site 4","")</f>
        <v/>
      </c>
      <c r="D69" s="71"/>
      <c r="E69" s="71"/>
      <c r="F69" s="71"/>
      <c r="G69" s="45"/>
      <c r="H69" s="310" t="str">
        <f>IF('Concrete Plant (CP-6)'!$D$4&gt;3,"Emission Point #","")</f>
        <v/>
      </c>
      <c r="I69" s="310" t="str">
        <f>IF('Concrete Plant (CP-6)'!$D$4&gt;3,"Emission     Unit #","")</f>
        <v/>
      </c>
      <c r="J69" s="310" t="str">
        <f>IF('Concrete Plant (CP-6)'!$D$4&gt;3,"Processes","")</f>
        <v/>
      </c>
      <c r="K69" s="311" t="str">
        <f>IF('Concrete Plant (CP-6)'!$D$4&gt;3,"Combined Maximum Hourly Design Rate for all Like Processes (cubic yard/hr)","")</f>
        <v/>
      </c>
      <c r="L69" s="310" t="str">
        <f>IF('Concrete Plant (CP-6)'!$D$4&gt;3,('Facility Information'!G5&amp;" Annual Throughput (cubic yards)"),"")</f>
        <v/>
      </c>
      <c r="M69" s="217"/>
      <c r="N69" s="217"/>
    </row>
    <row r="70" spans="2:14" ht="14.25" customHeight="1" x14ac:dyDescent="0.2">
      <c r="B70" s="79" t="str">
        <f>IF('Concrete Plant (CP-6)'!$D$4&gt;3,"Site Name:","")</f>
        <v/>
      </c>
      <c r="C70" s="349"/>
      <c r="D70" s="356"/>
      <c r="E70" s="357"/>
      <c r="F70" s="175"/>
      <c r="G70" s="45"/>
      <c r="H70" s="127" t="str">
        <f>IF(J70="cement delivery to silo","CP-1 EP-2",IF(J70="cement supplement delivery to silo","CP-1 EP-3",IF(J70="weigh hopper loading","CP-1 EP-4",IF(J70="truck mix loading","CP-1 EP-5",IF(J70="central mix loading","CP-1 EP-6",IF(J70="","","CP-1 EP-1"))))))</f>
        <v/>
      </c>
      <c r="I70" s="127" t="str">
        <f t="shared" ref="I70:I79" si="23">IF(J70="","",IF(J70="aggregate delivery to ground storage","CP-6 EU-1",IF(J70="sand delivery to ground storage","CP-6 EU-2",IF(J70="aggregate transfer to conveyor","CP-6 EU-3",IF(J70="sand transfer to conveyor","CP-6 EU-4",IF(J70="aggregate transfer to elevated storage","CP-6 EU-5",IF(J70="sand transfer to elevated storage","CP-6 EU-6",IF(J70="weigh hopper loading","CP-6 EU-7",IF(J70="central mix loading","CP-6 EU-8",IF(J70="truck mix loading","CP-6 EU-9",IF(J70="cement delivery to silo","CP-6 EU-10",IF(J70="cement supplement delivery to silo","CP-6 EU-11"))))))))))))</f>
        <v/>
      </c>
      <c r="J70" s="82"/>
      <c r="K70" s="61"/>
      <c r="L70" s="156"/>
      <c r="M70" s="219" t="str">
        <f>IF(J70="truck mix loading",IF($F$73="yes",L70*0.05/2000,L70/2000),"")</f>
        <v/>
      </c>
      <c r="N70" s="219" t="str">
        <f>IF(J70="central mix loading",IF($F$73="yes",L70*0.05/2000,L70/2000),"")</f>
        <v/>
      </c>
    </row>
    <row r="71" spans="2:14" ht="14.25" customHeight="1" x14ac:dyDescent="0.2">
      <c r="B71" s="79" t="str">
        <f>IF('Concrete Plant (CP-6)'!$D$4&gt;3,"County:","")</f>
        <v/>
      </c>
      <c r="C71" s="339"/>
      <c r="D71" s="342"/>
      <c r="E71" s="343"/>
      <c r="F71" s="175"/>
      <c r="G71" s="45"/>
      <c r="H71" s="127" t="str">
        <f t="shared" ref="H71:H79" si="24">IF(J71="cement delivery to silo","CP-1 EP-2",IF(J71="cement supplement delivery to silo","CP-1 EP-3",IF(J71="weigh hopper loading","CP-1 EP-4",IF(J71="truck mix loading","CP-1 EP-5",IF(J71="central mix loading","CP-1 EP-6",IF(J71="","","CP-1 EP-1"))))))</f>
        <v/>
      </c>
      <c r="I71" s="127" t="str">
        <f t="shared" si="23"/>
        <v/>
      </c>
      <c r="J71" s="82"/>
      <c r="K71" s="61"/>
      <c r="L71" s="156"/>
      <c r="M71" s="219" t="str">
        <f t="shared" ref="M71:M79" si="25">IF(J71="truck mix loading",IF($F$73="yes",L71*0.05/2000,L71/2000),"")</f>
        <v/>
      </c>
      <c r="N71" s="219" t="str">
        <f t="shared" ref="N71:N79" si="26">IF(J71="central mix loading",IF($F$73="yes",L71*0.05/2000,L71/2000),"")</f>
        <v/>
      </c>
    </row>
    <row r="72" spans="2:14" ht="14.25" customHeight="1" x14ac:dyDescent="0.2">
      <c r="B72" s="79" t="str">
        <f>IF('Concrete Plant (CP-6)'!$D$4&gt;3,"Batching Period (Dates):","")</f>
        <v/>
      </c>
      <c r="C72" s="352"/>
      <c r="D72" s="358"/>
      <c r="E72" s="359"/>
      <c r="F72" s="175"/>
      <c r="G72" s="45"/>
      <c r="H72" s="127" t="str">
        <f t="shared" si="24"/>
        <v/>
      </c>
      <c r="I72" s="127" t="str">
        <f t="shared" si="23"/>
        <v/>
      </c>
      <c r="J72" s="82"/>
      <c r="K72" s="61"/>
      <c r="L72" s="156"/>
      <c r="M72" s="219" t="str">
        <f t="shared" si="25"/>
        <v/>
      </c>
      <c r="N72" s="219" t="str">
        <f t="shared" si="26"/>
        <v/>
      </c>
    </row>
    <row r="73" spans="2:14" ht="14.25" customHeight="1" x14ac:dyDescent="0.2">
      <c r="B73" s="51" t="str">
        <f>IF(OR(COUNTIF(J70:J79,"Truck Mix Loading")&gt;0,(COUNTIF(J70:J79,"Central Mix Loading")&gt;0)),"Is the Central/Truck Mix Loading process controlled by a baghouse?","")</f>
        <v/>
      </c>
      <c r="C73" s="51"/>
      <c r="D73" s="51"/>
      <c r="E73" s="51"/>
      <c r="F73" s="221"/>
      <c r="H73" s="127" t="str">
        <f t="shared" si="24"/>
        <v/>
      </c>
      <c r="I73" s="127" t="str">
        <f t="shared" si="23"/>
        <v/>
      </c>
      <c r="J73" s="82"/>
      <c r="K73" s="61"/>
      <c r="L73" s="156"/>
      <c r="M73" s="219" t="str">
        <f t="shared" si="25"/>
        <v/>
      </c>
      <c r="N73" s="219" t="str">
        <f t="shared" si="26"/>
        <v/>
      </c>
    </row>
    <row r="74" spans="2:14" ht="14.25" customHeight="1" x14ac:dyDescent="0.2">
      <c r="F74" s="177"/>
      <c r="G74" s="76"/>
      <c r="H74" s="127" t="str">
        <f t="shared" si="24"/>
        <v/>
      </c>
      <c r="I74" s="127" t="str">
        <f t="shared" si="23"/>
        <v/>
      </c>
      <c r="J74" s="82"/>
      <c r="K74" s="61"/>
      <c r="L74" s="156"/>
      <c r="M74" s="219" t="str">
        <f t="shared" si="25"/>
        <v/>
      </c>
      <c r="N74" s="219" t="str">
        <f t="shared" si="26"/>
        <v/>
      </c>
    </row>
    <row r="75" spans="2:14" ht="28.5" customHeight="1" x14ac:dyDescent="0.2">
      <c r="B75" s="312" t="str">
        <f>IF(AND(B77="",B78="",B79="",B80="",B81=""),"","Process (complete stack information if applicable):")</f>
        <v/>
      </c>
      <c r="C75" s="312" t="str">
        <f>IF(AND(B77="",B78="",B79="",B80="",B81=""),"","Stack Height (ft):")</f>
        <v/>
      </c>
      <c r="D75" s="312" t="str">
        <f>IF(AND(B77="",B78="",B79="",B80="",B81=""),"","Stack Diameter (inches):")</f>
        <v/>
      </c>
      <c r="E75" s="312" t="str">
        <f>IF(AND(B77="",B78="",B79="",B80="",B81=""),"","Flow Rate (acfm):")</f>
        <v/>
      </c>
      <c r="F75" s="312" t="str">
        <f>IF(AND(B77="",B78="",B79="",B80="",B81=""),"","Temp (Deg F):")</f>
        <v/>
      </c>
      <c r="H75" s="127" t="str">
        <f t="shared" si="24"/>
        <v/>
      </c>
      <c r="I75" s="127" t="str">
        <f t="shared" si="23"/>
        <v/>
      </c>
      <c r="J75" s="82"/>
      <c r="K75" s="61"/>
      <c r="L75" s="156"/>
      <c r="M75" s="219" t="str">
        <f t="shared" si="25"/>
        <v/>
      </c>
      <c r="N75" s="219" t="str">
        <f t="shared" si="26"/>
        <v/>
      </c>
    </row>
    <row r="76" spans="2:14" ht="14.25" customHeight="1" x14ac:dyDescent="0.2">
      <c r="B76" s="312"/>
      <c r="C76" s="312"/>
      <c r="D76" s="312"/>
      <c r="E76" s="312"/>
      <c r="F76" s="312"/>
      <c r="H76" s="127" t="str">
        <f t="shared" si="24"/>
        <v/>
      </c>
      <c r="I76" s="127" t="str">
        <f t="shared" si="23"/>
        <v/>
      </c>
      <c r="J76" s="82"/>
      <c r="K76" s="61"/>
      <c r="L76" s="156"/>
      <c r="M76" s="219" t="str">
        <f t="shared" si="25"/>
        <v/>
      </c>
      <c r="N76" s="219" t="str">
        <f t="shared" si="26"/>
        <v/>
      </c>
    </row>
    <row r="77" spans="2:14" ht="14.25" customHeight="1" x14ac:dyDescent="0.2">
      <c r="B77" s="45" t="str">
        <f>IF(COUNTIF(J70:J79,"Cement Delivery to Silo")&gt;0,"EP-2 Cement Silo Stack:","")</f>
        <v/>
      </c>
      <c r="C77" s="221"/>
      <c r="D77" s="221"/>
      <c r="E77" s="221"/>
      <c r="F77" s="221"/>
      <c r="H77" s="127" t="str">
        <f t="shared" si="24"/>
        <v/>
      </c>
      <c r="I77" s="127" t="str">
        <f t="shared" si="23"/>
        <v/>
      </c>
      <c r="J77" s="82"/>
      <c r="K77" s="61"/>
      <c r="L77" s="156"/>
      <c r="M77" s="219" t="str">
        <f t="shared" si="25"/>
        <v/>
      </c>
      <c r="N77" s="219" t="str">
        <f t="shared" si="26"/>
        <v/>
      </c>
    </row>
    <row r="78" spans="2:14" ht="14.25" customHeight="1" x14ac:dyDescent="0.2">
      <c r="B78" s="45" t="str">
        <f>IF(COUNTIF(J70:J79,"Cement Supplement Delivery to Silo")&gt;0,"EP-3 Cement Supplement Silo Stack:","")</f>
        <v/>
      </c>
      <c r="C78" s="221"/>
      <c r="D78" s="221"/>
      <c r="E78" s="221"/>
      <c r="F78" s="221"/>
      <c r="H78" s="127" t="str">
        <f t="shared" si="24"/>
        <v/>
      </c>
      <c r="I78" s="127" t="str">
        <f t="shared" si="23"/>
        <v/>
      </c>
      <c r="J78" s="82"/>
      <c r="K78" s="61"/>
      <c r="L78" s="156"/>
      <c r="M78" s="219" t="str">
        <f t="shared" si="25"/>
        <v/>
      </c>
      <c r="N78" s="219" t="str">
        <f t="shared" si="26"/>
        <v/>
      </c>
    </row>
    <row r="79" spans="2:14" ht="14.25" customHeight="1" x14ac:dyDescent="0.2">
      <c r="B79" s="45" t="str">
        <f>IF(COUNTIF(J70:J79,"Weigh Hopper Loading")&gt;0,"EP-4 Weigh Hopper Loading Stack:","")</f>
        <v/>
      </c>
      <c r="C79" s="221"/>
      <c r="D79" s="221"/>
      <c r="E79" s="221"/>
      <c r="F79" s="221"/>
      <c r="G79" s="45"/>
      <c r="H79" s="127" t="str">
        <f t="shared" si="24"/>
        <v/>
      </c>
      <c r="I79" s="127" t="str">
        <f t="shared" si="23"/>
        <v/>
      </c>
      <c r="J79" s="82"/>
      <c r="K79" s="61"/>
      <c r="L79" s="156"/>
      <c r="M79" s="219" t="str">
        <f t="shared" si="25"/>
        <v/>
      </c>
      <c r="N79" s="219" t="str">
        <f t="shared" si="26"/>
        <v/>
      </c>
    </row>
    <row r="80" spans="2:14" ht="14.25" customHeight="1" x14ac:dyDescent="0.2">
      <c r="B80" s="45" t="str">
        <f>IF(COUNTIF(J70:J79,"Truck Mix Loading")&gt;0,"EP-5 Truck Mix Loading Stack:","")</f>
        <v/>
      </c>
      <c r="C80" s="221"/>
      <c r="D80" s="221"/>
      <c r="E80" s="221"/>
      <c r="F80" s="221"/>
      <c r="G80" s="45"/>
      <c r="H80" s="45"/>
      <c r="I80" s="45"/>
    </row>
    <row r="81" spans="2:14" ht="14.25" customHeight="1" x14ac:dyDescent="0.2">
      <c r="B81" s="45" t="str">
        <f>IF(COUNTIF(J70:J79,"Central Mix Loading")&gt;0,"EP-6 Central Mix Loading Stack:","")</f>
        <v/>
      </c>
      <c r="C81" s="221"/>
      <c r="D81" s="221"/>
      <c r="E81" s="221"/>
      <c r="F81" s="221"/>
      <c r="G81" s="45"/>
      <c r="H81" s="74" t="str">
        <f>IF('Concrete Plant (CP-6)'!$D$4&gt;3,"Stock Pile Area","")</f>
        <v/>
      </c>
      <c r="I81" s="74"/>
      <c r="J81" s="75"/>
    </row>
    <row r="82" spans="2:14" ht="14.25" customHeight="1" x14ac:dyDescent="0.2">
      <c r="B82" s="73"/>
      <c r="C82" s="163"/>
      <c r="D82" s="163"/>
      <c r="E82" s="163"/>
      <c r="F82" s="176"/>
      <c r="G82" s="45"/>
      <c r="I82" s="51" t="str">
        <f>IF('Concrete Plant (CP-6)'!$D$4&gt;3,"Emission Unit #","")</f>
        <v/>
      </c>
      <c r="J82" s="80" t="str">
        <f>IF('Concrete Plant (CP-6)'!$D$4&gt;3,"Maximum Storage Area (acres)","")</f>
        <v/>
      </c>
      <c r="K82" s="81" t="str">
        <f>IF('Concrete Plant (CP-6)'!$D$4&gt;3,"Actual Storage Area (acres)","")</f>
        <v/>
      </c>
      <c r="L82" s="80" t="str">
        <f>IF('Concrete Plant (CP-6)'!$D$4&gt;3,"Actual Days in Existence (days)","")</f>
        <v/>
      </c>
      <c r="M82" s="146"/>
      <c r="N82" s="146"/>
    </row>
    <row r="83" spans="2:14" ht="14.25" customHeight="1" x14ac:dyDescent="0.2">
      <c r="B83" s="73"/>
      <c r="C83" s="163"/>
      <c r="D83" s="163"/>
      <c r="E83" s="163"/>
      <c r="F83" s="176"/>
      <c r="G83" s="45"/>
      <c r="I83" s="65"/>
      <c r="J83" s="144"/>
      <c r="K83" s="66"/>
      <c r="L83" s="144"/>
      <c r="M83" s="146"/>
      <c r="N83" s="146"/>
    </row>
    <row r="84" spans="2:14" ht="14.25" customHeight="1" x14ac:dyDescent="0.2">
      <c r="B84" s="73"/>
      <c r="C84" s="163"/>
      <c r="D84" s="163"/>
      <c r="E84" s="163"/>
      <c r="F84" s="176"/>
      <c r="G84" s="45"/>
    </row>
    <row r="85" spans="2:14" ht="27" customHeight="1" x14ac:dyDescent="0.25">
      <c r="B85" s="78" t="str">
        <f>IF('Concrete Plant (CP-6)'!$D$4&gt;4,"Batch Plant","")</f>
        <v/>
      </c>
      <c r="C85" s="71" t="str">
        <f>IF('Concrete Plant (CP-6)'!$D$4&gt;4,"Site 5","")</f>
        <v/>
      </c>
      <c r="D85" s="71"/>
      <c r="E85" s="71"/>
      <c r="F85" s="71"/>
      <c r="G85" s="45"/>
      <c r="H85" s="310" t="str">
        <f>IF('Concrete Plant (CP-6)'!$D$4&gt;4,"Emission Point #","")</f>
        <v/>
      </c>
      <c r="I85" s="310" t="str">
        <f>IF('Concrete Plant (CP-6)'!$D$4&gt;4,"Emission     Unit #","")</f>
        <v/>
      </c>
      <c r="J85" s="310" t="str">
        <f>IF('Concrete Plant (CP-6)'!$D$4&gt;4,"Processes","")</f>
        <v/>
      </c>
      <c r="K85" s="311" t="str">
        <f>IF('Concrete Plant (CP-6)'!$D$4&gt;4,"Combined Maximum Hourly Design Rate for all Like Processes (cubic yard/hr)","")</f>
        <v/>
      </c>
      <c r="L85" s="310" t="str">
        <f>IF('Concrete Plant (CP-6)'!$D$4&gt;4,('Facility Information'!G5&amp;" Annual Throughput (cubic yards)"),"")</f>
        <v/>
      </c>
      <c r="M85" s="217"/>
      <c r="N85" s="217"/>
    </row>
    <row r="86" spans="2:14" ht="14.25" customHeight="1" x14ac:dyDescent="0.2">
      <c r="B86" s="79" t="str">
        <f>IF('Concrete Plant (CP-6)'!$D$4&gt;4,"Site Name:","")</f>
        <v/>
      </c>
      <c r="C86" s="349"/>
      <c r="D86" s="356"/>
      <c r="E86" s="357"/>
      <c r="F86" s="175"/>
      <c r="G86" s="45"/>
      <c r="H86" s="127" t="str">
        <f>IF(J86="cement delivery to silo","CP-1 EP-2",IF(J86="cement supplement delivery to silo","CP-1 EP-3",IF(J86="weigh hopper loading","CP-1 EP-4",IF(J86="truck mix loading","CP-1 EP-5",IF(J86="central mix loading","CP-1 EP-6",IF(J86="","","CP-1 EP-1"))))))</f>
        <v/>
      </c>
      <c r="I86" s="127" t="str">
        <f t="shared" ref="I86:I95" si="27">IF(J86="","",IF(J86="aggregate delivery to ground storage","CP-6 EU-1",IF(J86="sand delivery to ground storage","CP-6 EU-2",IF(J86="aggregate transfer to conveyor","CP-6 EU-3",IF(J86="sand transfer to conveyor","CP-6 EU-4",IF(J86="aggregate transfer to elevated storage","CP-6 EU-5",IF(J86="sand transfer to elevated storage","CP-6 EU-6",IF(J86="weigh hopper loading","CP-6 EU-7",IF(J86="central mix loading","CP-6 EU-8",IF(J86="truck mix loading","CP-6 EU-9",IF(J86="cement delivery to silo","CP-6 EU-10",IF(J86="cement supplement delivery to silo","CP-6 EU-11"))))))))))))</f>
        <v/>
      </c>
      <c r="J86" s="82"/>
      <c r="K86" s="61"/>
      <c r="L86" s="156"/>
      <c r="M86" s="219" t="str">
        <f>IF(J86="truck mix loading",IF($F$89="yes",L86*0.05/2000,L86/2000),"")</f>
        <v/>
      </c>
      <c r="N86" s="219" t="str">
        <f>IF(J86="central mix loading",IF($F$89="yes",L86*0.05/2000,L86/2000),"")</f>
        <v/>
      </c>
    </row>
    <row r="87" spans="2:14" ht="14.25" customHeight="1" x14ac:dyDescent="0.2">
      <c r="B87" s="79" t="str">
        <f>IF('Concrete Plant (CP-6)'!$D$4&gt;4,"County:","")</f>
        <v/>
      </c>
      <c r="C87" s="339"/>
      <c r="D87" s="342"/>
      <c r="E87" s="343"/>
      <c r="F87" s="175"/>
      <c r="H87" s="127" t="str">
        <f t="shared" ref="H87:H95" si="28">IF(J87="cement delivery to silo","CP-1 EP-2",IF(J87="cement supplement delivery to silo","CP-1 EP-3",IF(J87="weigh hopper loading","CP-1 EP-4",IF(J87="truck mix loading","CP-1 EP-5",IF(J87="central mix loading","CP-1 EP-6",IF(J87="","","CP-1 EP-1"))))))</f>
        <v/>
      </c>
      <c r="I87" s="127" t="str">
        <f t="shared" si="27"/>
        <v/>
      </c>
      <c r="J87" s="82"/>
      <c r="K87" s="61"/>
      <c r="L87" s="156"/>
      <c r="M87" s="219" t="str">
        <f t="shared" ref="M87:M95" si="29">IF(J87="truck mix loading",IF($F$89="yes",L87*0.05/2000,L87/2000),"")</f>
        <v/>
      </c>
      <c r="N87" s="219" t="str">
        <f t="shared" ref="N87:N95" si="30">IF(J87="central mix loading",IF($F$89="yes",L87*0.05/2000,L87/2000),"")</f>
        <v/>
      </c>
    </row>
    <row r="88" spans="2:14" ht="14.25" customHeight="1" x14ac:dyDescent="0.2">
      <c r="B88" s="79" t="str">
        <f>IF('Concrete Plant (CP-6)'!$D$4&gt;4,"Batching Period (Dates):","")</f>
        <v/>
      </c>
      <c r="C88" s="352"/>
      <c r="D88" s="358"/>
      <c r="E88" s="359"/>
      <c r="F88" s="175"/>
      <c r="G88" s="76"/>
      <c r="H88" s="127" t="str">
        <f t="shared" si="28"/>
        <v/>
      </c>
      <c r="I88" s="127" t="str">
        <f t="shared" si="27"/>
        <v/>
      </c>
      <c r="J88" s="82"/>
      <c r="K88" s="61"/>
      <c r="L88" s="156"/>
      <c r="M88" s="219" t="str">
        <f t="shared" si="29"/>
        <v/>
      </c>
      <c r="N88" s="219" t="str">
        <f t="shared" si="30"/>
        <v/>
      </c>
    </row>
    <row r="89" spans="2:14" ht="14.25" customHeight="1" x14ac:dyDescent="0.2">
      <c r="B89" s="51" t="str">
        <f>IF(OR(COUNTIF(J86:J95,"Truck Mix Loading")&gt;0,(COUNTIF(J86:J95,"Central Mix Loading")&gt;0)),"Is the Central/Truck Mix Loading process controlled by a baghouse?","")</f>
        <v/>
      </c>
      <c r="C89" s="51"/>
      <c r="D89" s="51"/>
      <c r="E89" s="51"/>
      <c r="F89" s="221"/>
      <c r="H89" s="127" t="str">
        <f t="shared" si="28"/>
        <v/>
      </c>
      <c r="I89" s="127" t="str">
        <f t="shared" si="27"/>
        <v/>
      </c>
      <c r="J89" s="82"/>
      <c r="K89" s="61"/>
      <c r="L89" s="156"/>
      <c r="M89" s="219" t="str">
        <f t="shared" si="29"/>
        <v/>
      </c>
      <c r="N89" s="219" t="str">
        <f t="shared" si="30"/>
        <v/>
      </c>
    </row>
    <row r="90" spans="2:14" ht="14.25" customHeight="1" x14ac:dyDescent="0.2">
      <c r="F90" s="177"/>
      <c r="H90" s="127" t="str">
        <f t="shared" si="28"/>
        <v/>
      </c>
      <c r="I90" s="127" t="str">
        <f t="shared" si="27"/>
        <v/>
      </c>
      <c r="J90" s="82"/>
      <c r="K90" s="61"/>
      <c r="L90" s="156"/>
      <c r="M90" s="219" t="str">
        <f t="shared" si="29"/>
        <v/>
      </c>
      <c r="N90" s="219" t="str">
        <f t="shared" si="30"/>
        <v/>
      </c>
    </row>
    <row r="91" spans="2:14" ht="27.75" customHeight="1" x14ac:dyDescent="0.2">
      <c r="B91" s="312" t="str">
        <f>IF(AND(B93="",B94="",B95="",B96="",B97=""),"","Process (complete stack information if applicable):")</f>
        <v/>
      </c>
      <c r="C91" s="312" t="str">
        <f>IF(AND(B93="",B94="",B95="",B96="",B97=""),"","Stack Height (ft):")</f>
        <v/>
      </c>
      <c r="D91" s="312" t="str">
        <f>IF(AND(B93="",B94="",B95="",B96="",B97=""),"","Stack Diameter (inches):")</f>
        <v/>
      </c>
      <c r="E91" s="312" t="str">
        <f>IF(AND(B93="",B94="",B95="",B96="",B97=""),"","Flow Rate (acfm):")</f>
        <v/>
      </c>
      <c r="F91" s="312" t="str">
        <f>IF(AND(B93="",B94="",B95="",B96="",B97=""),"","Temp (Deg F):")</f>
        <v/>
      </c>
      <c r="H91" s="127" t="str">
        <f t="shared" si="28"/>
        <v/>
      </c>
      <c r="I91" s="127" t="str">
        <f t="shared" si="27"/>
        <v/>
      </c>
      <c r="J91" s="82"/>
      <c r="K91" s="61"/>
      <c r="L91" s="156"/>
      <c r="M91" s="219" t="str">
        <f t="shared" si="29"/>
        <v/>
      </c>
      <c r="N91" s="219" t="str">
        <f t="shared" si="30"/>
        <v/>
      </c>
    </row>
    <row r="92" spans="2:14" ht="14.25" customHeight="1" x14ac:dyDescent="0.2">
      <c r="B92" s="312"/>
      <c r="C92" s="312"/>
      <c r="D92" s="312"/>
      <c r="E92" s="312"/>
      <c r="F92" s="312"/>
      <c r="H92" s="127" t="str">
        <f t="shared" si="28"/>
        <v/>
      </c>
      <c r="I92" s="127" t="str">
        <f t="shared" si="27"/>
        <v/>
      </c>
      <c r="J92" s="82"/>
      <c r="K92" s="61"/>
      <c r="L92" s="156"/>
      <c r="M92" s="219" t="str">
        <f t="shared" si="29"/>
        <v/>
      </c>
      <c r="N92" s="219" t="str">
        <f t="shared" si="30"/>
        <v/>
      </c>
    </row>
    <row r="93" spans="2:14" ht="14.25" customHeight="1" x14ac:dyDescent="0.2">
      <c r="B93" s="45" t="str">
        <f>IF(COUNTIF(J86:J95,"Cement Delivery to Silo")&gt;0,"EP-2 Cement Silo Stack:","")</f>
        <v/>
      </c>
      <c r="C93" s="221"/>
      <c r="D93" s="221"/>
      <c r="E93" s="221"/>
      <c r="F93" s="221"/>
      <c r="G93" s="45"/>
      <c r="H93" s="127" t="str">
        <f t="shared" si="28"/>
        <v/>
      </c>
      <c r="I93" s="127" t="str">
        <f t="shared" si="27"/>
        <v/>
      </c>
      <c r="J93" s="82"/>
      <c r="K93" s="61"/>
      <c r="L93" s="156"/>
      <c r="M93" s="219" t="str">
        <f t="shared" si="29"/>
        <v/>
      </c>
      <c r="N93" s="219" t="str">
        <f t="shared" si="30"/>
        <v/>
      </c>
    </row>
    <row r="94" spans="2:14" ht="14.25" customHeight="1" x14ac:dyDescent="0.2">
      <c r="B94" s="45" t="str">
        <f>IF(COUNTIF(J86:J95,"Cement Supplement Delivery to Silo")&gt;0,"EP-3 Cement Supplement Silo Stack:","")</f>
        <v/>
      </c>
      <c r="C94" s="221"/>
      <c r="D94" s="221"/>
      <c r="E94" s="221"/>
      <c r="F94" s="221"/>
      <c r="G94" s="45"/>
      <c r="H94" s="127" t="str">
        <f t="shared" si="28"/>
        <v/>
      </c>
      <c r="I94" s="127" t="str">
        <f t="shared" si="27"/>
        <v/>
      </c>
      <c r="J94" s="82"/>
      <c r="K94" s="61"/>
      <c r="L94" s="156"/>
      <c r="M94" s="219" t="str">
        <f t="shared" si="29"/>
        <v/>
      </c>
      <c r="N94" s="219" t="str">
        <f t="shared" si="30"/>
        <v/>
      </c>
    </row>
    <row r="95" spans="2:14" ht="14.25" customHeight="1" x14ac:dyDescent="0.2">
      <c r="B95" s="45" t="str">
        <f>IF(COUNTIF(J86:J95,"Weigh Hopper Loading")&gt;0,"EP-4 Weigh Hopper Loading Stack:","")</f>
        <v/>
      </c>
      <c r="C95" s="221"/>
      <c r="D95" s="221"/>
      <c r="E95" s="221"/>
      <c r="F95" s="221"/>
      <c r="G95" s="45"/>
      <c r="H95" s="127" t="str">
        <f t="shared" si="28"/>
        <v/>
      </c>
      <c r="I95" s="127" t="str">
        <f t="shared" si="27"/>
        <v/>
      </c>
      <c r="J95" s="82"/>
      <c r="K95" s="61"/>
      <c r="L95" s="156"/>
      <c r="M95" s="219" t="str">
        <f t="shared" si="29"/>
        <v/>
      </c>
      <c r="N95" s="219" t="str">
        <f t="shared" si="30"/>
        <v/>
      </c>
    </row>
    <row r="96" spans="2:14" ht="14.25" customHeight="1" x14ac:dyDescent="0.2">
      <c r="B96" s="45" t="str">
        <f>IF(COUNTIF(J86:J95,"Truck Mix Loading")&gt;0,"EP-5 Truck Mix Loading Stack:","")</f>
        <v/>
      </c>
      <c r="C96" s="221"/>
      <c r="D96" s="221"/>
      <c r="E96" s="221"/>
      <c r="F96" s="221"/>
      <c r="G96" s="45"/>
      <c r="H96" s="45"/>
      <c r="I96" s="45"/>
    </row>
    <row r="97" spans="2:14" ht="14.25" customHeight="1" x14ac:dyDescent="0.2">
      <c r="B97" s="45" t="str">
        <f>IF(COUNTIF(J86:J95,"Central Mix Loading")&gt;0,"EP-6 Central Mix Loading Stack:","")</f>
        <v/>
      </c>
      <c r="C97" s="221"/>
      <c r="D97" s="221"/>
      <c r="E97" s="221"/>
      <c r="F97" s="221"/>
      <c r="G97" s="45"/>
      <c r="H97" s="74" t="str">
        <f>IF('Concrete Plant (CP-6)'!$D$4&gt;4,"Stock Pile Area","")</f>
        <v/>
      </c>
      <c r="I97" s="74"/>
      <c r="J97" s="75"/>
    </row>
    <row r="98" spans="2:14" ht="14.25" customHeight="1" x14ac:dyDescent="0.2">
      <c r="B98" s="73"/>
      <c r="C98" s="163"/>
      <c r="D98" s="163"/>
      <c r="E98" s="163"/>
      <c r="F98" s="176"/>
      <c r="G98" s="45"/>
      <c r="I98" s="51" t="str">
        <f>IF('Concrete Plant (CP-6)'!$D$4&gt;4,"Emission Unit #","")</f>
        <v/>
      </c>
      <c r="J98" s="80" t="str">
        <f>IF('Concrete Plant (CP-6)'!$D$4&gt;4,"Maximum Storage Area (acres)","")</f>
        <v/>
      </c>
      <c r="K98" s="81" t="str">
        <f>IF('Concrete Plant (CP-6)'!$D$4&gt;4,"Actual Storage Area (acres)","")</f>
        <v/>
      </c>
      <c r="L98" s="80" t="str">
        <f>IF('Concrete Plant (CP-6)'!$D$4&gt;4,"Actual Days in Existence (days)","")</f>
        <v/>
      </c>
      <c r="M98" s="146"/>
      <c r="N98" s="146"/>
    </row>
    <row r="99" spans="2:14" ht="14.25" customHeight="1" x14ac:dyDescent="0.2">
      <c r="B99" s="73"/>
      <c r="C99" s="163"/>
      <c r="D99" s="163"/>
      <c r="E99" s="163"/>
      <c r="F99" s="176"/>
      <c r="G99" s="45"/>
      <c r="I99" s="62"/>
      <c r="J99" s="144"/>
      <c r="K99" s="66"/>
      <c r="L99" s="144"/>
      <c r="M99" s="146"/>
      <c r="N99" s="146"/>
    </row>
    <row r="100" spans="2:14" ht="14.25" customHeight="1" x14ac:dyDescent="0.2">
      <c r="F100" s="177"/>
    </row>
    <row r="101" spans="2:14" ht="27.75" customHeight="1" x14ac:dyDescent="0.25">
      <c r="B101" s="78" t="str">
        <f>IF('Concrete Plant (CP-6)'!$D$4&gt;5,"Batch Plant","")</f>
        <v/>
      </c>
      <c r="C101" s="71" t="str">
        <f>IF('Concrete Plant (CP-6)'!$D$4&gt;5,"Site 6","")</f>
        <v/>
      </c>
      <c r="D101" s="71"/>
      <c r="E101" s="71"/>
      <c r="F101" s="71"/>
      <c r="G101" s="45"/>
      <c r="H101" s="310" t="str">
        <f>IF('Concrete Plant (CP-6)'!$D$4&gt;5,"Emission Point #","")</f>
        <v/>
      </c>
      <c r="I101" s="310" t="str">
        <f>IF('Concrete Plant (CP-6)'!$D$4&gt;5,"Emission     Unit #","")</f>
        <v/>
      </c>
      <c r="J101" s="310" t="str">
        <f>IF('Concrete Plant (CP-6)'!$D$4&gt;5,"Processes","")</f>
        <v/>
      </c>
      <c r="K101" s="311" t="str">
        <f>IF('Concrete Plant (CP-6)'!$D$4&gt;5,"Combined Maximum Hourly Design Rate for all Like Processes (cubic yard/hr)","")</f>
        <v/>
      </c>
      <c r="L101" s="310" t="str">
        <f>IF('Concrete Plant (CP-6)'!$D$4&gt;5,('Facility Information'!G5&amp;" Annual Throughput (cubic yards)"),"")</f>
        <v/>
      </c>
      <c r="M101" s="217"/>
      <c r="N101" s="217"/>
    </row>
    <row r="102" spans="2:14" ht="14.25" customHeight="1" x14ac:dyDescent="0.2">
      <c r="B102" s="79" t="str">
        <f>IF('Concrete Plant (CP-6)'!$D$4&gt;5,"Site Name:","")</f>
        <v/>
      </c>
      <c r="C102" s="349"/>
      <c r="D102" s="356"/>
      <c r="E102" s="357"/>
      <c r="F102" s="175"/>
      <c r="G102" s="76"/>
      <c r="H102" s="127" t="str">
        <f>IF(J102="cement delivery to silo","CP-1 EP-2",IF(J102="cement supplement delivery to silo","CP-1 EP-3",IF(J102="weigh hopper loading","CP-1 EP-4",IF(J102="truck mix loading","CP-1 EP-5",IF(J102="central mix loading","CP-1 EP-6",IF(J102="","","CP-1 EP-1"))))))</f>
        <v/>
      </c>
      <c r="I102" s="127" t="str">
        <f t="shared" ref="I102:I111" si="31">IF(J102="","",IF(J102="aggregate delivery to ground storage","CP-6 EU-1",IF(J102="sand delivery to ground storage","CP-6 EU-2",IF(J102="aggregate transfer to conveyor","CP-6 EU-3",IF(J102="sand transfer to conveyor","CP-6 EU-4",IF(J102="aggregate transfer to elevated storage","CP-6 EU-5",IF(J102="sand transfer to elevated storage","CP-6 EU-6",IF(J102="weigh hopper loading","CP-6 EU-7",IF(J102="central mix loading","CP-6 EU-8",IF(J102="truck mix loading","CP-6 EU-9",IF(J102="cement delivery to silo","CP-6 EU-10",IF(J102="cement supplement delivery to silo","CP-6 EU-11"))))))))))))</f>
        <v/>
      </c>
      <c r="J102" s="82"/>
      <c r="K102" s="61"/>
      <c r="L102" s="156"/>
      <c r="M102" s="219" t="str">
        <f>IF(J102="truck mix loading",IF($F$105="yes",L102*0.05/2000,L102/2000),"")</f>
        <v/>
      </c>
      <c r="N102" s="219" t="str">
        <f>IF(J102="central mix loading",IF($F$105="yes",L102*0.05/2000,L102/2000),"")</f>
        <v/>
      </c>
    </row>
    <row r="103" spans="2:14" ht="14.25" customHeight="1" x14ac:dyDescent="0.2">
      <c r="B103" s="79" t="str">
        <f>IF('Concrete Plant (CP-6)'!$D$4&gt;5,"County:","")</f>
        <v/>
      </c>
      <c r="C103" s="339"/>
      <c r="D103" s="342"/>
      <c r="E103" s="343"/>
      <c r="F103" s="175"/>
      <c r="H103" s="127" t="str">
        <f t="shared" ref="H103:H111" si="32">IF(J103="cement delivery to silo","CP-1 EP-2",IF(J103="cement supplement delivery to silo","CP-1 EP-3",IF(J103="weigh hopper loading","CP-1 EP-4",IF(J103="truck mix loading","CP-1 EP-5",IF(J103="central mix loading","CP-1 EP-6",IF(J103="","","CP-1 EP-1"))))))</f>
        <v/>
      </c>
      <c r="I103" s="127" t="str">
        <f t="shared" si="31"/>
        <v/>
      </c>
      <c r="J103" s="82"/>
      <c r="K103" s="61"/>
      <c r="L103" s="156"/>
      <c r="M103" s="219" t="str">
        <f t="shared" ref="M103:M111" si="33">IF(J103="truck mix loading",IF($F$105="yes",L103*0.05/2000,L103/2000),"")</f>
        <v/>
      </c>
      <c r="N103" s="219" t="str">
        <f t="shared" ref="N103:N111" si="34">IF(J103="central mix loading",IF($F$105="yes",L103*0.05/2000,L103/2000),"")</f>
        <v/>
      </c>
    </row>
    <row r="104" spans="2:14" ht="14.25" customHeight="1" x14ac:dyDescent="0.2">
      <c r="B104" s="79" t="str">
        <f>IF('Concrete Plant (CP-6)'!$D$4&gt;5,"Batching Period (Dates):","")</f>
        <v/>
      </c>
      <c r="C104" s="352"/>
      <c r="D104" s="358"/>
      <c r="E104" s="359"/>
      <c r="F104" s="175"/>
      <c r="H104" s="127" t="str">
        <f t="shared" si="32"/>
        <v/>
      </c>
      <c r="I104" s="127" t="str">
        <f t="shared" si="31"/>
        <v/>
      </c>
      <c r="J104" s="82"/>
      <c r="K104" s="61"/>
      <c r="L104" s="156"/>
      <c r="M104" s="219" t="str">
        <f t="shared" si="33"/>
        <v/>
      </c>
      <c r="N104" s="219" t="str">
        <f t="shared" si="34"/>
        <v/>
      </c>
    </row>
    <row r="105" spans="2:14" ht="14.25" customHeight="1" x14ac:dyDescent="0.2">
      <c r="B105" s="51" t="str">
        <f>IF(OR(COUNTIF(J102:J111,"Truck Mix Loading")&gt;0,(COUNTIF(J102:J111,"Central Mix Loading")&gt;0)),"Is the Central/Truck Mix Loading process controlled by a baghouse?","")</f>
        <v/>
      </c>
      <c r="C105" s="51"/>
      <c r="D105" s="51"/>
      <c r="E105" s="51"/>
      <c r="F105" s="221"/>
      <c r="H105" s="127" t="str">
        <f t="shared" si="32"/>
        <v/>
      </c>
      <c r="I105" s="127" t="str">
        <f t="shared" si="31"/>
        <v/>
      </c>
      <c r="J105" s="82"/>
      <c r="K105" s="61"/>
      <c r="L105" s="156"/>
      <c r="M105" s="219" t="str">
        <f t="shared" si="33"/>
        <v/>
      </c>
      <c r="N105" s="219" t="str">
        <f t="shared" si="34"/>
        <v/>
      </c>
    </row>
    <row r="106" spans="2:14" ht="14.25" customHeight="1" x14ac:dyDescent="0.2">
      <c r="F106" s="177"/>
      <c r="H106" s="127" t="str">
        <f t="shared" si="32"/>
        <v/>
      </c>
      <c r="I106" s="127" t="str">
        <f t="shared" si="31"/>
        <v/>
      </c>
      <c r="J106" s="82"/>
      <c r="K106" s="61"/>
      <c r="L106" s="156"/>
      <c r="M106" s="219" t="str">
        <f t="shared" si="33"/>
        <v/>
      </c>
      <c r="N106" s="219" t="str">
        <f t="shared" si="34"/>
        <v/>
      </c>
    </row>
    <row r="107" spans="2:14" ht="29.25" customHeight="1" x14ac:dyDescent="0.2">
      <c r="B107" s="312" t="str">
        <f>IF(AND(B109="",B110="",B111="",B112="",B113=""),"","Process (complete stack information if applicable):")</f>
        <v/>
      </c>
      <c r="C107" s="312" t="str">
        <f>IF(AND(B109="",B110="",B111="",B112="",B113=""),"","Stack Height (ft):")</f>
        <v/>
      </c>
      <c r="D107" s="312" t="str">
        <f>IF(AND(B109="",B110="",B111="",B112="",B113=""),"","Stack Diameter (inches):")</f>
        <v/>
      </c>
      <c r="E107" s="312" t="str">
        <f>IF(AND(B109="",B110="",B111="",B112="",B113=""),"","Flow Rate (acfm):")</f>
        <v/>
      </c>
      <c r="F107" s="312" t="str">
        <f>IF(AND(B109="",B110="",B111="",B112="",B113=""),"","Temp (Deg F):")</f>
        <v/>
      </c>
      <c r="G107" s="45"/>
      <c r="H107" s="127" t="str">
        <f t="shared" si="32"/>
        <v/>
      </c>
      <c r="I107" s="127" t="str">
        <f t="shared" si="31"/>
        <v/>
      </c>
      <c r="J107" s="82"/>
      <c r="K107" s="61"/>
      <c r="L107" s="156"/>
      <c r="M107" s="219" t="str">
        <f t="shared" si="33"/>
        <v/>
      </c>
      <c r="N107" s="219" t="str">
        <f t="shared" si="34"/>
        <v/>
      </c>
    </row>
    <row r="108" spans="2:14" ht="14.25" customHeight="1" x14ac:dyDescent="0.2">
      <c r="B108" s="312"/>
      <c r="C108" s="312"/>
      <c r="D108" s="312"/>
      <c r="E108" s="312"/>
      <c r="F108" s="312"/>
      <c r="G108" s="45"/>
      <c r="H108" s="127" t="str">
        <f t="shared" si="32"/>
        <v/>
      </c>
      <c r="I108" s="127" t="str">
        <f t="shared" si="31"/>
        <v/>
      </c>
      <c r="J108" s="82"/>
      <c r="K108" s="61"/>
      <c r="L108" s="156"/>
      <c r="M108" s="219" t="str">
        <f t="shared" si="33"/>
        <v/>
      </c>
      <c r="N108" s="219" t="str">
        <f t="shared" si="34"/>
        <v/>
      </c>
    </row>
    <row r="109" spans="2:14" ht="14.25" customHeight="1" x14ac:dyDescent="0.2">
      <c r="B109" s="45" t="str">
        <f>IF(COUNTIF(J102:J111,"Cement Delivery to Silo")&gt;0,"EP-2 Cement Silo Stack:","")</f>
        <v/>
      </c>
      <c r="C109" s="221"/>
      <c r="D109" s="221"/>
      <c r="E109" s="221"/>
      <c r="F109" s="221"/>
      <c r="G109" s="45"/>
      <c r="H109" s="127" t="str">
        <f t="shared" si="32"/>
        <v/>
      </c>
      <c r="I109" s="127" t="str">
        <f t="shared" si="31"/>
        <v/>
      </c>
      <c r="J109" s="82"/>
      <c r="K109" s="61"/>
      <c r="L109" s="156"/>
      <c r="M109" s="219" t="str">
        <f t="shared" si="33"/>
        <v/>
      </c>
      <c r="N109" s="219" t="str">
        <f t="shared" si="34"/>
        <v/>
      </c>
    </row>
    <row r="110" spans="2:14" ht="14.25" customHeight="1" x14ac:dyDescent="0.2">
      <c r="B110" s="45" t="str">
        <f>IF(COUNTIF(J102:J111,"Cement Supplement Delivery to Silo")&gt;0,"EP-3 Cement Supplement Silo Stack:","")</f>
        <v/>
      </c>
      <c r="C110" s="221"/>
      <c r="D110" s="221"/>
      <c r="E110" s="221"/>
      <c r="F110" s="221"/>
      <c r="G110" s="45"/>
      <c r="H110" s="127" t="str">
        <f t="shared" si="32"/>
        <v/>
      </c>
      <c r="I110" s="127" t="str">
        <f t="shared" si="31"/>
        <v/>
      </c>
      <c r="J110" s="82"/>
      <c r="K110" s="61"/>
      <c r="L110" s="156"/>
      <c r="M110" s="219" t="str">
        <f t="shared" si="33"/>
        <v/>
      </c>
      <c r="N110" s="219" t="str">
        <f t="shared" si="34"/>
        <v/>
      </c>
    </row>
    <row r="111" spans="2:14" ht="14.25" customHeight="1" x14ac:dyDescent="0.2">
      <c r="B111" s="45" t="str">
        <f>IF(COUNTIF(J102:J111,"Weigh Hopper Loading")&gt;0,"EP-4 Weigh Hopper Loading Stack:","")</f>
        <v/>
      </c>
      <c r="C111" s="221"/>
      <c r="D111" s="221"/>
      <c r="E111" s="221"/>
      <c r="F111" s="221"/>
      <c r="G111" s="45"/>
      <c r="H111" s="127" t="str">
        <f t="shared" si="32"/>
        <v/>
      </c>
      <c r="I111" s="127" t="str">
        <f t="shared" si="31"/>
        <v/>
      </c>
      <c r="J111" s="82"/>
      <c r="K111" s="61"/>
      <c r="L111" s="156"/>
      <c r="M111" s="219" t="str">
        <f t="shared" si="33"/>
        <v/>
      </c>
      <c r="N111" s="219" t="str">
        <f t="shared" si="34"/>
        <v/>
      </c>
    </row>
    <row r="112" spans="2:14" ht="14.25" customHeight="1" x14ac:dyDescent="0.2">
      <c r="B112" s="45" t="str">
        <f>IF(COUNTIF(J102:J111,"Truck Mix Loading")&gt;0,"EP-5 Truck Mix Loading Stack:","")</f>
        <v/>
      </c>
      <c r="C112" s="221"/>
      <c r="D112" s="221"/>
      <c r="E112" s="221"/>
      <c r="F112" s="221"/>
      <c r="G112" s="45"/>
      <c r="H112" s="45"/>
      <c r="I112" s="45"/>
    </row>
    <row r="113" spans="2:14" ht="14.25" customHeight="1" x14ac:dyDescent="0.2">
      <c r="B113" s="45" t="str">
        <f>IF(COUNTIF(J102:J111,"Central Mix Loading")&gt;0,"EP-6 Central Mix Loading Stack:","")</f>
        <v/>
      </c>
      <c r="C113" s="221"/>
      <c r="D113" s="221"/>
      <c r="E113" s="221"/>
      <c r="F113" s="221"/>
      <c r="G113" s="45"/>
      <c r="H113" s="74" t="str">
        <f>IF('Concrete Plant (CP-6)'!$D$4&gt;5,"Stock Pile Area","")</f>
        <v/>
      </c>
      <c r="I113" s="74"/>
      <c r="J113" s="75"/>
    </row>
    <row r="114" spans="2:14" ht="14.25" customHeight="1" x14ac:dyDescent="0.2">
      <c r="B114" s="73"/>
      <c r="C114" s="163"/>
      <c r="D114" s="163"/>
      <c r="E114" s="163"/>
      <c r="F114" s="176"/>
      <c r="G114" s="45"/>
      <c r="I114" s="51" t="str">
        <f>IF('Concrete Plant (CP-6)'!$D$4&gt;5,"Emission Unit #","")</f>
        <v/>
      </c>
      <c r="J114" s="80" t="str">
        <f>IF('Concrete Plant (CP-6)'!$D$4&gt;5,"Maximum Storage Area (acres)","")</f>
        <v/>
      </c>
      <c r="K114" s="81" t="str">
        <f>IF('Concrete Plant (CP-6)'!$D$4&gt;5,"Actual Storage Area (acres)","")</f>
        <v/>
      </c>
      <c r="L114" s="80" t="str">
        <f>IF('Concrete Plant (CP-6)'!$D$4&gt;5,"Actual Days in Existence (days)","")</f>
        <v/>
      </c>
      <c r="M114" s="146"/>
      <c r="N114" s="146"/>
    </row>
    <row r="115" spans="2:14" ht="14.25" customHeight="1" x14ac:dyDescent="0.2">
      <c r="B115" s="73"/>
      <c r="C115" s="163"/>
      <c r="D115" s="163"/>
      <c r="E115" s="163"/>
      <c r="F115" s="176"/>
      <c r="G115" s="45"/>
      <c r="I115" s="65"/>
      <c r="J115" s="144"/>
      <c r="K115" s="66"/>
      <c r="L115" s="144"/>
      <c r="M115" s="146"/>
      <c r="N115" s="146"/>
    </row>
    <row r="116" spans="2:14" ht="14.25" customHeight="1" x14ac:dyDescent="0.2">
      <c r="B116" s="73"/>
      <c r="C116" s="163"/>
      <c r="D116" s="163"/>
      <c r="E116" s="163"/>
      <c r="F116" s="176"/>
      <c r="G116" s="45"/>
      <c r="I116" s="139"/>
      <c r="J116" s="125"/>
      <c r="K116" s="125"/>
      <c r="L116" s="125"/>
      <c r="M116" s="146"/>
      <c r="N116" s="146"/>
    </row>
    <row r="117" spans="2:14" ht="27" customHeight="1" x14ac:dyDescent="0.25">
      <c r="B117" s="78" t="str">
        <f>IF('Concrete Plant (CP-6)'!$D$4&gt;6,"Batch Plant","")</f>
        <v/>
      </c>
      <c r="C117" s="71" t="str">
        <f>IF('Concrete Plant (CP-6)'!$D$4&gt;6,"Site 7","")</f>
        <v/>
      </c>
      <c r="D117" s="71"/>
      <c r="E117" s="71"/>
      <c r="F117" s="71"/>
      <c r="G117" s="76"/>
      <c r="H117" s="310" t="str">
        <f>IF('Concrete Plant (CP-6)'!$D$4&gt;6,"Emission Point #","")</f>
        <v/>
      </c>
      <c r="I117" s="310" t="str">
        <f>IF('Concrete Plant (CP-6)'!$D$4&gt;6,"Emission     Unit #","")</f>
        <v/>
      </c>
      <c r="J117" s="310" t="str">
        <f>IF('Concrete Plant (CP-6)'!$D$4&gt;6,"Processes","")</f>
        <v/>
      </c>
      <c r="K117" s="311" t="str">
        <f>IF('Concrete Plant (CP-6)'!$D$4&gt;6,"Combined Maximum Hourly Design Rate for all Like Processes (cubic yard/hr)","")</f>
        <v/>
      </c>
      <c r="L117" s="310" t="str">
        <f>IF('Concrete Plant (CP-6)'!$D$4&gt;6,('Facility Information'!G5&amp;" Annual Throughput (cubic yards)"),"")</f>
        <v/>
      </c>
      <c r="M117" s="217"/>
      <c r="N117" s="217"/>
    </row>
    <row r="118" spans="2:14" ht="14.25" customHeight="1" x14ac:dyDescent="0.2">
      <c r="B118" s="79" t="str">
        <f>IF('Concrete Plant (CP-6)'!$D$4&gt;6,"Site Name:","")</f>
        <v/>
      </c>
      <c r="C118" s="349"/>
      <c r="D118" s="356"/>
      <c r="E118" s="357"/>
      <c r="F118" s="175"/>
      <c r="H118" s="127" t="str">
        <f>IF(J118="cement delivery to silo","CP-1 EP-2",IF(J118="cement supplement delivery to silo","CP-1 EP-3",IF(J118="weigh hopper loading","CP-1 EP-4",IF(J118="truck mix loading","CP-1 EP-5",IF(J118="central mix loading","CP-1 EP-6",IF(J118="","","CP-1 EP-1"))))))</f>
        <v/>
      </c>
      <c r="I118" s="127" t="str">
        <f t="shared" ref="I118:I127" si="35">IF(J118="","",IF(J118="aggregate delivery to ground storage","CP-6 EU-1",IF(J118="sand delivery to ground storage","CP-6 EU-2",IF(J118="aggregate transfer to conveyor","CP-6 EU-3",IF(J118="sand transfer to conveyor","CP-6 EU-4",IF(J118="aggregate transfer to elevated storage","CP-6 EU-5",IF(J118="sand transfer to elevated storage","CP-6 EU-6",IF(J118="weigh hopper loading","CP-6 EU-7",IF(J118="central mix loading","CP-6 EU-8",IF(J118="truck mix loading","CP-6 EU-9",IF(J118="cement delivery to silo","CP-6 EU-10",IF(J118="cement supplement delivery to silo","CP-6 EU-11"))))))))))))</f>
        <v/>
      </c>
      <c r="J118" s="82"/>
      <c r="K118" s="61"/>
      <c r="L118" s="156"/>
      <c r="M118" s="219" t="str">
        <f>IF(J118="truck mix loading",IF($F$121="yes",L118*0.05/2000,L118/2000),"")</f>
        <v/>
      </c>
      <c r="N118" s="219" t="str">
        <f>IF(J118="central mix loading",IF($F$121="yes",L118*0.05/2000,L118/2000),"")</f>
        <v/>
      </c>
    </row>
    <row r="119" spans="2:14" ht="14.25" customHeight="1" x14ac:dyDescent="0.2">
      <c r="B119" s="79" t="str">
        <f>IF('Concrete Plant (CP-6)'!$D$4&gt;6,"County:","")</f>
        <v/>
      </c>
      <c r="C119" s="339"/>
      <c r="D119" s="342"/>
      <c r="E119" s="343"/>
      <c r="F119" s="175"/>
      <c r="H119" s="127" t="str">
        <f t="shared" ref="H119:H127" si="36">IF(J119="cement delivery to silo","CP-1 EP-2",IF(J119="cement supplement delivery to silo","CP-1 EP-3",IF(J119="weigh hopper loading","CP-1 EP-4",IF(J119="truck mix loading","CP-1 EP-5",IF(J119="central mix loading","CP-1 EP-6",IF(J119="","","CP-1 EP-1"))))))</f>
        <v/>
      </c>
      <c r="I119" s="127" t="str">
        <f t="shared" si="35"/>
        <v/>
      </c>
      <c r="J119" s="82"/>
      <c r="K119" s="61"/>
      <c r="L119" s="156"/>
      <c r="M119" s="219" t="str">
        <f t="shared" ref="M119:M127" si="37">IF(J119="truck mix loading",IF($F$121="yes",L119*0.05/2000,L119/2000),"")</f>
        <v/>
      </c>
      <c r="N119" s="219" t="str">
        <f t="shared" ref="N119:N127" si="38">IF(J119="central mix loading",IF($F$121="yes",L119*0.05/2000,L119/2000),"")</f>
        <v/>
      </c>
    </row>
    <row r="120" spans="2:14" ht="14.25" customHeight="1" x14ac:dyDescent="0.2">
      <c r="B120" s="79" t="str">
        <f>IF('Concrete Plant (CP-6)'!$D$4&gt;6,"Batching Period (Dates):","")</f>
        <v/>
      </c>
      <c r="C120" s="352"/>
      <c r="D120" s="358"/>
      <c r="E120" s="359"/>
      <c r="F120" s="175"/>
      <c r="H120" s="127" t="str">
        <f t="shared" si="36"/>
        <v/>
      </c>
      <c r="I120" s="127" t="str">
        <f t="shared" si="35"/>
        <v/>
      </c>
      <c r="J120" s="82"/>
      <c r="K120" s="61"/>
      <c r="L120" s="156"/>
      <c r="M120" s="219" t="str">
        <f t="shared" si="37"/>
        <v/>
      </c>
      <c r="N120" s="219" t="str">
        <f t="shared" si="38"/>
        <v/>
      </c>
    </row>
    <row r="121" spans="2:14" ht="14.25" customHeight="1" x14ac:dyDescent="0.2">
      <c r="B121" s="51" t="str">
        <f>IF(OR(COUNTIF(J118:J127,"Truck Mix Loading")&gt;0,(COUNTIF(J118:J127,"Central Mix Loading")&gt;0)),"Is the Central/Truck Mix Loading process controlled by a baghouse?","")</f>
        <v/>
      </c>
      <c r="C121" s="51"/>
      <c r="D121" s="51"/>
      <c r="E121" s="51"/>
      <c r="F121" s="221"/>
      <c r="G121" s="45"/>
      <c r="H121" s="127" t="str">
        <f t="shared" si="36"/>
        <v/>
      </c>
      <c r="I121" s="127" t="str">
        <f t="shared" si="35"/>
        <v/>
      </c>
      <c r="J121" s="82"/>
      <c r="K121" s="61"/>
      <c r="L121" s="156"/>
      <c r="M121" s="219" t="str">
        <f t="shared" si="37"/>
        <v/>
      </c>
      <c r="N121" s="219" t="str">
        <f t="shared" si="38"/>
        <v/>
      </c>
    </row>
    <row r="122" spans="2:14" ht="14.25" customHeight="1" x14ac:dyDescent="0.2">
      <c r="F122" s="183"/>
      <c r="G122" s="45"/>
      <c r="H122" s="127" t="str">
        <f t="shared" si="36"/>
        <v/>
      </c>
      <c r="I122" s="127" t="str">
        <f t="shared" si="35"/>
        <v/>
      </c>
      <c r="J122" s="82"/>
      <c r="K122" s="61"/>
      <c r="L122" s="156"/>
      <c r="M122" s="219" t="str">
        <f t="shared" si="37"/>
        <v/>
      </c>
      <c r="N122" s="219" t="str">
        <f t="shared" si="38"/>
        <v/>
      </c>
    </row>
    <row r="123" spans="2:14" ht="27.75" customHeight="1" x14ac:dyDescent="0.2">
      <c r="B123" s="312" t="str">
        <f>IF(AND(B125="",B126="",B127="",B128="",B129=""),"","Process (complete stack information if applicable):")</f>
        <v/>
      </c>
      <c r="C123" s="312" t="str">
        <f>IF(AND(B125="",B126="",B127="",B128="",B129=""),"","Stack Height (ft):")</f>
        <v/>
      </c>
      <c r="D123" s="312" t="str">
        <f>IF(AND(B125="",B126="",B127="",B128="",B129=""),"","Stack Diameter (inches):")</f>
        <v/>
      </c>
      <c r="E123" s="312" t="str">
        <f>IF(AND(B125="",B126="",B127="",B128="",B129=""),"","Flow Rate (acfm):")</f>
        <v/>
      </c>
      <c r="F123" s="312" t="str">
        <f>IF(AND(B125="",B126="",B127="",B128="",B129=""),"","Temp (Deg F):")</f>
        <v/>
      </c>
      <c r="G123" s="45"/>
      <c r="H123" s="127" t="str">
        <f t="shared" si="36"/>
        <v/>
      </c>
      <c r="I123" s="127" t="str">
        <f t="shared" si="35"/>
        <v/>
      </c>
      <c r="J123" s="82"/>
      <c r="K123" s="61"/>
      <c r="L123" s="156"/>
      <c r="M123" s="219" t="str">
        <f t="shared" si="37"/>
        <v/>
      </c>
      <c r="N123" s="219" t="str">
        <f t="shared" si="38"/>
        <v/>
      </c>
    </row>
    <row r="124" spans="2:14" ht="14.25" customHeight="1" x14ac:dyDescent="0.2">
      <c r="B124" s="312"/>
      <c r="C124" s="312"/>
      <c r="D124" s="312"/>
      <c r="E124" s="312"/>
      <c r="F124" s="312"/>
      <c r="G124" s="45"/>
      <c r="H124" s="127" t="str">
        <f t="shared" si="36"/>
        <v/>
      </c>
      <c r="I124" s="127" t="str">
        <f t="shared" si="35"/>
        <v/>
      </c>
      <c r="J124" s="82"/>
      <c r="K124" s="61"/>
      <c r="L124" s="156"/>
      <c r="M124" s="219" t="str">
        <f t="shared" si="37"/>
        <v/>
      </c>
      <c r="N124" s="219" t="str">
        <f t="shared" si="38"/>
        <v/>
      </c>
    </row>
    <row r="125" spans="2:14" ht="14.25" customHeight="1" x14ac:dyDescent="0.2">
      <c r="B125" s="45" t="str">
        <f>IF(COUNTIF(J118:J127,"Cement Delivery to Silo")&gt;0,"EP-2 Cement Silo Stack:","")</f>
        <v/>
      </c>
      <c r="C125" s="221"/>
      <c r="D125" s="221"/>
      <c r="E125" s="221"/>
      <c r="F125" s="221"/>
      <c r="G125" s="45"/>
      <c r="H125" s="127" t="str">
        <f t="shared" si="36"/>
        <v/>
      </c>
      <c r="I125" s="127" t="str">
        <f t="shared" si="35"/>
        <v/>
      </c>
      <c r="J125" s="82"/>
      <c r="K125" s="61"/>
      <c r="L125" s="156"/>
      <c r="M125" s="219" t="str">
        <f t="shared" si="37"/>
        <v/>
      </c>
      <c r="N125" s="219" t="str">
        <f t="shared" si="38"/>
        <v/>
      </c>
    </row>
    <row r="126" spans="2:14" ht="14.25" customHeight="1" x14ac:dyDescent="0.2">
      <c r="B126" s="45" t="str">
        <f>IF(COUNTIF(J118:J127,"Cement Supplement Delivery to Silo")&gt;0,"EP-3 Cement Supplement Silo Stack:","")</f>
        <v/>
      </c>
      <c r="C126" s="221"/>
      <c r="D126" s="221"/>
      <c r="E126" s="221"/>
      <c r="F126" s="221"/>
      <c r="G126" s="45"/>
      <c r="H126" s="127" t="str">
        <f t="shared" si="36"/>
        <v/>
      </c>
      <c r="I126" s="127" t="str">
        <f t="shared" si="35"/>
        <v/>
      </c>
      <c r="J126" s="82"/>
      <c r="K126" s="61"/>
      <c r="L126" s="156"/>
      <c r="M126" s="219" t="str">
        <f t="shared" si="37"/>
        <v/>
      </c>
      <c r="N126" s="219" t="str">
        <f t="shared" si="38"/>
        <v/>
      </c>
    </row>
    <row r="127" spans="2:14" ht="14.25" customHeight="1" x14ac:dyDescent="0.2">
      <c r="B127" s="45" t="str">
        <f>IF(COUNTIF(J118:J127,"Weigh Hopper Loading")&gt;0,"EP-4 Weigh Hopper Loading Stack:","")</f>
        <v/>
      </c>
      <c r="C127" s="221"/>
      <c r="D127" s="221"/>
      <c r="E127" s="221"/>
      <c r="F127" s="221"/>
      <c r="G127" s="45"/>
      <c r="H127" s="127" t="str">
        <f t="shared" si="36"/>
        <v/>
      </c>
      <c r="I127" s="127" t="str">
        <f t="shared" si="35"/>
        <v/>
      </c>
      <c r="J127" s="82"/>
      <c r="K127" s="61"/>
      <c r="L127" s="156"/>
      <c r="M127" s="219" t="str">
        <f t="shared" si="37"/>
        <v/>
      </c>
      <c r="N127" s="219" t="str">
        <f t="shared" si="38"/>
        <v/>
      </c>
    </row>
    <row r="128" spans="2:14" ht="14.25" customHeight="1" x14ac:dyDescent="0.2">
      <c r="B128" s="45" t="str">
        <f>IF(COUNTIF(J118:J127,"Truck Mix Loading")&gt;0,"EP-5 Truck Mix Loading Stack:","")</f>
        <v/>
      </c>
      <c r="C128" s="221"/>
      <c r="D128" s="221"/>
      <c r="E128" s="221"/>
      <c r="F128" s="221"/>
      <c r="G128" s="45"/>
      <c r="H128" s="45"/>
      <c r="I128" s="45"/>
    </row>
    <row r="129" spans="2:14" ht="14.25" customHeight="1" x14ac:dyDescent="0.2">
      <c r="B129" s="45" t="str">
        <f>IF(COUNTIF(J118:J127,"Central Mix Loading")&gt;0,"EP-6 Central Mix Loading Stack:","")</f>
        <v/>
      </c>
      <c r="C129" s="221"/>
      <c r="D129" s="221"/>
      <c r="E129" s="221"/>
      <c r="F129" s="221"/>
      <c r="G129" s="45"/>
      <c r="H129" s="74" t="str">
        <f>IF('Concrete Plant (CP-6)'!$D$4&gt;6,"Stock Pile Area","")</f>
        <v/>
      </c>
      <c r="I129" s="74"/>
      <c r="J129" s="75"/>
    </row>
    <row r="130" spans="2:14" ht="14.25" customHeight="1" x14ac:dyDescent="0.2">
      <c r="B130" s="73"/>
      <c r="C130" s="163"/>
      <c r="D130" s="163"/>
      <c r="E130" s="163"/>
      <c r="F130" s="176"/>
      <c r="G130" s="45"/>
      <c r="I130" s="51" t="str">
        <f>IF('Concrete Plant (CP-6)'!$D$4&gt;6,"Emission Unit #","")</f>
        <v/>
      </c>
      <c r="J130" s="80" t="str">
        <f>IF('Concrete Plant (CP-6)'!$D$4&gt;6,"Maximum Storage Area (acres)","")</f>
        <v/>
      </c>
      <c r="K130" s="81" t="str">
        <f>IF('Concrete Plant (CP-6)'!$D$4&gt;6,"Actual Storage Area (acres)","")</f>
        <v/>
      </c>
      <c r="L130" s="80" t="str">
        <f>IF('Concrete Plant (CP-6)'!$D$4&gt;6,"Actual Days in Existence (days)","")</f>
        <v/>
      </c>
      <c r="M130" s="146"/>
      <c r="N130" s="146"/>
    </row>
    <row r="131" spans="2:14" ht="14.25" customHeight="1" x14ac:dyDescent="0.2">
      <c r="B131" s="73"/>
      <c r="C131" s="163"/>
      <c r="D131" s="163"/>
      <c r="E131" s="163"/>
      <c r="F131" s="176"/>
      <c r="I131" s="65"/>
      <c r="J131" s="144"/>
      <c r="K131" s="66"/>
      <c r="L131" s="144"/>
      <c r="M131" s="146"/>
      <c r="N131" s="146"/>
    </row>
    <row r="132" spans="2:14" ht="14.25" customHeight="1" x14ac:dyDescent="0.2">
      <c r="B132" s="73"/>
      <c r="C132" s="163"/>
      <c r="D132" s="163"/>
      <c r="E132" s="163"/>
      <c r="F132" s="176"/>
      <c r="G132" s="76"/>
    </row>
    <row r="133" spans="2:14" ht="28.5" customHeight="1" x14ac:dyDescent="0.25">
      <c r="B133" s="78" t="str">
        <f>IF('Concrete Plant (CP-6)'!$D$4&gt;7,"Batch Plant","")</f>
        <v/>
      </c>
      <c r="C133" s="71" t="str">
        <f>IF('Concrete Plant (CP-6)'!$D$4&gt;7,"Site 8","")</f>
        <v/>
      </c>
      <c r="D133" s="71"/>
      <c r="E133" s="71"/>
      <c r="F133" s="71"/>
      <c r="H133" s="310" t="str">
        <f>IF('Concrete Plant (CP-6)'!$D$4&gt;7,"Emission Point #","")</f>
        <v/>
      </c>
      <c r="I133" s="310" t="str">
        <f>IF('Concrete Plant (CP-6)'!$D$4&gt;7,"Emission     Unit #","")</f>
        <v/>
      </c>
      <c r="J133" s="310" t="str">
        <f>IF('Concrete Plant (CP-6)'!$D$4&gt;7,"Processes","")</f>
        <v/>
      </c>
      <c r="K133" s="311" t="str">
        <f>IF('Concrete Plant (CP-6)'!$D$4&gt;7,"Combined Maximum Hourly Design Rate for all Like Processes (cubic yard/hr)","")</f>
        <v/>
      </c>
      <c r="L133" s="310" t="str">
        <f>IF('Concrete Plant (CP-6)'!$D$4&gt;7,('Facility Information'!G5&amp;" Annual Throughput (cubic yards)"),"")</f>
        <v/>
      </c>
      <c r="M133" s="217"/>
      <c r="N133" s="217"/>
    </row>
    <row r="134" spans="2:14" ht="14.25" customHeight="1" x14ac:dyDescent="0.2">
      <c r="B134" s="79" t="str">
        <f>IF('Concrete Plant (CP-6)'!$D$4&gt;7,"Site Name:","")</f>
        <v/>
      </c>
      <c r="C134" s="349"/>
      <c r="D134" s="356"/>
      <c r="E134" s="357"/>
      <c r="F134" s="175"/>
      <c r="H134" s="127" t="str">
        <f>IF(J134="cement delivery to silo","CP-1 EP-2",IF(J134="cement supplement delivery to silo","CP-1 EP-3",IF(J134="weigh hopper loading","CP-1 EP-4",IF(J134="truck mix loading","CP-1 EP-5",IF(J134="central mix loading","CP-1 EP-6",IF(J134="","","CP-1 EP-1"))))))</f>
        <v/>
      </c>
      <c r="I134" s="127" t="str">
        <f t="shared" ref="I134:I143" si="39">IF(J134="","",IF(J134="aggregate delivery to ground storage","CP-6 EU-1",IF(J134="sand delivery to ground storage","CP-6 EU-2",IF(J134="aggregate transfer to conveyor","CP-6 EU-3",IF(J134="sand transfer to conveyor","CP-6 EU-4",IF(J134="aggregate transfer to elevated storage","CP-6 EU-5",IF(J134="sand transfer to elevated storage","CP-6 EU-6",IF(J134="weigh hopper loading","CP-6 EU-7",IF(J134="central mix loading","CP-6 EU-8",IF(J134="truck mix loading","CP-6 EU-9",IF(J134="cement delivery to silo","CP-6 EU-10",IF(J134="cement supplement delivery to silo","CP-6 EU-11"))))))))))))</f>
        <v/>
      </c>
      <c r="J134" s="82"/>
      <c r="K134" s="61"/>
      <c r="L134" s="156"/>
      <c r="M134" s="219" t="str">
        <f>IF(J134="truck mix loading",IF($F$137="yes",L134*0.05/2000,L134/2000),"")</f>
        <v/>
      </c>
      <c r="N134" s="219" t="str">
        <f>IF(J134="central mix loading",IF($F$137="yes",L134*0.05/2000,L134/2000),"")</f>
        <v/>
      </c>
    </row>
    <row r="135" spans="2:14" ht="14.25" customHeight="1" x14ac:dyDescent="0.2">
      <c r="B135" s="79" t="str">
        <f>IF('Concrete Plant (CP-6)'!$D$4&gt;7,"County:","")</f>
        <v/>
      </c>
      <c r="C135" s="339"/>
      <c r="D135" s="342"/>
      <c r="E135" s="343"/>
      <c r="F135" s="175"/>
      <c r="G135" s="45"/>
      <c r="H135" s="127" t="str">
        <f t="shared" ref="H135:H143" si="40">IF(J135="cement delivery to silo","CP-1 EP-2",IF(J135="cement supplement delivery to silo","CP-1 EP-3",IF(J135="weigh hopper loading","CP-1 EP-4",IF(J135="truck mix loading","CP-1 EP-5",IF(J135="central mix loading","CP-1 EP-6",IF(J135="","","CP-1 EP-1"))))))</f>
        <v/>
      </c>
      <c r="I135" s="127" t="str">
        <f t="shared" si="39"/>
        <v/>
      </c>
      <c r="J135" s="82"/>
      <c r="K135" s="61"/>
      <c r="L135" s="156"/>
      <c r="M135" s="219" t="str">
        <f t="shared" ref="M135:M143" si="41">IF(J135="truck mix loading",IF($F$137="yes",L135*0.05/2000,L135/2000),"")</f>
        <v/>
      </c>
      <c r="N135" s="219" t="str">
        <f t="shared" ref="N135:N143" si="42">IF(J135="central mix loading",IF($F$137="yes",L135*0.05/2000,L135/2000),"")</f>
        <v/>
      </c>
    </row>
    <row r="136" spans="2:14" ht="14.25" customHeight="1" x14ac:dyDescent="0.2">
      <c r="B136" s="79" t="str">
        <f>IF('Concrete Plant (CP-6)'!$D$4&gt;7,"Batching Period (Dates):","")</f>
        <v/>
      </c>
      <c r="C136" s="352"/>
      <c r="D136" s="358"/>
      <c r="E136" s="359"/>
      <c r="F136" s="175"/>
      <c r="G136" s="45"/>
      <c r="H136" s="127" t="str">
        <f t="shared" si="40"/>
        <v/>
      </c>
      <c r="I136" s="127" t="str">
        <f t="shared" si="39"/>
        <v/>
      </c>
      <c r="J136" s="82"/>
      <c r="K136" s="61"/>
      <c r="L136" s="156"/>
      <c r="M136" s="219" t="str">
        <f t="shared" si="41"/>
        <v/>
      </c>
      <c r="N136" s="219" t="str">
        <f t="shared" si="42"/>
        <v/>
      </c>
    </row>
    <row r="137" spans="2:14" ht="14.25" customHeight="1" x14ac:dyDescent="0.2">
      <c r="B137" s="51" t="str">
        <f>IF(OR(COUNTIF(J134:J143,"Truck Mix Loading")&gt;0,(COUNTIF(J134:J143,"Central Mix Loading")&gt;0)),"Is the Central/Truck Mix Loading process controlled by a baghouse?","")</f>
        <v/>
      </c>
      <c r="C137" s="51"/>
      <c r="D137" s="51"/>
      <c r="E137" s="51"/>
      <c r="F137" s="221"/>
      <c r="G137" s="45"/>
      <c r="H137" s="127" t="str">
        <f t="shared" si="40"/>
        <v/>
      </c>
      <c r="I137" s="127" t="str">
        <f t="shared" si="39"/>
        <v/>
      </c>
      <c r="J137" s="82"/>
      <c r="K137" s="61"/>
      <c r="L137" s="156"/>
      <c r="M137" s="219" t="str">
        <f t="shared" si="41"/>
        <v/>
      </c>
      <c r="N137" s="219" t="str">
        <f t="shared" si="42"/>
        <v/>
      </c>
    </row>
    <row r="138" spans="2:14" ht="14.25" customHeight="1" x14ac:dyDescent="0.2">
      <c r="F138" s="177"/>
      <c r="G138" s="45"/>
      <c r="H138" s="127" t="str">
        <f t="shared" si="40"/>
        <v/>
      </c>
      <c r="I138" s="127" t="str">
        <f t="shared" si="39"/>
        <v/>
      </c>
      <c r="J138" s="82"/>
      <c r="K138" s="61"/>
      <c r="L138" s="156"/>
      <c r="M138" s="219" t="str">
        <f t="shared" si="41"/>
        <v/>
      </c>
      <c r="N138" s="219" t="str">
        <f t="shared" si="42"/>
        <v/>
      </c>
    </row>
    <row r="139" spans="2:14" ht="28.5" customHeight="1" x14ac:dyDescent="0.2">
      <c r="B139" s="312" t="str">
        <f>IF(AND(B141="",B142="",B143="",B144="",B145=""),"","Process (complete stack information if applicable):")</f>
        <v/>
      </c>
      <c r="C139" s="312" t="str">
        <f>IF(AND(B141="",B142="",B143="",B144="",B145=""),"","Stack Height (ft):")</f>
        <v/>
      </c>
      <c r="D139" s="312" t="str">
        <f>IF(AND(B141="",B142="",B143="",B144="",B145=""),"","Stack Diameter (inches):")</f>
        <v/>
      </c>
      <c r="E139" s="312" t="str">
        <f>IF(AND(B141="",B142="",B143="",B144="",B145=""),"","Flow Rate (acfm):")</f>
        <v/>
      </c>
      <c r="F139" s="312" t="str">
        <f>IF(AND(B141="",B142="",B143="",B144="",B145=""),"","Temp (Deg F):")</f>
        <v/>
      </c>
      <c r="G139" s="45"/>
      <c r="H139" s="127" t="str">
        <f t="shared" si="40"/>
        <v/>
      </c>
      <c r="I139" s="127" t="str">
        <f t="shared" si="39"/>
        <v/>
      </c>
      <c r="J139" s="82"/>
      <c r="K139" s="61"/>
      <c r="L139" s="156"/>
      <c r="M139" s="219" t="str">
        <f t="shared" si="41"/>
        <v/>
      </c>
      <c r="N139" s="219" t="str">
        <f t="shared" si="42"/>
        <v/>
      </c>
    </row>
    <row r="140" spans="2:14" ht="14.25" customHeight="1" x14ac:dyDescent="0.2">
      <c r="B140" s="312"/>
      <c r="C140" s="312"/>
      <c r="D140" s="312"/>
      <c r="E140" s="312"/>
      <c r="F140" s="312"/>
      <c r="G140" s="45"/>
      <c r="H140" s="127" t="str">
        <f t="shared" si="40"/>
        <v/>
      </c>
      <c r="I140" s="127" t="str">
        <f t="shared" si="39"/>
        <v/>
      </c>
      <c r="J140" s="82"/>
      <c r="K140" s="61"/>
      <c r="L140" s="156"/>
      <c r="M140" s="219" t="str">
        <f t="shared" si="41"/>
        <v/>
      </c>
      <c r="N140" s="219" t="str">
        <f t="shared" si="42"/>
        <v/>
      </c>
    </row>
    <row r="141" spans="2:14" ht="14.25" customHeight="1" x14ac:dyDescent="0.2">
      <c r="B141" s="45" t="str">
        <f>IF(COUNTIF(J134:J143,"Cement Delivery to Silo")&gt;0,"EP-2 Cement Silo Stack:","")</f>
        <v/>
      </c>
      <c r="C141" s="221"/>
      <c r="D141" s="221"/>
      <c r="E141" s="221"/>
      <c r="F141" s="221"/>
      <c r="G141" s="45"/>
      <c r="H141" s="127" t="str">
        <f t="shared" si="40"/>
        <v/>
      </c>
      <c r="I141" s="127" t="str">
        <f t="shared" si="39"/>
        <v/>
      </c>
      <c r="J141" s="82"/>
      <c r="K141" s="61"/>
      <c r="L141" s="156"/>
      <c r="M141" s="219" t="str">
        <f t="shared" si="41"/>
        <v/>
      </c>
      <c r="N141" s="219" t="str">
        <f t="shared" si="42"/>
        <v/>
      </c>
    </row>
    <row r="142" spans="2:14" ht="14.25" customHeight="1" x14ac:dyDescent="0.2">
      <c r="B142" s="45" t="str">
        <f>IF(COUNTIF(J134:J143,"Cement Supplement Delivery to Silo")&gt;0,"EP-3 Cement Supplement Silo Stack:","")</f>
        <v/>
      </c>
      <c r="C142" s="221"/>
      <c r="D142" s="221"/>
      <c r="E142" s="221"/>
      <c r="F142" s="221"/>
      <c r="G142" s="45"/>
      <c r="H142" s="127" t="str">
        <f t="shared" si="40"/>
        <v/>
      </c>
      <c r="I142" s="127" t="str">
        <f t="shared" si="39"/>
        <v/>
      </c>
      <c r="J142" s="82"/>
      <c r="K142" s="61"/>
      <c r="L142" s="156"/>
      <c r="M142" s="219" t="str">
        <f t="shared" si="41"/>
        <v/>
      </c>
      <c r="N142" s="219" t="str">
        <f t="shared" si="42"/>
        <v/>
      </c>
    </row>
    <row r="143" spans="2:14" ht="14.25" customHeight="1" x14ac:dyDescent="0.2">
      <c r="B143" s="45" t="str">
        <f>IF(COUNTIF(J134:J143,"Weigh Hopper Loading")&gt;0,"EP-4 Weigh Hopper Loading Stack:","")</f>
        <v/>
      </c>
      <c r="C143" s="221"/>
      <c r="D143" s="221"/>
      <c r="E143" s="221"/>
      <c r="F143" s="221"/>
      <c r="G143" s="45"/>
      <c r="H143" s="127" t="str">
        <f t="shared" si="40"/>
        <v/>
      </c>
      <c r="I143" s="127" t="str">
        <f t="shared" si="39"/>
        <v/>
      </c>
      <c r="J143" s="82"/>
      <c r="K143" s="61"/>
      <c r="L143" s="156"/>
      <c r="M143" s="219" t="str">
        <f t="shared" si="41"/>
        <v/>
      </c>
      <c r="N143" s="219" t="str">
        <f t="shared" si="42"/>
        <v/>
      </c>
    </row>
    <row r="144" spans="2:14" ht="14.25" customHeight="1" x14ac:dyDescent="0.2">
      <c r="B144" s="45" t="str">
        <f>IF(COUNTIF(J134:J143,"Truck Mix Loading")&gt;0,"EP-5 Truck Mix Loading Stack:","")</f>
        <v/>
      </c>
      <c r="C144" s="221"/>
      <c r="D144" s="221"/>
      <c r="E144" s="221"/>
      <c r="F144" s="221"/>
      <c r="G144" s="45"/>
      <c r="H144" s="45"/>
      <c r="I144" s="45"/>
    </row>
    <row r="145" spans="2:14" ht="14.25" customHeight="1" x14ac:dyDescent="0.2">
      <c r="B145" s="45" t="str">
        <f>IF(COUNTIF(J134:J143,"Central Mix Loading")&gt;0,"EP-6 Central Mix Loading Stack:","")</f>
        <v/>
      </c>
      <c r="C145" s="221"/>
      <c r="D145" s="221"/>
      <c r="E145" s="221"/>
      <c r="F145" s="221"/>
      <c r="H145" s="74" t="str">
        <f>IF('Concrete Plant (CP-6)'!$D$4&gt;7,"Stock Pile Area","")</f>
        <v/>
      </c>
      <c r="I145" s="74"/>
      <c r="J145" s="75"/>
    </row>
    <row r="146" spans="2:14" ht="14.25" customHeight="1" x14ac:dyDescent="0.2">
      <c r="B146" s="73"/>
      <c r="C146" s="163"/>
      <c r="D146" s="163"/>
      <c r="E146" s="163"/>
      <c r="F146" s="176"/>
      <c r="G146" s="76"/>
      <c r="I146" s="51" t="str">
        <f>IF('Concrete Plant (CP-6)'!$D$4&gt;7,"Emission Unit #","")</f>
        <v/>
      </c>
      <c r="J146" s="80" t="str">
        <f>IF('Concrete Plant (CP-6)'!$D$4&gt;7,"Maximum Storage Area (acres)","")</f>
        <v/>
      </c>
      <c r="K146" s="81" t="str">
        <f>IF('Concrete Plant (CP-6)'!$D$4&gt;7,"Actual Storage Area (acres)","")</f>
        <v/>
      </c>
      <c r="L146" s="80" t="str">
        <f>IF('Concrete Plant (CP-6)'!$D$4&gt;7,"Actual Days in Existence (days)","")</f>
        <v/>
      </c>
      <c r="M146" s="146"/>
      <c r="N146" s="146"/>
    </row>
    <row r="147" spans="2:14" ht="14.25" customHeight="1" x14ac:dyDescent="0.2">
      <c r="B147" s="73"/>
      <c r="C147" s="163"/>
      <c r="D147" s="163"/>
      <c r="E147" s="163"/>
      <c r="F147" s="176"/>
      <c r="I147" s="65"/>
      <c r="J147" s="144"/>
      <c r="K147" s="66"/>
      <c r="L147" s="144"/>
      <c r="M147" s="146"/>
      <c r="N147" s="146"/>
    </row>
    <row r="148" spans="2:14" ht="17.25" customHeight="1" x14ac:dyDescent="0.2">
      <c r="B148" s="73"/>
      <c r="C148" s="163"/>
      <c r="D148" s="163"/>
      <c r="E148" s="163"/>
      <c r="F148" s="176"/>
    </row>
    <row r="149" spans="2:14" ht="30" customHeight="1" x14ac:dyDescent="0.25">
      <c r="B149" s="78" t="str">
        <f>IF('Concrete Plant (CP-6)'!$D$4&gt;8,"Batch Plant","")</f>
        <v/>
      </c>
      <c r="C149" s="71" t="str">
        <f>IF('Concrete Plant (CP-6)'!$D$4&gt;8,"Site 9","")</f>
        <v/>
      </c>
      <c r="D149" s="71"/>
      <c r="E149" s="71"/>
      <c r="F149" s="71"/>
      <c r="H149" s="310" t="str">
        <f>IF('Concrete Plant (CP-6)'!$D$4&gt;8,"Emission Point #","")</f>
        <v/>
      </c>
      <c r="I149" s="310" t="str">
        <f>IF('Concrete Plant (CP-6)'!$D$4&gt;8,"Emission     Unit #","")</f>
        <v/>
      </c>
      <c r="J149" s="310" t="str">
        <f>IF('Concrete Plant (CP-6)'!$D$4&gt;8,"Processes","")</f>
        <v/>
      </c>
      <c r="K149" s="311" t="str">
        <f>IF('Concrete Plant (CP-6)'!$D$4&gt;8,"Combined Maximum Hourly Design Rate for all Like Processes (cubic yard/hr)","")</f>
        <v/>
      </c>
      <c r="L149" s="310" t="str">
        <f>IF('Concrete Plant (CP-6)'!$D$4&gt;8,('Facility Information'!G5&amp;" Annual Throughput (cubic yards)"),"")</f>
        <v/>
      </c>
      <c r="M149" s="217"/>
      <c r="N149" s="217"/>
    </row>
    <row r="150" spans="2:14" ht="14.25" customHeight="1" x14ac:dyDescent="0.2">
      <c r="B150" s="79" t="str">
        <f>IF('Concrete Plant (CP-6)'!$D$4&gt;8,"Site Name:","")</f>
        <v/>
      </c>
      <c r="C150" s="349"/>
      <c r="D150" s="356"/>
      <c r="E150" s="357"/>
      <c r="F150" s="175"/>
      <c r="G150" s="45"/>
      <c r="H150" s="127" t="str">
        <f>IF(J150="cement delivery to silo","CP-1 EP-2",IF(J150="cement supplement delivery to silo","CP-1 EP-3",IF(J150="weigh hopper loading","CP-1 EP-4",IF(J150="truck mix loading","CP-1 EP-5",IF(J150="central mix loading","CP-1 EP-6",IF(J150="","","CP-1 EP-1"))))))</f>
        <v/>
      </c>
      <c r="I150" s="127" t="str">
        <f t="shared" ref="I150:I159" si="43">IF(J150="","",IF(J150="aggregate delivery to ground storage","CP-6 EU-1",IF(J150="sand delivery to ground storage","CP-6 EU-2",IF(J150="aggregate transfer to conveyor","CP-6 EU-3",IF(J150="sand transfer to conveyor","CP-6 EU-4",IF(J150="aggregate transfer to elevated storage","CP-6 EU-5",IF(J150="sand transfer to elevated storage","CP-6 EU-6",IF(J150="weigh hopper loading","CP-6 EU-7",IF(J150="central mix loading","CP-6 EU-8",IF(J150="truck mix loading","CP-6 EU-9",IF(J150="cement delivery to silo","CP-6 EU-10",IF(J150="cement supplement delivery to silo","CP-6 EU-11"))))))))))))</f>
        <v/>
      </c>
      <c r="J150" s="82"/>
      <c r="K150" s="61"/>
      <c r="L150" s="156"/>
      <c r="M150" s="219" t="str">
        <f>IF(J150="truck mix loading",IF($F$153="yes",L150*0.05/2000,L150/2000),"")</f>
        <v/>
      </c>
      <c r="N150" s="219" t="str">
        <f>IF(J150="central mix loading",IF($F$153="yes",L150*0.05/2000,L150/2000),"")</f>
        <v/>
      </c>
    </row>
    <row r="151" spans="2:14" ht="14.25" customHeight="1" x14ac:dyDescent="0.2">
      <c r="B151" s="79" t="str">
        <f>IF('Concrete Plant (CP-6)'!$D$4&gt;8,"County:","")</f>
        <v/>
      </c>
      <c r="C151" s="339"/>
      <c r="D151" s="342"/>
      <c r="E151" s="343"/>
      <c r="F151" s="175"/>
      <c r="G151" s="45"/>
      <c r="H151" s="127" t="str">
        <f t="shared" ref="H151:H159" si="44">IF(J151="cement delivery to silo","CP-1 EP-2",IF(J151="cement supplement delivery to silo","CP-1 EP-3",IF(J151="weigh hopper loading","CP-1 EP-4",IF(J151="truck mix loading","CP-1 EP-5",IF(J151="central mix loading","CP-1 EP-6",IF(J151="","","CP-1 EP-1"))))))</f>
        <v/>
      </c>
      <c r="I151" s="127" t="str">
        <f t="shared" si="43"/>
        <v/>
      </c>
      <c r="J151" s="82"/>
      <c r="K151" s="61"/>
      <c r="L151" s="156"/>
      <c r="M151" s="219" t="str">
        <f t="shared" ref="M151:M159" si="45">IF(J151="truck mix loading",IF($F$153="yes",L151*0.05/2000,L151/2000),"")</f>
        <v/>
      </c>
      <c r="N151" s="219" t="str">
        <f t="shared" ref="N151:N159" si="46">IF(J151="central mix loading",IF($F$153="yes",L151*0.05/2000,L151/2000),"")</f>
        <v/>
      </c>
    </row>
    <row r="152" spans="2:14" ht="14.25" customHeight="1" x14ac:dyDescent="0.2">
      <c r="B152" s="79" t="str">
        <f>IF('Concrete Plant (CP-6)'!$D$4&gt;8,"Batching Period (Dates):","")</f>
        <v/>
      </c>
      <c r="C152" s="352"/>
      <c r="D152" s="358"/>
      <c r="E152" s="359"/>
      <c r="F152" s="175"/>
      <c r="G152" s="45"/>
      <c r="H152" s="127" t="str">
        <f t="shared" si="44"/>
        <v/>
      </c>
      <c r="I152" s="127" t="str">
        <f t="shared" si="43"/>
        <v/>
      </c>
      <c r="J152" s="82"/>
      <c r="K152" s="61"/>
      <c r="L152" s="156"/>
      <c r="M152" s="219" t="str">
        <f t="shared" si="45"/>
        <v/>
      </c>
      <c r="N152" s="219" t="str">
        <f t="shared" si="46"/>
        <v/>
      </c>
    </row>
    <row r="153" spans="2:14" ht="14.25" customHeight="1" x14ac:dyDescent="0.2">
      <c r="B153" s="51" t="str">
        <f>IF(OR(COUNTIF(J150:J159,"Truck Mix Loading")&gt;0,(COUNTIF(J150:J159,"Central Mix Loading")&gt;0)),"Is the Central/Truck Mix Loading process controlled by a baghouse?","")</f>
        <v/>
      </c>
      <c r="C153" s="51"/>
      <c r="D153" s="51"/>
      <c r="E153" s="51"/>
      <c r="F153" s="221"/>
      <c r="G153" s="45"/>
      <c r="H153" s="127" t="str">
        <f t="shared" si="44"/>
        <v/>
      </c>
      <c r="I153" s="127" t="str">
        <f t="shared" si="43"/>
        <v/>
      </c>
      <c r="J153" s="82"/>
      <c r="K153" s="61"/>
      <c r="L153" s="156"/>
      <c r="M153" s="219" t="str">
        <f t="shared" si="45"/>
        <v/>
      </c>
      <c r="N153" s="219" t="str">
        <f t="shared" si="46"/>
        <v/>
      </c>
    </row>
    <row r="154" spans="2:14" ht="14.25" customHeight="1" x14ac:dyDescent="0.2">
      <c r="F154" s="177"/>
      <c r="G154" s="45"/>
      <c r="H154" s="127" t="str">
        <f t="shared" si="44"/>
        <v/>
      </c>
      <c r="I154" s="127" t="str">
        <f t="shared" si="43"/>
        <v/>
      </c>
      <c r="J154" s="82"/>
      <c r="K154" s="61"/>
      <c r="L154" s="156"/>
      <c r="M154" s="219" t="str">
        <f t="shared" si="45"/>
        <v/>
      </c>
      <c r="N154" s="219" t="str">
        <f t="shared" si="46"/>
        <v/>
      </c>
    </row>
    <row r="155" spans="2:14" ht="28.5" customHeight="1" x14ac:dyDescent="0.2">
      <c r="B155" s="312" t="str">
        <f>IF(AND(B157="",B158="",B159="",B160="",B161=""),"","Process (complete stack information if applicable):")</f>
        <v/>
      </c>
      <c r="C155" s="312" t="str">
        <f>IF(AND(B157="",B158="",B159="",B160="",B161=""),"","Stack Height (ft):")</f>
        <v/>
      </c>
      <c r="D155" s="312" t="str">
        <f>IF(AND(B157="",B158="",B159="",B160="",B161=""),"","Stack Diameter (inches):")</f>
        <v/>
      </c>
      <c r="E155" s="312" t="str">
        <f>IF(AND(B157="",B158="",B159="",B160="",B161=""),"","Flow Rate (acfm):")</f>
        <v/>
      </c>
      <c r="F155" s="312" t="str">
        <f>IF(AND(B157="",B158="",B159="",B160="",B161=""),"","Temp (Deg F):")</f>
        <v/>
      </c>
      <c r="G155" s="45"/>
      <c r="H155" s="127" t="str">
        <f t="shared" si="44"/>
        <v/>
      </c>
      <c r="I155" s="127" t="str">
        <f t="shared" si="43"/>
        <v/>
      </c>
      <c r="J155" s="82"/>
      <c r="K155" s="61"/>
      <c r="L155" s="156"/>
      <c r="M155" s="219" t="str">
        <f t="shared" si="45"/>
        <v/>
      </c>
      <c r="N155" s="219" t="str">
        <f t="shared" si="46"/>
        <v/>
      </c>
    </row>
    <row r="156" spans="2:14" ht="14.25" customHeight="1" x14ac:dyDescent="0.2">
      <c r="B156" s="312"/>
      <c r="C156" s="312"/>
      <c r="D156" s="312"/>
      <c r="E156" s="312"/>
      <c r="F156" s="312"/>
      <c r="G156" s="45"/>
      <c r="H156" s="127" t="str">
        <f t="shared" si="44"/>
        <v/>
      </c>
      <c r="I156" s="127" t="str">
        <f t="shared" si="43"/>
        <v/>
      </c>
      <c r="J156" s="82"/>
      <c r="K156" s="61"/>
      <c r="L156" s="156"/>
      <c r="M156" s="219" t="str">
        <f t="shared" si="45"/>
        <v/>
      </c>
      <c r="N156" s="219" t="str">
        <f t="shared" si="46"/>
        <v/>
      </c>
    </row>
    <row r="157" spans="2:14" ht="14.25" customHeight="1" x14ac:dyDescent="0.2">
      <c r="B157" s="45" t="str">
        <f>IF(COUNTIF(J150:J159,"Cement Delivery to Silo")&gt;0,"EP-2 Cement Silo Stack:","")</f>
        <v/>
      </c>
      <c r="C157" s="221"/>
      <c r="D157" s="221"/>
      <c r="E157" s="221"/>
      <c r="F157" s="221"/>
      <c r="G157" s="45"/>
      <c r="H157" s="127" t="str">
        <f t="shared" si="44"/>
        <v/>
      </c>
      <c r="I157" s="127" t="str">
        <f t="shared" si="43"/>
        <v/>
      </c>
      <c r="J157" s="82"/>
      <c r="K157" s="61"/>
      <c r="L157" s="156"/>
      <c r="M157" s="219" t="str">
        <f t="shared" si="45"/>
        <v/>
      </c>
      <c r="N157" s="219" t="str">
        <f t="shared" si="46"/>
        <v/>
      </c>
    </row>
    <row r="158" spans="2:14" ht="14.25" customHeight="1" x14ac:dyDescent="0.2">
      <c r="B158" s="45" t="str">
        <f>IF(COUNTIF(J150:J159,"Cement Supplement Delivery to Silo")&gt;0,"EP-3 Cement Supplement Silo Stack:","")</f>
        <v/>
      </c>
      <c r="C158" s="221"/>
      <c r="D158" s="221"/>
      <c r="E158" s="221"/>
      <c r="F158" s="221"/>
      <c r="G158" s="45"/>
      <c r="H158" s="127" t="str">
        <f t="shared" si="44"/>
        <v/>
      </c>
      <c r="I158" s="127" t="str">
        <f t="shared" si="43"/>
        <v/>
      </c>
      <c r="J158" s="82"/>
      <c r="K158" s="61"/>
      <c r="L158" s="156"/>
      <c r="M158" s="219" t="str">
        <f t="shared" si="45"/>
        <v/>
      </c>
      <c r="N158" s="219" t="str">
        <f t="shared" si="46"/>
        <v/>
      </c>
    </row>
    <row r="159" spans="2:14" ht="14.25" customHeight="1" x14ac:dyDescent="0.2">
      <c r="B159" s="45" t="str">
        <f>IF(COUNTIF(J150:J159,"Weigh Hopper Loading")&gt;0,"EP-4 Weigh Hopper Loading Stack:","")</f>
        <v/>
      </c>
      <c r="C159" s="221"/>
      <c r="D159" s="221"/>
      <c r="E159" s="221"/>
      <c r="F159" s="221"/>
      <c r="H159" s="127" t="str">
        <f t="shared" si="44"/>
        <v/>
      </c>
      <c r="I159" s="127" t="str">
        <f t="shared" si="43"/>
        <v/>
      </c>
      <c r="J159" s="82"/>
      <c r="K159" s="61"/>
      <c r="L159" s="156"/>
      <c r="M159" s="219" t="str">
        <f t="shared" si="45"/>
        <v/>
      </c>
      <c r="N159" s="219" t="str">
        <f t="shared" si="46"/>
        <v/>
      </c>
    </row>
    <row r="160" spans="2:14" ht="14.25" customHeight="1" x14ac:dyDescent="0.2">
      <c r="B160" s="45" t="str">
        <f>IF(COUNTIF(J150:J159,"Truck Mix Loading")&gt;0,"EP-5 Truck Mix Loading Stack:","")</f>
        <v/>
      </c>
      <c r="C160" s="221"/>
      <c r="D160" s="221"/>
      <c r="E160" s="221"/>
      <c r="F160" s="221"/>
      <c r="G160" s="76"/>
      <c r="H160" s="45"/>
      <c r="I160" s="45"/>
    </row>
    <row r="161" spans="2:14" ht="14.25" customHeight="1" x14ac:dyDescent="0.2">
      <c r="B161" s="45" t="str">
        <f>IF(COUNTIF(J150:J159,"Central Mix Loading")&gt;0,"EP-6 Central Mix Loading Stack:","")</f>
        <v/>
      </c>
      <c r="C161" s="221"/>
      <c r="D161" s="221"/>
      <c r="E161" s="221"/>
      <c r="F161" s="221"/>
      <c r="H161" s="74" t="str">
        <f>IF('Concrete Plant (CP-6)'!$D$4&gt;8,"Stock Pile Area","")</f>
        <v/>
      </c>
      <c r="I161" s="74"/>
      <c r="J161" s="75"/>
    </row>
    <row r="162" spans="2:14" ht="14.25" customHeight="1" x14ac:dyDescent="0.2">
      <c r="B162" s="73"/>
      <c r="C162" s="163"/>
      <c r="D162" s="163"/>
      <c r="E162" s="163"/>
      <c r="F162" s="176"/>
      <c r="I162" s="51" t="str">
        <f>IF('Concrete Plant (CP-6)'!$D$4&gt;8,"Emission Unit #","")</f>
        <v/>
      </c>
      <c r="J162" s="80" t="str">
        <f>IF('Concrete Plant (CP-6)'!$D$4&gt;8,"Maximum Storage Area (acres)","")</f>
        <v/>
      </c>
      <c r="K162" s="81" t="str">
        <f>IF('Concrete Plant (CP-6)'!$D$4&gt;8,"Actual Storage Area (acres)","")</f>
        <v/>
      </c>
      <c r="L162" s="80" t="str">
        <f>IF('Concrete Plant (CP-6)'!$D$4&gt;8,"Actual Days in Existence (days)","")</f>
        <v/>
      </c>
      <c r="M162" s="146"/>
      <c r="N162" s="146"/>
    </row>
    <row r="163" spans="2:14" ht="14.25" customHeight="1" x14ac:dyDescent="0.2">
      <c r="B163" s="73"/>
      <c r="C163" s="163"/>
      <c r="D163" s="163"/>
      <c r="E163" s="163"/>
      <c r="F163" s="176"/>
      <c r="I163" s="65"/>
      <c r="J163" s="144"/>
      <c r="K163" s="66"/>
      <c r="L163" s="144"/>
      <c r="M163" s="146"/>
      <c r="N163" s="146"/>
    </row>
    <row r="164" spans="2:14" ht="14.25" customHeight="1" x14ac:dyDescent="0.2">
      <c r="B164" s="73"/>
      <c r="C164" s="163"/>
      <c r="D164" s="163"/>
      <c r="E164" s="163"/>
      <c r="F164" s="176"/>
    </row>
    <row r="165" spans="2:14" ht="30" customHeight="1" x14ac:dyDescent="0.25">
      <c r="B165" s="78" t="str">
        <f>IF('Concrete Plant (CP-6)'!$D$4&gt;9,"Batch Plant","")</f>
        <v/>
      </c>
      <c r="C165" s="71" t="str">
        <f>IF('Concrete Plant (CP-6)'!$D$4&gt;9,"Site 10","")</f>
        <v/>
      </c>
      <c r="D165" s="71"/>
      <c r="E165" s="71"/>
      <c r="F165" s="71"/>
      <c r="H165" s="310" t="str">
        <f>IF('Concrete Plant (CP-6)'!$D$4&gt;9,"Emission Point #","")</f>
        <v/>
      </c>
      <c r="I165" s="310" t="str">
        <f>IF('Concrete Plant (CP-6)'!$D$4&gt;9,"Emission     Unit #","")</f>
        <v/>
      </c>
      <c r="J165" s="310" t="str">
        <f>IF('Concrete Plant (CP-6)'!$D$4&gt;9,"Processes","")</f>
        <v/>
      </c>
      <c r="K165" s="311" t="str">
        <f>IF('Concrete Plant (CP-6)'!$D$4&gt;9,"Combined Maximum Hourly Design Rate for all Like Processes (cubic yard/hr)","")</f>
        <v/>
      </c>
      <c r="L165" s="310" t="str">
        <f>IF('Concrete Plant (CP-6)'!$D$4&gt;9,('Facility Information'!G5&amp;" Annual Throughput (cubic yards)"),"")</f>
        <v/>
      </c>
      <c r="M165" s="217"/>
      <c r="N165" s="217"/>
    </row>
    <row r="166" spans="2:14" ht="14.25" customHeight="1" x14ac:dyDescent="0.2">
      <c r="B166" s="79" t="str">
        <f>IF('Concrete Plant (CP-6)'!$D$4&gt;9,"Site Name:","")</f>
        <v/>
      </c>
      <c r="C166" s="349"/>
      <c r="D166" s="356"/>
      <c r="E166" s="357"/>
      <c r="F166" s="175"/>
      <c r="H166" s="127" t="str">
        <f>IF(J166="cement delivery to silo","CP-1 EP-2",IF(J166="cement supplement delivery to silo","CP-1 EP-3",IF(J166="weigh hopper loading","CP-1 EP-4",IF(J166="truck mix loading","CP-1 EP-5",IF(J166="central mix loading","CP-1 EP-6",IF(J166="","","CP-1 EP-1"))))))</f>
        <v/>
      </c>
      <c r="I166" s="127" t="str">
        <f t="shared" ref="I166:I175" si="47">IF(J166="","",IF(J166="aggregate delivery to ground storage","CP-6 EU-1",IF(J166="sand delivery to ground storage","CP-6 EU-2",IF(J166="aggregate transfer to conveyor","CP-6 EU-3",IF(J166="sand transfer to conveyor","CP-6 EU-4",IF(J166="aggregate transfer to elevated storage","CP-6 EU-5",IF(J166="sand transfer to elevated storage","CP-6 EU-6",IF(J166="weigh hopper loading","CP-6 EU-7",IF(J166="central mix loading","CP-6 EU-8",IF(J166="truck mix loading","CP-6 EU-9",IF(J166="cement delivery to silo","CP-6 EU-10",IF(J166="cement supplement delivery to silo","CP-6 EU-11"))))))))))))</f>
        <v/>
      </c>
      <c r="J166" s="82"/>
      <c r="K166" s="61"/>
      <c r="L166" s="156"/>
      <c r="M166" s="219" t="str">
        <f>IF(J166="truck mix loading",IF($F$169="yes",L166*0.05/2000,L166/2000),"")</f>
        <v/>
      </c>
      <c r="N166" s="219" t="str">
        <f>IF(J166="central mix loading",IF($F$169="yes",L166*0.05/2000,L166/2000),"")</f>
        <v/>
      </c>
    </row>
    <row r="167" spans="2:14" ht="14.25" customHeight="1" x14ac:dyDescent="0.2">
      <c r="B167" s="79" t="str">
        <f>IF('Concrete Plant (CP-6)'!$D$4&gt;9,"County:","")</f>
        <v/>
      </c>
      <c r="C167" s="339"/>
      <c r="D167" s="342"/>
      <c r="E167" s="343"/>
      <c r="F167" s="175"/>
      <c r="H167" s="127" t="str">
        <f t="shared" ref="H167:H175" si="48">IF(J167="cement delivery to silo","CP-1 EP-2",IF(J167="cement supplement delivery to silo","CP-1 EP-3",IF(J167="weigh hopper loading","CP-1 EP-4",IF(J167="truck mix loading","CP-1 EP-5",IF(J167="central mix loading","CP-1 EP-6",IF(J167="","","CP-1 EP-1"))))))</f>
        <v/>
      </c>
      <c r="I167" s="127" t="str">
        <f t="shared" si="47"/>
        <v/>
      </c>
      <c r="J167" s="82"/>
      <c r="K167" s="61"/>
      <c r="L167" s="156"/>
      <c r="M167" s="219" t="str">
        <f t="shared" ref="M167:M175" si="49">IF(J167="truck mix loading",IF($F$169="yes",L167*0.05/2000,L167/2000),"")</f>
        <v/>
      </c>
      <c r="N167" s="219" t="str">
        <f t="shared" ref="N167:N175" si="50">IF(J167="central mix loading",IF($F$169="yes",L167*0.05/2000,L167/2000),"")</f>
        <v/>
      </c>
    </row>
    <row r="168" spans="2:14" ht="14.25" customHeight="1" x14ac:dyDescent="0.2">
      <c r="B168" s="79" t="str">
        <f>IF('Concrete Plant (CP-6)'!$D$4&gt;9,"Batching Period (Dates):","")</f>
        <v/>
      </c>
      <c r="C168" s="352"/>
      <c r="D168" s="358"/>
      <c r="E168" s="359"/>
      <c r="F168" s="175"/>
      <c r="H168" s="127" t="str">
        <f t="shared" si="48"/>
        <v/>
      </c>
      <c r="I168" s="127" t="str">
        <f t="shared" si="47"/>
        <v/>
      </c>
      <c r="J168" s="82"/>
      <c r="K168" s="61"/>
      <c r="L168" s="156"/>
      <c r="M168" s="219" t="str">
        <f t="shared" si="49"/>
        <v/>
      </c>
      <c r="N168" s="219" t="str">
        <f t="shared" si="50"/>
        <v/>
      </c>
    </row>
    <row r="169" spans="2:14" ht="14.25" customHeight="1" x14ac:dyDescent="0.2">
      <c r="B169" s="51" t="str">
        <f>IF(OR(COUNTIF(J166:J175,"Truck Mix Loading")&gt;0,(COUNTIF(J166:J175,"Central Mix Loading")&gt;0)),"Is the Central/Truck Mix Loading process controlled by a baghouse?","")</f>
        <v/>
      </c>
      <c r="C169" s="51"/>
      <c r="D169" s="51"/>
      <c r="E169" s="51"/>
      <c r="F169" s="221"/>
      <c r="H169" s="127" t="str">
        <f t="shared" si="48"/>
        <v/>
      </c>
      <c r="I169" s="127" t="str">
        <f t="shared" si="47"/>
        <v/>
      </c>
      <c r="J169" s="82"/>
      <c r="K169" s="61"/>
      <c r="L169" s="156"/>
      <c r="M169" s="219" t="str">
        <f t="shared" si="49"/>
        <v/>
      </c>
      <c r="N169" s="219" t="str">
        <f t="shared" si="50"/>
        <v/>
      </c>
    </row>
    <row r="170" spans="2:14" ht="14.25" customHeight="1" x14ac:dyDescent="0.2">
      <c r="H170" s="127" t="str">
        <f t="shared" si="48"/>
        <v/>
      </c>
      <c r="I170" s="127" t="str">
        <f t="shared" si="47"/>
        <v/>
      </c>
      <c r="J170" s="82"/>
      <c r="K170" s="61"/>
      <c r="L170" s="156"/>
      <c r="M170" s="219" t="str">
        <f t="shared" si="49"/>
        <v/>
      </c>
      <c r="N170" s="219" t="str">
        <f t="shared" si="50"/>
        <v/>
      </c>
    </row>
    <row r="171" spans="2:14" ht="27.75" customHeight="1" x14ac:dyDescent="0.2">
      <c r="B171" s="312" t="str">
        <f>IF(AND(B173="",B174="",B175="",B176="",B177=""),"","Process (complete stack information if applicable):")</f>
        <v/>
      </c>
      <c r="C171" s="312" t="str">
        <f>IF(AND(B173="",B174="",B175="",B176="",B177=""),"","Stack Height (ft):")</f>
        <v/>
      </c>
      <c r="D171" s="312" t="str">
        <f>IF(AND(B173="",B174="",B175="",B176="",B177=""),"","Stack Diameter (inches):")</f>
        <v/>
      </c>
      <c r="E171" s="312" t="str">
        <f>IF(AND(B173="",B174="",B175="",B176="",B177=""),"","Flow Rate (acfm):")</f>
        <v/>
      </c>
      <c r="F171" s="312" t="str">
        <f>IF(AND(B173="",B174="",B175="",B176="",B177=""),"","Temp (Deg F):")</f>
        <v/>
      </c>
      <c r="H171" s="127" t="str">
        <f t="shared" si="48"/>
        <v/>
      </c>
      <c r="I171" s="127" t="str">
        <f t="shared" si="47"/>
        <v/>
      </c>
      <c r="J171" s="82"/>
      <c r="K171" s="61"/>
      <c r="L171" s="156"/>
      <c r="M171" s="219" t="str">
        <f t="shared" si="49"/>
        <v/>
      </c>
      <c r="N171" s="219" t="str">
        <f t="shared" si="50"/>
        <v/>
      </c>
    </row>
    <row r="172" spans="2:14" ht="14.25" customHeight="1" x14ac:dyDescent="0.2">
      <c r="B172" s="312"/>
      <c r="C172" s="312"/>
      <c r="D172" s="312"/>
      <c r="E172" s="312"/>
      <c r="F172" s="312"/>
      <c r="H172" s="127" t="str">
        <f t="shared" si="48"/>
        <v/>
      </c>
      <c r="I172" s="127" t="str">
        <f t="shared" si="47"/>
        <v/>
      </c>
      <c r="J172" s="82"/>
      <c r="K172" s="61"/>
      <c r="L172" s="156"/>
      <c r="M172" s="219" t="str">
        <f t="shared" si="49"/>
        <v/>
      </c>
      <c r="N172" s="219" t="str">
        <f t="shared" si="50"/>
        <v/>
      </c>
    </row>
    <row r="173" spans="2:14" ht="14.25" customHeight="1" x14ac:dyDescent="0.2">
      <c r="B173" s="45" t="str">
        <f>IF(COUNTIF(J166:J175,"Cement Delivery to Silo")&gt;0,"EP-2 Cement Silo Stack:","")</f>
        <v/>
      </c>
      <c r="C173" s="221"/>
      <c r="D173" s="221"/>
      <c r="E173" s="221"/>
      <c r="F173" s="221"/>
      <c r="H173" s="127" t="str">
        <f t="shared" si="48"/>
        <v/>
      </c>
      <c r="I173" s="127" t="str">
        <f t="shared" si="47"/>
        <v/>
      </c>
      <c r="J173" s="82"/>
      <c r="K173" s="61"/>
      <c r="L173" s="156"/>
      <c r="M173" s="219" t="str">
        <f t="shared" si="49"/>
        <v/>
      </c>
      <c r="N173" s="219" t="str">
        <f t="shared" si="50"/>
        <v/>
      </c>
    </row>
    <row r="174" spans="2:14" ht="14.25" customHeight="1" x14ac:dyDescent="0.2">
      <c r="B174" s="45" t="str">
        <f>IF(COUNTIF(J166:J175,"Cement Supplement Delivery to Silo")&gt;0,"EP-3 Cement Supplement Silo Stack:","")</f>
        <v/>
      </c>
      <c r="C174" s="221"/>
      <c r="D174" s="221"/>
      <c r="E174" s="221"/>
      <c r="F174" s="221"/>
      <c r="H174" s="127" t="str">
        <f t="shared" si="48"/>
        <v/>
      </c>
      <c r="I174" s="127" t="str">
        <f t="shared" si="47"/>
        <v/>
      </c>
      <c r="J174" s="82"/>
      <c r="K174" s="61"/>
      <c r="L174" s="156"/>
      <c r="M174" s="219" t="str">
        <f t="shared" si="49"/>
        <v/>
      </c>
      <c r="N174" s="219" t="str">
        <f t="shared" si="50"/>
        <v/>
      </c>
    </row>
    <row r="175" spans="2:14" ht="14.25" customHeight="1" x14ac:dyDescent="0.2">
      <c r="B175" s="45" t="str">
        <f>IF(COUNTIF(J166:J175,"Weigh Hopper Loading")&gt;0,"EP-4 Weigh Hopper Loading Stack:","")</f>
        <v/>
      </c>
      <c r="C175" s="221"/>
      <c r="D175" s="221"/>
      <c r="E175" s="221"/>
      <c r="F175" s="221"/>
      <c r="H175" s="127" t="str">
        <f t="shared" si="48"/>
        <v/>
      </c>
      <c r="I175" s="127" t="str">
        <f t="shared" si="47"/>
        <v/>
      </c>
      <c r="J175" s="82"/>
      <c r="K175" s="61"/>
      <c r="L175" s="156"/>
      <c r="M175" s="219" t="str">
        <f t="shared" si="49"/>
        <v/>
      </c>
      <c r="N175" s="219" t="str">
        <f t="shared" si="50"/>
        <v/>
      </c>
    </row>
    <row r="176" spans="2:14" ht="14.25" customHeight="1" x14ac:dyDescent="0.2">
      <c r="B176" s="45" t="str">
        <f>IF(COUNTIF(J166:J175,"Truck Mix Loading")&gt;0,"EP-5 Truck Mix Loading Stack:","")</f>
        <v/>
      </c>
      <c r="C176" s="221"/>
      <c r="D176" s="221"/>
      <c r="E176" s="221"/>
      <c r="F176" s="221"/>
      <c r="H176" s="45"/>
      <c r="I176" s="45"/>
    </row>
    <row r="177" spans="2:14" ht="14.25" customHeight="1" x14ac:dyDescent="0.2">
      <c r="B177" s="45" t="str">
        <f>IF(COUNTIF(J166:J175,"Central Mix Loading")&gt;0,"EP-6 Central Mix Loading Stack:","")</f>
        <v/>
      </c>
      <c r="C177" s="221"/>
      <c r="D177" s="221"/>
      <c r="E177" s="221"/>
      <c r="F177" s="221"/>
      <c r="H177" s="74" t="str">
        <f>IF('Concrete Plant (CP-6)'!$D$4&gt;9,"Stock Pile Area","")</f>
        <v/>
      </c>
      <c r="I177" s="74"/>
      <c r="J177" s="74"/>
      <c r="K177" s="76"/>
      <c r="L177" s="76"/>
      <c r="M177" s="71"/>
      <c r="N177" s="71"/>
    </row>
    <row r="178" spans="2:14" ht="14.25" customHeight="1" x14ac:dyDescent="0.2">
      <c r="B178" s="73"/>
      <c r="C178" s="163"/>
      <c r="D178" s="163"/>
      <c r="E178" s="163"/>
      <c r="F178" s="163"/>
      <c r="I178" s="51" t="str">
        <f>IF('Concrete Plant (CP-6)'!$D$4&gt;9,"Emission Unit #","")</f>
        <v/>
      </c>
      <c r="J178" s="140" t="str">
        <f>IF('Concrete Plant (CP-6)'!$D$4&gt;9,"Maximum Storage Area (acres)","")</f>
        <v/>
      </c>
      <c r="K178" s="81" t="str">
        <f>IF('Concrete Plant (CP-6)'!$D$4&gt;9,"Actual Storage Area (acres)","")</f>
        <v/>
      </c>
      <c r="L178" s="140" t="str">
        <f>IF('Concrete Plant (CP-6)'!$D$4&gt;9,"Actual Days in Existence (days)","")</f>
        <v/>
      </c>
      <c r="M178" s="146"/>
      <c r="N178" s="146"/>
    </row>
    <row r="179" spans="2:14" ht="14.25" customHeight="1" x14ac:dyDescent="0.2">
      <c r="B179" s="73"/>
      <c r="C179" s="163"/>
      <c r="D179" s="163"/>
      <c r="E179" s="163"/>
      <c r="F179" s="163"/>
      <c r="I179" s="65"/>
      <c r="J179" s="144"/>
      <c r="K179" s="66"/>
      <c r="L179" s="144"/>
      <c r="M179" s="146"/>
      <c r="N179" s="146"/>
    </row>
    <row r="180" spans="2:14" ht="14.25" customHeight="1" x14ac:dyDescent="0.2">
      <c r="B180" s="73"/>
      <c r="C180" s="163"/>
      <c r="D180" s="163"/>
      <c r="E180" s="163"/>
      <c r="F180" s="163"/>
    </row>
    <row r="181" spans="2:14" ht="14.25" customHeight="1" x14ac:dyDescent="0.2">
      <c r="M181" s="220">
        <f>SUM(M166:M175,M150:M159,M134:M143,M118:M127,M102:M111,M86:M95,M70:M79,M53:M62,M38:M47,M21:M30)</f>
        <v>0</v>
      </c>
      <c r="N181" s="220">
        <f>SUM(N166:N175,N150:N159,N134:N143,N118:N127,N102:N111,N86:N95,N70:N79,N53:N62,N38:N47,N21:N30)</f>
        <v>0</v>
      </c>
    </row>
  </sheetData>
  <sheetProtection algorithmName="SHA-512" hashValue="wC83oXTn+Ex4NDYV1Mnv5Lng3+r9Hs4Bp8C06QVI4kIAbdfjb8KKorZINU2yX0DTE9SEb2mAm8pS6pwtAI7d/Q==" saltValue="UZCi48jCsIi5fVsXzMM+TA==" spinCount="100000" sheet="1" objects="1" scenarios="1"/>
  <conditionalFormatting sqref="I49:L49 B38:B40 B53:B55 B70:B72 B86:B88 B102:B104 B118:B120 B134:B136 B150:B152 B166:B168">
    <cfRule type="notContainsBlanks" dxfId="1078" priority="247" stopIfTrue="1">
      <formula>LEN(TRIM(B38))&gt;0</formula>
    </cfRule>
  </conditionalFormatting>
  <conditionalFormatting sqref="B37:F37">
    <cfRule type="notContainsBlanks" dxfId="1077" priority="248" stopIfTrue="1">
      <formula>LEN(TRIM(B37))&gt;0</formula>
    </cfRule>
  </conditionalFormatting>
  <conditionalFormatting sqref="I65:L65">
    <cfRule type="notContainsBlanks" dxfId="1076" priority="246" stopIfTrue="1">
      <formula>LEN(TRIM(I65))&gt;0</formula>
    </cfRule>
  </conditionalFormatting>
  <conditionalFormatting sqref="B52:F52">
    <cfRule type="notContainsBlanks" dxfId="1075" priority="249" stopIfTrue="1">
      <formula>LEN(TRIM(B52))&gt;0</formula>
    </cfRule>
  </conditionalFormatting>
  <conditionalFormatting sqref="I82:L82">
    <cfRule type="notContainsBlanks" dxfId="1074" priority="243" stopIfTrue="1">
      <formula>LEN(TRIM(I82))&gt;0</formula>
    </cfRule>
  </conditionalFormatting>
  <conditionalFormatting sqref="B69:F69">
    <cfRule type="notContainsBlanks" dxfId="1073" priority="244" stopIfTrue="1">
      <formula>LEN(TRIM(B69))&gt;0</formula>
    </cfRule>
  </conditionalFormatting>
  <conditionalFormatting sqref="I98:L98">
    <cfRule type="notContainsBlanks" dxfId="1072" priority="241" stopIfTrue="1">
      <formula>LEN(TRIM(I98))&gt;0</formula>
    </cfRule>
  </conditionalFormatting>
  <conditionalFormatting sqref="B85:F85">
    <cfRule type="notContainsBlanks" dxfId="1071" priority="242" stopIfTrue="1">
      <formula>LEN(TRIM(B85))&gt;0</formula>
    </cfRule>
  </conditionalFormatting>
  <conditionalFormatting sqref="I114:L114">
    <cfRule type="notContainsBlanks" dxfId="1070" priority="239" stopIfTrue="1">
      <formula>LEN(TRIM(I114))&gt;0</formula>
    </cfRule>
  </conditionalFormatting>
  <conditionalFormatting sqref="B101:F101">
    <cfRule type="notContainsBlanks" dxfId="1069" priority="240" stopIfTrue="1">
      <formula>LEN(TRIM(B101))&gt;0</formula>
    </cfRule>
  </conditionalFormatting>
  <conditionalFormatting sqref="I130:L130">
    <cfRule type="notContainsBlanks" dxfId="1068" priority="237" stopIfTrue="1">
      <formula>LEN(TRIM(I130))&gt;0</formula>
    </cfRule>
  </conditionalFormatting>
  <conditionalFormatting sqref="B117:F117">
    <cfRule type="notContainsBlanks" dxfId="1067" priority="238" stopIfTrue="1">
      <formula>LEN(TRIM(B117))&gt;0</formula>
    </cfRule>
  </conditionalFormatting>
  <conditionalFormatting sqref="I146:L146">
    <cfRule type="notContainsBlanks" dxfId="1066" priority="235" stopIfTrue="1">
      <formula>LEN(TRIM(I146))&gt;0</formula>
    </cfRule>
  </conditionalFormatting>
  <conditionalFormatting sqref="B133:F133">
    <cfRule type="notContainsBlanks" dxfId="1065" priority="236" stopIfTrue="1">
      <formula>LEN(TRIM(B133))&gt;0</formula>
    </cfRule>
  </conditionalFormatting>
  <conditionalFormatting sqref="I162:L162">
    <cfRule type="notContainsBlanks" dxfId="1064" priority="233" stopIfTrue="1">
      <formula>LEN(TRIM(I162))&gt;0</formula>
    </cfRule>
  </conditionalFormatting>
  <conditionalFormatting sqref="B149:F149">
    <cfRule type="notContainsBlanks" dxfId="1063" priority="234" stopIfTrue="1">
      <formula>LEN(TRIM(B149))&gt;0</formula>
    </cfRule>
  </conditionalFormatting>
  <conditionalFormatting sqref="I178:L178">
    <cfRule type="notContainsBlanks" dxfId="1062" priority="232" stopIfTrue="1">
      <formula>LEN(TRIM(I178))&gt;0</formula>
    </cfRule>
  </conditionalFormatting>
  <conditionalFormatting sqref="I65:L66 H52 H63:L64 K54:L60 J54:J62 B57:F57 G50:G60 J52:L53 B52:F55">
    <cfRule type="cellIs" dxfId="1061" priority="245" stopIfTrue="1" operator="equal">
      <formula>$B$52="batch plant"</formula>
    </cfRule>
  </conditionalFormatting>
  <conditionalFormatting sqref="I82:L83 H69 H80:L81 K71:L77 J71:J79 G63:G75 J69:L70 B69:F72">
    <cfRule type="cellIs" dxfId="1060" priority="250" stopIfTrue="1" operator="equal">
      <formula>$B$69="batch plant"</formula>
    </cfRule>
  </conditionalFormatting>
  <conditionalFormatting sqref="I98:L99 H85 H96:L97 K87:L93 J87:J95 G78:G89 J85:L86 B85:F88">
    <cfRule type="cellIs" dxfId="1059" priority="251" stopIfTrue="1" operator="equal">
      <formula>$B$85="batch plant"</formula>
    </cfRule>
  </conditionalFormatting>
  <conditionalFormatting sqref="I114:L115 H101 H112:L113 G92:G99 K103:L109 J103:J111 B106:F106 G101:G103 J101:L102 B101:F104">
    <cfRule type="cellIs" dxfId="1058" priority="252" stopIfTrue="1" operator="equal">
      <formula>$B$101="batch plant"</formula>
    </cfRule>
  </conditionalFormatting>
  <conditionalFormatting sqref="I130:L131 H117 G106:G117 H128:L129 K119:L125 J119:J127 J117:L118 B117:F120">
    <cfRule type="cellIs" dxfId="1057" priority="253" stopIfTrue="1" operator="equal">
      <formula>$B$117="batch plant"</formula>
    </cfRule>
  </conditionalFormatting>
  <conditionalFormatting sqref="I146:L147 H133 G120:G132 H144:L145 K135:L141 J135:J143 J133:L134 B133:F136">
    <cfRule type="cellIs" dxfId="1056" priority="254" stopIfTrue="1" operator="equal">
      <formula>$B$133="batch plant"</formula>
    </cfRule>
  </conditionalFormatting>
  <conditionalFormatting sqref="I162:L163 H149 G134:G147 H160:L161 K151:L157 J151:J159 J149:L150 B149:F152">
    <cfRule type="cellIs" dxfId="1055" priority="255" stopIfTrue="1" operator="equal">
      <formula>$B$149="batch plant"</formula>
    </cfRule>
  </conditionalFormatting>
  <conditionalFormatting sqref="I37">
    <cfRule type="cellIs" dxfId="1054" priority="231" stopIfTrue="1" operator="equal">
      <formula>$B$37="crusher plant"</formula>
    </cfRule>
  </conditionalFormatting>
  <conditionalFormatting sqref="I52">
    <cfRule type="cellIs" dxfId="1053" priority="230" stopIfTrue="1" operator="equal">
      <formula>$B$37="crusher plant"</formula>
    </cfRule>
  </conditionalFormatting>
  <conditionalFormatting sqref="I69">
    <cfRule type="cellIs" dxfId="1052" priority="229" stopIfTrue="1" operator="equal">
      <formula>$B$37="crusher plant"</formula>
    </cfRule>
  </conditionalFormatting>
  <conditionalFormatting sqref="I85">
    <cfRule type="cellIs" dxfId="1051" priority="228" stopIfTrue="1" operator="equal">
      <formula>$B$37="crusher plant"</formula>
    </cfRule>
  </conditionalFormatting>
  <conditionalFormatting sqref="I101">
    <cfRule type="cellIs" dxfId="1050" priority="227" stopIfTrue="1" operator="equal">
      <formula>$B$37="crusher plant"</formula>
    </cfRule>
  </conditionalFormatting>
  <conditionalFormatting sqref="I117">
    <cfRule type="cellIs" dxfId="1049" priority="226" stopIfTrue="1" operator="equal">
      <formula>$B$37="crusher plant"</formula>
    </cfRule>
  </conditionalFormatting>
  <conditionalFormatting sqref="I133">
    <cfRule type="cellIs" dxfId="1048" priority="225" stopIfTrue="1" operator="equal">
      <formula>$B$37="crusher plant"</formula>
    </cfRule>
  </conditionalFormatting>
  <conditionalFormatting sqref="I149">
    <cfRule type="cellIs" dxfId="1047" priority="224" stopIfTrue="1" operator="equal">
      <formula>$B$37="crusher plant"</formula>
    </cfRule>
  </conditionalFormatting>
  <conditionalFormatting sqref="I165">
    <cfRule type="cellIs" dxfId="1046" priority="223" stopIfTrue="1" operator="equal">
      <formula>$B$37="crusher plant"</formula>
    </cfRule>
  </conditionalFormatting>
  <conditionalFormatting sqref="I21:I30">
    <cfRule type="notContainsBlanks" dxfId="1045" priority="222">
      <formula>LEN(TRIM(I21))&gt;0</formula>
    </cfRule>
  </conditionalFormatting>
  <conditionalFormatting sqref="I38:I47">
    <cfRule type="expression" dxfId="1044" priority="221">
      <formula>$B$37="batch plant"</formula>
    </cfRule>
  </conditionalFormatting>
  <conditionalFormatting sqref="I53:I62">
    <cfRule type="expression" dxfId="1043" priority="220">
      <formula>$B$52="batch plant"</formula>
    </cfRule>
  </conditionalFormatting>
  <conditionalFormatting sqref="I70:I79">
    <cfRule type="expression" dxfId="1042" priority="219">
      <formula>$B$69="batch plant"</formula>
    </cfRule>
  </conditionalFormatting>
  <conditionalFormatting sqref="I86:I95">
    <cfRule type="expression" dxfId="1041" priority="218">
      <formula>$B$85="batch plant"</formula>
    </cfRule>
  </conditionalFormatting>
  <conditionalFormatting sqref="I102:I111">
    <cfRule type="expression" dxfId="1040" priority="217">
      <formula>$B$101="batch plant"</formula>
    </cfRule>
  </conditionalFormatting>
  <conditionalFormatting sqref="I118:I127">
    <cfRule type="expression" dxfId="1039" priority="216">
      <formula>$B$117="batch plant"</formula>
    </cfRule>
  </conditionalFormatting>
  <conditionalFormatting sqref="I134:I143">
    <cfRule type="expression" dxfId="1038" priority="215">
      <formula>$B$133="batch plant"</formula>
    </cfRule>
  </conditionalFormatting>
  <conditionalFormatting sqref="I150:I159">
    <cfRule type="expression" dxfId="1037" priority="214">
      <formula>$B$149="batch plant"</formula>
    </cfRule>
  </conditionalFormatting>
  <conditionalFormatting sqref="I166:I175">
    <cfRule type="expression" dxfId="1036" priority="213">
      <formula>$B$165="batch plant"</formula>
    </cfRule>
  </conditionalFormatting>
  <conditionalFormatting sqref="J38:L47 I50:L50 C38:F40">
    <cfRule type="cellIs" dxfId="1035" priority="205" operator="equal">
      <formula>$B$37="batch plant"</formula>
    </cfRule>
  </conditionalFormatting>
  <conditionalFormatting sqref="K61:L62">
    <cfRule type="cellIs" dxfId="1034" priority="204" stopIfTrue="1" operator="equal">
      <formula>$B$52="batch plant"</formula>
    </cfRule>
  </conditionalFormatting>
  <conditionalFormatting sqref="K78:L79">
    <cfRule type="cellIs" dxfId="1033" priority="198" stopIfTrue="1" operator="equal">
      <formula>$B$69="batch plant"</formula>
    </cfRule>
  </conditionalFormatting>
  <conditionalFormatting sqref="K94:L95">
    <cfRule type="cellIs" dxfId="1032" priority="192" stopIfTrue="1" operator="equal">
      <formula>$B$85="batch plant"</formula>
    </cfRule>
  </conditionalFormatting>
  <conditionalFormatting sqref="K110:L111">
    <cfRule type="cellIs" dxfId="1031" priority="186" stopIfTrue="1" operator="equal">
      <formula>$B$101="batch plant"</formula>
    </cfRule>
  </conditionalFormatting>
  <conditionalFormatting sqref="K126:L127">
    <cfRule type="cellIs" dxfId="1030" priority="181" stopIfTrue="1" operator="equal">
      <formula>$B$117="batch plant"</formula>
    </cfRule>
  </conditionalFormatting>
  <conditionalFormatting sqref="K142:L143">
    <cfRule type="cellIs" dxfId="1029" priority="173" stopIfTrue="1" operator="equal">
      <formula>$B$133="batch plant"</formula>
    </cfRule>
  </conditionalFormatting>
  <conditionalFormatting sqref="K158:L159">
    <cfRule type="cellIs" dxfId="1028" priority="167" stopIfTrue="1" operator="equal">
      <formula>$B$149="batch plant"</formula>
    </cfRule>
  </conditionalFormatting>
  <conditionalFormatting sqref="B165:F165">
    <cfRule type="notContainsBlanks" dxfId="1027" priority="257" stopIfTrue="1">
      <formula>LEN(TRIM(B165))&gt;0</formula>
    </cfRule>
  </conditionalFormatting>
  <conditionalFormatting sqref="B165:F165">
    <cfRule type="cellIs" dxfId="1026" priority="156" stopIfTrue="1" operator="equal">
      <formula>$B$149="batch plant"</formula>
    </cfRule>
  </conditionalFormatting>
  <conditionalFormatting sqref="J166:L166 J175:L175 K167:L173 J167:J174 F166:F168">
    <cfRule type="cellIs" dxfId="1025" priority="155" stopIfTrue="1" operator="equal">
      <formula>$B$165="batch plant"</formula>
    </cfRule>
  </conditionalFormatting>
  <conditionalFormatting sqref="K174:L174">
    <cfRule type="cellIs" dxfId="1024" priority="154" stopIfTrue="1" operator="equal">
      <formula>$B$165="batch plant"</formula>
    </cfRule>
  </conditionalFormatting>
  <conditionalFormatting sqref="I179:L179">
    <cfRule type="cellIs" dxfId="1023" priority="153" stopIfTrue="1" operator="equal">
      <formula>$B$165="batch plant"</formula>
    </cfRule>
  </conditionalFormatting>
  <conditionalFormatting sqref="C166:E168">
    <cfRule type="cellIs" dxfId="1022" priority="152" stopIfTrue="1" operator="equal">
      <formula>$B$165="batch plant"</formula>
    </cfRule>
  </conditionalFormatting>
  <conditionalFormatting sqref="B29:B32">
    <cfRule type="notContainsBlanks" dxfId="1021" priority="147">
      <formula>LEN(TRIM(B29))&gt;0</formula>
    </cfRule>
  </conditionalFormatting>
  <conditionalFormatting sqref="B28">
    <cfRule type="notContainsBlanks" dxfId="1020" priority="146">
      <formula>LEN(TRIM(B28))&gt;0</formula>
    </cfRule>
  </conditionalFormatting>
  <conditionalFormatting sqref="C28:F28">
    <cfRule type="cellIs" dxfId="1019" priority="145" operator="equal">
      <formula>$B$28=""</formula>
    </cfRule>
  </conditionalFormatting>
  <conditionalFormatting sqref="C29:F29">
    <cfRule type="cellIs" dxfId="1018" priority="144" operator="equal">
      <formula>$B$29=""</formula>
    </cfRule>
  </conditionalFormatting>
  <conditionalFormatting sqref="C31:F31">
    <cfRule type="cellIs" dxfId="1017" priority="143" operator="equal">
      <formula>$B$31=""</formula>
    </cfRule>
  </conditionalFormatting>
  <conditionalFormatting sqref="C26:F27">
    <cfRule type="notContainsBlanks" dxfId="1016" priority="148">
      <formula>LEN(TRIM(C26))&gt;0</formula>
    </cfRule>
  </conditionalFormatting>
  <conditionalFormatting sqref="B26:B27">
    <cfRule type="notContainsBlanks" dxfId="1015" priority="142">
      <formula>LEN(TRIM(B26))&gt;0</formula>
    </cfRule>
  </conditionalFormatting>
  <conditionalFormatting sqref="C28:F32">
    <cfRule type="notContainsBlanks" dxfId="1014" priority="141">
      <formula>LEN(TRIM(C28))&gt;0</formula>
    </cfRule>
  </conditionalFormatting>
  <conditionalFormatting sqref="C32:F32">
    <cfRule type="cellIs" dxfId="1013" priority="149" operator="equal">
      <formula>$B$32=""</formula>
    </cfRule>
  </conditionalFormatting>
  <conditionalFormatting sqref="C30:F30">
    <cfRule type="cellIs" dxfId="1012" priority="150" operator="equal">
      <formula>$B$30=""</formula>
    </cfRule>
  </conditionalFormatting>
  <conditionalFormatting sqref="B43:F44">
    <cfRule type="notContainsBlanks" dxfId="1011" priority="140">
      <formula>LEN(TRIM(B43))&gt;0</formula>
    </cfRule>
  </conditionalFormatting>
  <conditionalFormatting sqref="C45:F45">
    <cfRule type="cellIs" dxfId="1010" priority="139" operator="equal">
      <formula>$B$45=""</formula>
    </cfRule>
  </conditionalFormatting>
  <conditionalFormatting sqref="C46:F46">
    <cfRule type="cellIs" dxfId="1009" priority="138" operator="equal">
      <formula>$B$46=""</formula>
    </cfRule>
  </conditionalFormatting>
  <conditionalFormatting sqref="C47:F47">
    <cfRule type="cellIs" dxfId="1008" priority="137" operator="equal">
      <formula>$B$47=""</formula>
    </cfRule>
  </conditionalFormatting>
  <conditionalFormatting sqref="C48:F48">
    <cfRule type="cellIs" dxfId="1007" priority="136" operator="equal">
      <formula>$B$48=""</formula>
    </cfRule>
  </conditionalFormatting>
  <conditionalFormatting sqref="C49:F49">
    <cfRule type="cellIs" dxfId="1006" priority="135" operator="equal">
      <formula>$B$49=""</formula>
    </cfRule>
  </conditionalFormatting>
  <conditionalFormatting sqref="C45:F49">
    <cfRule type="notContainsBlanks" dxfId="1005" priority="134">
      <formula>LEN(TRIM(C45))&gt;0</formula>
    </cfRule>
  </conditionalFormatting>
  <conditionalFormatting sqref="B46:B49">
    <cfRule type="notContainsBlanks" dxfId="1004" priority="133">
      <formula>LEN(TRIM(B46))&gt;0</formula>
    </cfRule>
  </conditionalFormatting>
  <conditionalFormatting sqref="B45">
    <cfRule type="notContainsBlanks" dxfId="1003" priority="132">
      <formula>LEN(TRIM(B45))&gt;0</formula>
    </cfRule>
  </conditionalFormatting>
  <conditionalFormatting sqref="B61:B64">
    <cfRule type="notContainsBlanks" dxfId="1002" priority="123">
      <formula>LEN(TRIM(B61))&gt;0</formula>
    </cfRule>
  </conditionalFormatting>
  <conditionalFormatting sqref="B60">
    <cfRule type="notContainsBlanks" dxfId="1001" priority="122">
      <formula>LEN(TRIM(B60))&gt;0</formula>
    </cfRule>
  </conditionalFormatting>
  <conditionalFormatting sqref="C58:F59">
    <cfRule type="notContainsBlanks" dxfId="1000" priority="131">
      <formula>LEN(TRIM(C58))&gt;0</formula>
    </cfRule>
  </conditionalFormatting>
  <conditionalFormatting sqref="B58:B59">
    <cfRule type="notContainsBlanks" dxfId="999" priority="130">
      <formula>LEN(TRIM(B58))&gt;0</formula>
    </cfRule>
  </conditionalFormatting>
  <conditionalFormatting sqref="C60:F60">
    <cfRule type="cellIs" dxfId="998" priority="129" operator="equal">
      <formula>$B$60=""</formula>
    </cfRule>
  </conditionalFormatting>
  <conditionalFormatting sqref="C61:F61">
    <cfRule type="cellIs" dxfId="997" priority="128" operator="equal">
      <formula>$B$61=""</formula>
    </cfRule>
  </conditionalFormatting>
  <conditionalFormatting sqref="C62:F62">
    <cfRule type="cellIs" dxfId="996" priority="127" operator="equal">
      <formula>$B$62=""</formula>
    </cfRule>
  </conditionalFormatting>
  <conditionalFormatting sqref="C63:F63">
    <cfRule type="cellIs" dxfId="995" priority="126" operator="equal">
      <formula>$B$63=""</formula>
    </cfRule>
  </conditionalFormatting>
  <conditionalFormatting sqref="C64:F64">
    <cfRule type="cellIs" dxfId="994" priority="125" operator="equal">
      <formula>$B$64=""</formula>
    </cfRule>
  </conditionalFormatting>
  <conditionalFormatting sqref="C60:F64">
    <cfRule type="notContainsBlanks" dxfId="993" priority="124">
      <formula>LEN(TRIM(C60))&gt;0</formula>
    </cfRule>
  </conditionalFormatting>
  <conditionalFormatting sqref="B75:B76">
    <cfRule type="notContainsBlanks" dxfId="992" priority="120">
      <formula>LEN(TRIM(B75))&gt;0</formula>
    </cfRule>
  </conditionalFormatting>
  <conditionalFormatting sqref="B78:B81">
    <cfRule type="notContainsBlanks" dxfId="991" priority="113">
      <formula>LEN(TRIM(B78))&gt;0</formula>
    </cfRule>
  </conditionalFormatting>
  <conditionalFormatting sqref="B77">
    <cfRule type="notContainsBlanks" dxfId="990" priority="112">
      <formula>LEN(TRIM(B77))&gt;0</formula>
    </cfRule>
  </conditionalFormatting>
  <conditionalFormatting sqref="C75:F76">
    <cfRule type="notContainsBlanks" dxfId="989" priority="121">
      <formula>LEN(TRIM(C75))&gt;0</formula>
    </cfRule>
  </conditionalFormatting>
  <conditionalFormatting sqref="C77:F77">
    <cfRule type="cellIs" dxfId="988" priority="119" operator="equal">
      <formula>$B$77=""</formula>
    </cfRule>
  </conditionalFormatting>
  <conditionalFormatting sqref="C78:F78">
    <cfRule type="cellIs" dxfId="987" priority="118" operator="equal">
      <formula>$B$78=""</formula>
    </cfRule>
  </conditionalFormatting>
  <conditionalFormatting sqref="C79:F79">
    <cfRule type="cellIs" dxfId="986" priority="117" operator="equal">
      <formula>$B$79=""</formula>
    </cfRule>
  </conditionalFormatting>
  <conditionalFormatting sqref="C80:F80">
    <cfRule type="cellIs" dxfId="985" priority="116" operator="equal">
      <formula>$B$80=""</formula>
    </cfRule>
  </conditionalFormatting>
  <conditionalFormatting sqref="C81:F81">
    <cfRule type="cellIs" dxfId="984" priority="115" operator="equal">
      <formula>$B$81=""</formula>
    </cfRule>
  </conditionalFormatting>
  <conditionalFormatting sqref="C77:F81">
    <cfRule type="notContainsBlanks" dxfId="983" priority="114">
      <formula>LEN(TRIM(C77))&gt;0</formula>
    </cfRule>
  </conditionalFormatting>
  <conditionalFormatting sqref="C91:F92">
    <cfRule type="notContainsBlanks" dxfId="982" priority="111">
      <formula>LEN(TRIM(C91))&gt;0</formula>
    </cfRule>
  </conditionalFormatting>
  <conditionalFormatting sqref="B91:B92">
    <cfRule type="notContainsBlanks" dxfId="981" priority="110">
      <formula>LEN(TRIM(B91))&gt;0</formula>
    </cfRule>
  </conditionalFormatting>
  <conditionalFormatting sqref="C93:F93">
    <cfRule type="cellIs" dxfId="980" priority="109" operator="equal">
      <formula>$B$93=""</formula>
    </cfRule>
  </conditionalFormatting>
  <conditionalFormatting sqref="C94:F94">
    <cfRule type="cellIs" dxfId="979" priority="108" operator="equal">
      <formula>$B$94=""</formula>
    </cfRule>
  </conditionalFormatting>
  <conditionalFormatting sqref="C95:F95">
    <cfRule type="cellIs" dxfId="978" priority="107" operator="equal">
      <formula>$B$95=""</formula>
    </cfRule>
  </conditionalFormatting>
  <conditionalFormatting sqref="C96:F96">
    <cfRule type="cellIs" dxfId="977" priority="106" operator="equal">
      <formula>$B$96=""</formula>
    </cfRule>
  </conditionalFormatting>
  <conditionalFormatting sqref="C97:F97">
    <cfRule type="cellIs" dxfId="976" priority="105" operator="equal">
      <formula>$B$97=""</formula>
    </cfRule>
  </conditionalFormatting>
  <conditionalFormatting sqref="C93:F97">
    <cfRule type="notContainsBlanks" dxfId="975" priority="104">
      <formula>LEN(TRIM(C93))&gt;0</formula>
    </cfRule>
  </conditionalFormatting>
  <conditionalFormatting sqref="B94:B97">
    <cfRule type="notContainsBlanks" dxfId="974" priority="103">
      <formula>LEN(TRIM(B94))&gt;0</formula>
    </cfRule>
  </conditionalFormatting>
  <conditionalFormatting sqref="B93">
    <cfRule type="notContainsBlanks" dxfId="973" priority="102">
      <formula>LEN(TRIM(B93))&gt;0</formula>
    </cfRule>
  </conditionalFormatting>
  <conditionalFormatting sqref="B110:B113">
    <cfRule type="notContainsBlanks" dxfId="972" priority="93">
      <formula>LEN(TRIM(B110))&gt;0</formula>
    </cfRule>
  </conditionalFormatting>
  <conditionalFormatting sqref="B109">
    <cfRule type="notContainsBlanks" dxfId="971" priority="92">
      <formula>LEN(TRIM(B109))&gt;0</formula>
    </cfRule>
  </conditionalFormatting>
  <conditionalFormatting sqref="C107:F108">
    <cfRule type="notContainsBlanks" dxfId="970" priority="101">
      <formula>LEN(TRIM(C107))&gt;0</formula>
    </cfRule>
  </conditionalFormatting>
  <conditionalFormatting sqref="B107:B108">
    <cfRule type="notContainsBlanks" dxfId="969" priority="100">
      <formula>LEN(TRIM(B107))&gt;0</formula>
    </cfRule>
  </conditionalFormatting>
  <conditionalFormatting sqref="C109:F109">
    <cfRule type="cellIs" dxfId="968" priority="99" operator="equal">
      <formula>$B$109=""</formula>
    </cfRule>
  </conditionalFormatting>
  <conditionalFormatting sqref="C110:F110">
    <cfRule type="cellIs" dxfId="967" priority="98" operator="equal">
      <formula>$B$110=""</formula>
    </cfRule>
  </conditionalFormatting>
  <conditionalFormatting sqref="C111:F111">
    <cfRule type="cellIs" dxfId="966" priority="97" operator="equal">
      <formula>$B$111=""</formula>
    </cfRule>
  </conditionalFormatting>
  <conditionalFormatting sqref="C112:F112">
    <cfRule type="cellIs" dxfId="965" priority="96" operator="equal">
      <formula>$B$112=""</formula>
    </cfRule>
  </conditionalFormatting>
  <conditionalFormatting sqref="C113:F113">
    <cfRule type="cellIs" dxfId="964" priority="95" operator="equal">
      <formula>$B$113=""</formula>
    </cfRule>
  </conditionalFormatting>
  <conditionalFormatting sqref="C109:F113">
    <cfRule type="notContainsBlanks" dxfId="963" priority="94">
      <formula>LEN(TRIM(C109))&gt;0</formula>
    </cfRule>
  </conditionalFormatting>
  <conditionalFormatting sqref="C123:F124">
    <cfRule type="notContainsBlanks" dxfId="962" priority="91">
      <formula>LEN(TRIM(C123))&gt;0</formula>
    </cfRule>
  </conditionalFormatting>
  <conditionalFormatting sqref="B123:B124">
    <cfRule type="notContainsBlanks" dxfId="961" priority="90">
      <formula>LEN(TRIM(B123))&gt;0</formula>
    </cfRule>
  </conditionalFormatting>
  <conditionalFormatting sqref="B125">
    <cfRule type="notContainsBlanks" dxfId="960" priority="82">
      <formula>LEN(TRIM(B125))&gt;0</formula>
    </cfRule>
  </conditionalFormatting>
  <conditionalFormatting sqref="C125:F125">
    <cfRule type="cellIs" dxfId="959" priority="89" operator="equal">
      <formula>$B$125=""</formula>
    </cfRule>
  </conditionalFormatting>
  <conditionalFormatting sqref="C126:F126">
    <cfRule type="cellIs" dxfId="958" priority="88" operator="equal">
      <formula>$B$126=""</formula>
    </cfRule>
  </conditionalFormatting>
  <conditionalFormatting sqref="C127:F127">
    <cfRule type="cellIs" dxfId="957" priority="87" operator="equal">
      <formula>$B$127=""</formula>
    </cfRule>
  </conditionalFormatting>
  <conditionalFormatting sqref="C128:F128">
    <cfRule type="cellIs" dxfId="956" priority="86" operator="equal">
      <formula>$B$128=""</formula>
    </cfRule>
  </conditionalFormatting>
  <conditionalFormatting sqref="C129:F129">
    <cfRule type="cellIs" dxfId="955" priority="85" operator="equal">
      <formula>$B$129=""</formula>
    </cfRule>
  </conditionalFormatting>
  <conditionalFormatting sqref="C125:F129">
    <cfRule type="notContainsBlanks" dxfId="954" priority="84">
      <formula>LEN(TRIM(C125))&gt;0</formula>
    </cfRule>
  </conditionalFormatting>
  <conditionalFormatting sqref="B126:B129">
    <cfRule type="notContainsBlanks" dxfId="953" priority="83">
      <formula>LEN(TRIM(B126))&gt;0</formula>
    </cfRule>
  </conditionalFormatting>
  <conditionalFormatting sqref="B141">
    <cfRule type="notContainsBlanks" dxfId="952" priority="72">
      <formula>LEN(TRIM(B141))&gt;0</formula>
    </cfRule>
  </conditionalFormatting>
  <conditionalFormatting sqref="C139:F140">
    <cfRule type="notContainsBlanks" dxfId="951" priority="81">
      <formula>LEN(TRIM(C139))&gt;0</formula>
    </cfRule>
  </conditionalFormatting>
  <conditionalFormatting sqref="B139:B140">
    <cfRule type="notContainsBlanks" dxfId="950" priority="80">
      <formula>LEN(TRIM(B139))&gt;0</formula>
    </cfRule>
  </conditionalFormatting>
  <conditionalFormatting sqref="C141:F141">
    <cfRule type="cellIs" dxfId="949" priority="79" operator="equal">
      <formula>$B$141=""</formula>
    </cfRule>
  </conditionalFormatting>
  <conditionalFormatting sqref="C142:F142">
    <cfRule type="cellIs" dxfId="948" priority="78" operator="equal">
      <formula>$B$142=""</formula>
    </cfRule>
  </conditionalFormatting>
  <conditionalFormatting sqref="C143:F143">
    <cfRule type="cellIs" dxfId="947" priority="77" operator="equal">
      <formula>$B$143=""</formula>
    </cfRule>
  </conditionalFormatting>
  <conditionalFormatting sqref="C144:F144">
    <cfRule type="cellIs" dxfId="946" priority="76" operator="equal">
      <formula>$B$144=""</formula>
    </cfRule>
  </conditionalFormatting>
  <conditionalFormatting sqref="C145:F145">
    <cfRule type="cellIs" dxfId="945" priority="75" operator="equal">
      <formula>$B$145=""</formula>
    </cfRule>
  </conditionalFormatting>
  <conditionalFormatting sqref="C141:F145">
    <cfRule type="notContainsBlanks" dxfId="944" priority="74">
      <formula>LEN(TRIM(C141))&gt;0</formula>
    </cfRule>
  </conditionalFormatting>
  <conditionalFormatting sqref="B142:B145">
    <cfRule type="notContainsBlanks" dxfId="943" priority="73">
      <formula>LEN(TRIM(B142))&gt;0</formula>
    </cfRule>
  </conditionalFormatting>
  <conditionalFormatting sqref="C155:F156">
    <cfRule type="notContainsBlanks" dxfId="942" priority="71">
      <formula>LEN(TRIM(C155))&gt;0</formula>
    </cfRule>
  </conditionalFormatting>
  <conditionalFormatting sqref="B155:B156">
    <cfRule type="notContainsBlanks" dxfId="941" priority="70">
      <formula>LEN(TRIM(B155))&gt;0</formula>
    </cfRule>
  </conditionalFormatting>
  <conditionalFormatting sqref="C157:F157">
    <cfRule type="cellIs" dxfId="940" priority="69" operator="equal">
      <formula>$B$157=""</formula>
    </cfRule>
  </conditionalFormatting>
  <conditionalFormatting sqref="C158:F158">
    <cfRule type="cellIs" dxfId="939" priority="68" operator="equal">
      <formula>$B$158=""</formula>
    </cfRule>
  </conditionalFormatting>
  <conditionalFormatting sqref="C159:F159">
    <cfRule type="cellIs" dxfId="938" priority="67" operator="equal">
      <formula>$B$159=""</formula>
    </cfRule>
  </conditionalFormatting>
  <conditionalFormatting sqref="C160:F160">
    <cfRule type="cellIs" dxfId="937" priority="66" operator="equal">
      <formula>$B$160=""</formula>
    </cfRule>
  </conditionalFormatting>
  <conditionalFormatting sqref="C161:F161">
    <cfRule type="cellIs" dxfId="936" priority="65" operator="equal">
      <formula>$B$161=""</formula>
    </cfRule>
  </conditionalFormatting>
  <conditionalFormatting sqref="C157:F161">
    <cfRule type="notContainsBlanks" dxfId="935" priority="64">
      <formula>LEN(TRIM(C157))&gt;0</formula>
    </cfRule>
  </conditionalFormatting>
  <conditionalFormatting sqref="B158:B161">
    <cfRule type="notContainsBlanks" dxfId="934" priority="63">
      <formula>LEN(TRIM(B158))&gt;0</formula>
    </cfRule>
  </conditionalFormatting>
  <conditionalFormatting sqref="B157">
    <cfRule type="notContainsBlanks" dxfId="933" priority="62">
      <formula>LEN(TRIM(B157))&gt;0</formula>
    </cfRule>
  </conditionalFormatting>
  <conditionalFormatting sqref="C171:F172">
    <cfRule type="notContainsBlanks" dxfId="932" priority="61">
      <formula>LEN(TRIM(C171))&gt;0</formula>
    </cfRule>
  </conditionalFormatting>
  <conditionalFormatting sqref="B171:B172">
    <cfRule type="notContainsBlanks" dxfId="931" priority="60">
      <formula>LEN(TRIM(B171))&gt;0</formula>
    </cfRule>
  </conditionalFormatting>
  <conditionalFormatting sqref="C173:F173">
    <cfRule type="cellIs" dxfId="930" priority="59" operator="equal">
      <formula>$B$173=""</formula>
    </cfRule>
  </conditionalFormatting>
  <conditionalFormatting sqref="C174:F174">
    <cfRule type="cellIs" dxfId="929" priority="58" operator="equal">
      <formula>$B$174=""</formula>
    </cfRule>
  </conditionalFormatting>
  <conditionalFormatting sqref="C175:F175">
    <cfRule type="cellIs" dxfId="928" priority="57" operator="equal">
      <formula>$B$175=""</formula>
    </cfRule>
  </conditionalFormatting>
  <conditionalFormatting sqref="C176:F176">
    <cfRule type="cellIs" dxfId="927" priority="56" operator="equal">
      <formula>$B$176=""</formula>
    </cfRule>
  </conditionalFormatting>
  <conditionalFormatting sqref="C177:F177">
    <cfRule type="cellIs" dxfId="926" priority="55" operator="equal">
      <formula>$B$177=""</formula>
    </cfRule>
  </conditionalFormatting>
  <conditionalFormatting sqref="C173:F177">
    <cfRule type="notContainsBlanks" dxfId="925" priority="54">
      <formula>LEN(TRIM(C173))&gt;0</formula>
    </cfRule>
  </conditionalFormatting>
  <conditionalFormatting sqref="B174:B177">
    <cfRule type="notContainsBlanks" dxfId="924" priority="53">
      <formula>LEN(TRIM(B174))&gt;0</formula>
    </cfRule>
  </conditionalFormatting>
  <conditionalFormatting sqref="B173">
    <cfRule type="notContainsBlanks" dxfId="923" priority="52">
      <formula>LEN(TRIM(B173))&gt;0</formula>
    </cfRule>
  </conditionalFormatting>
  <conditionalFormatting sqref="H21:H30">
    <cfRule type="notContainsBlanks" dxfId="922" priority="51">
      <formula>LEN(TRIM(H21))&gt;0</formula>
    </cfRule>
  </conditionalFormatting>
  <conditionalFormatting sqref="H38:H47">
    <cfRule type="expression" dxfId="921" priority="50">
      <formula>$B$37="batch plant"</formula>
    </cfRule>
  </conditionalFormatting>
  <conditionalFormatting sqref="H53:H62">
    <cfRule type="expression" dxfId="920" priority="49">
      <formula>$B$52="batch plant"</formula>
    </cfRule>
  </conditionalFormatting>
  <conditionalFormatting sqref="H70:H79">
    <cfRule type="expression" dxfId="919" priority="47">
      <formula>$B$69="batch plant"</formula>
    </cfRule>
  </conditionalFormatting>
  <conditionalFormatting sqref="H86:H95">
    <cfRule type="expression" dxfId="918" priority="46">
      <formula>$B$85="batch plant"</formula>
    </cfRule>
  </conditionalFormatting>
  <conditionalFormatting sqref="H102:H111">
    <cfRule type="expression" dxfId="917" priority="45">
      <formula>$B$101="batch plant"</formula>
    </cfRule>
  </conditionalFormatting>
  <conditionalFormatting sqref="H118:H127">
    <cfRule type="expression" dxfId="916" priority="44">
      <formula>$B$117="batch plant"</formula>
    </cfRule>
  </conditionalFormatting>
  <conditionalFormatting sqref="H134:H143">
    <cfRule type="expression" dxfId="915" priority="43">
      <formula>$B$133="batch plant"</formula>
    </cfRule>
  </conditionalFormatting>
  <conditionalFormatting sqref="H150:H159">
    <cfRule type="expression" dxfId="914" priority="42">
      <formula>$B$149="batch plant"</formula>
    </cfRule>
  </conditionalFormatting>
  <conditionalFormatting sqref="H166:H175">
    <cfRule type="expression" dxfId="913" priority="41">
      <formula>$B$165="batch plant"</formula>
    </cfRule>
  </conditionalFormatting>
  <conditionalFormatting sqref="F24">
    <cfRule type="cellIs" dxfId="912" priority="38" operator="equal">
      <formula>$B$24=""</formula>
    </cfRule>
  </conditionalFormatting>
  <conditionalFormatting sqref="B24:E24 B41:E41 B56:E56 B73:E73 B89:E89 B105:E105 B121:E121 B137:E137 B153:E153 B169:E169">
    <cfRule type="notContainsBlanks" dxfId="911" priority="258">
      <formula>LEN(TRIM(B24))&gt;0</formula>
    </cfRule>
  </conditionalFormatting>
  <conditionalFormatting sqref="F41">
    <cfRule type="cellIs" dxfId="910" priority="35" operator="equal">
      <formula>$B$41=""</formula>
    </cfRule>
  </conditionalFormatting>
  <conditionalFormatting sqref="F56">
    <cfRule type="cellIs" dxfId="909" priority="32" operator="equal">
      <formula>$B$56=""</formula>
    </cfRule>
  </conditionalFormatting>
  <conditionalFormatting sqref="F73">
    <cfRule type="cellIs" dxfId="908" priority="29" operator="equal">
      <formula>$B$73=""</formula>
    </cfRule>
  </conditionalFormatting>
  <conditionalFormatting sqref="F89">
    <cfRule type="cellIs" dxfId="907" priority="26" operator="equal">
      <formula>$B$89=""</formula>
    </cfRule>
  </conditionalFormatting>
  <conditionalFormatting sqref="F105">
    <cfRule type="cellIs" dxfId="906" priority="23" operator="equal">
      <formula>$B$105=""</formula>
    </cfRule>
  </conditionalFormatting>
  <conditionalFormatting sqref="F121">
    <cfRule type="cellIs" dxfId="905" priority="20" operator="equal">
      <formula>$B$121=""</formula>
    </cfRule>
  </conditionalFormatting>
  <conditionalFormatting sqref="F137">
    <cfRule type="cellIs" dxfId="904" priority="17" operator="equal">
      <formula>$B$137=""</formula>
    </cfRule>
  </conditionalFormatting>
  <conditionalFormatting sqref="F153">
    <cfRule type="cellIs" dxfId="903" priority="14" operator="equal">
      <formula>$B$153=""</formula>
    </cfRule>
  </conditionalFormatting>
  <conditionalFormatting sqref="F169">
    <cfRule type="cellIs" dxfId="902" priority="11" operator="equal">
      <formula>$B$169=""</formula>
    </cfRule>
  </conditionalFormatting>
  <dataValidations count="3">
    <dataValidation type="list" allowBlank="1" showInputMessage="1" showErrorMessage="1" sqref="J21:J30 J38:J47 J53:J62 J70:J79 J86:J95 J102:J111 J118:J127 J134:J143 J150:J159 J166:J175" xr:uid="{00000000-0002-0000-0600-000000000000}">
      <formula1>ConcreteProcesses</formula1>
    </dataValidation>
    <dataValidation type="whole" allowBlank="1" showInputMessage="1" showErrorMessage="1" sqref="C18:F18 D4 G5" xr:uid="{00000000-0002-0000-0600-000001000000}">
      <formula1>0</formula1>
      <formula2>100</formula2>
    </dataValidation>
    <dataValidation type="list" allowBlank="1" showInputMessage="1" showErrorMessage="1" sqref="F24 F41 F56 F73 F89 F105 F121 F137 F153 F169" xr:uid="{00000000-0002-0000-0600-000002000000}">
      <formula1>CHECK</formula1>
    </dataValidation>
  </dataValidations>
  <pageMargins left="0.25" right="0.25" top="0.75" bottom="0.75" header="0.3" footer="0.3"/>
  <pageSetup scale="65" fitToHeight="0" orientation="landscape" verticalDpi="300" r:id="rId1"/>
  <legacyDrawing r:id="rId2"/>
  <extLst>
    <ext xmlns:x14="http://schemas.microsoft.com/office/spreadsheetml/2009/9/main" uri="{78C0D931-6437-407d-A8EE-F0AAD7539E65}">
      <x14:conditionalFormattings>
        <x14:conditionalFormatting xmlns:xm="http://schemas.microsoft.com/office/excel/2006/main">
          <x14:cfRule type="notContainsBlanks" priority="40" id="{C15D1171-04C0-4076-BD8B-7655395248E6}">
            <xm:f>LEN(TRIM('Concrete Plant (CP-3)'!F24))&gt;0</xm:f>
            <x14:dxf>
              <fill>
                <patternFill>
                  <bgColor rgb="FFFFFF99"/>
                </patternFill>
              </fill>
              <border>
                <left style="thin">
                  <color auto="1"/>
                </left>
                <right style="thin">
                  <color auto="1"/>
                </right>
                <top style="thin">
                  <color auto="1"/>
                </top>
                <bottom style="thin">
                  <color auto="1"/>
                </bottom>
                <vertical/>
                <horizontal/>
              </border>
            </x14:dxf>
          </x14:cfRule>
          <xm:sqref>F169 F137 F73 F89 F105 F121 F41 F24 F153</xm:sqref>
        </x14:conditionalFormatting>
        <x14:conditionalFormatting xmlns:xm="http://schemas.microsoft.com/office/excel/2006/main">
          <x14:cfRule type="notContainsBlanks" priority="4" stopIfTrue="1" id="{E2352510-AA9D-4F94-8F66-83A090458590}">
            <xm:f>LEN(TRIM('Concrete Plant (CP-1)'!M64))&gt;0</xm:f>
            <x14:dxf>
              <border>
                <left style="thin">
                  <color indexed="64"/>
                </left>
                <right style="thin">
                  <color indexed="64"/>
                </right>
                <top style="thin">
                  <color indexed="64"/>
                </top>
                <bottom style="thin">
                  <color indexed="64"/>
                </bottom>
              </border>
            </x14:dxf>
          </x14:cfRule>
          <xm:sqref>M178:N178 M65:N65</xm:sqref>
        </x14:conditionalFormatting>
        <x14:conditionalFormatting xmlns:xm="http://schemas.microsoft.com/office/excel/2006/main">
          <x14:cfRule type="cellIs" priority="3" stopIfTrue="1" operator="equal" id="{3ADE6391-4839-4E9A-AF18-9D997D718C41}">
            <xm:f>'Concrete Plant (CP-1)'!$B$51="batch plant"</xm:f>
            <x14:dxf>
              <fill>
                <patternFill patternType="none">
                  <bgColor indexed="65"/>
                </patternFill>
              </fill>
              <border>
                <left/>
                <right/>
                <top/>
                <bottom/>
              </border>
            </x14:dxf>
          </x14:cfRule>
          <xm:sqref>M63:N66 M52:N52</xm:sqref>
        </x14:conditionalFormatting>
        <x14:conditionalFormatting xmlns:xm="http://schemas.microsoft.com/office/excel/2006/main">
          <x14:cfRule type="cellIs" priority="5" stopIfTrue="1" operator="equal" id="{79EA2F8C-CF50-440A-B406-7ECB7E45B3E2}">
            <xm:f>'Concrete Plant (CP-1)'!$B$67="batch plant"</xm:f>
            <x14:dxf>
              <fill>
                <patternFill patternType="none">
                  <bgColor indexed="65"/>
                </patternFill>
              </fill>
              <border>
                <left/>
                <right/>
                <top/>
                <bottom/>
              </border>
            </x14:dxf>
          </x14:cfRule>
          <xm:sqref>M80:N83 M69:N69</xm:sqref>
        </x14:conditionalFormatting>
        <x14:conditionalFormatting xmlns:xm="http://schemas.microsoft.com/office/excel/2006/main">
          <x14:cfRule type="cellIs" priority="6" stopIfTrue="1" operator="equal" id="{F1EF7719-9EA2-4EA0-98C7-EB22C3DFDB45}">
            <xm:f>'Concrete Plant (CP-1)'!$B$83="batch plant"</xm:f>
            <x14:dxf>
              <fill>
                <patternFill patternType="none">
                  <bgColor indexed="65"/>
                </patternFill>
              </fill>
              <border>
                <left/>
                <right/>
                <top/>
                <bottom/>
              </border>
            </x14:dxf>
          </x14:cfRule>
          <xm:sqref>M96:N99 M85:N85</xm:sqref>
        </x14:conditionalFormatting>
        <x14:conditionalFormatting xmlns:xm="http://schemas.microsoft.com/office/excel/2006/main">
          <x14:cfRule type="cellIs" priority="7" stopIfTrue="1" operator="equal" id="{7DAAB489-12FE-4EA0-BDCE-1AC559F5E41A}">
            <xm:f>'Concrete Plant (CP-1)'!$B$99="batch plant"</xm:f>
            <x14:dxf>
              <fill>
                <patternFill patternType="none">
                  <bgColor indexed="65"/>
                </patternFill>
              </fill>
              <border>
                <left/>
                <right/>
                <top/>
                <bottom/>
              </border>
            </x14:dxf>
          </x14:cfRule>
          <xm:sqref>M112:N115 M101:N101</xm:sqref>
        </x14:conditionalFormatting>
        <x14:conditionalFormatting xmlns:xm="http://schemas.microsoft.com/office/excel/2006/main">
          <x14:cfRule type="cellIs" priority="8" stopIfTrue="1" operator="equal" id="{742F8356-2BA7-4968-AD9D-9533C752476A}">
            <xm:f>'Concrete Plant (CP-1)'!$B$115="batch plant"</xm:f>
            <x14:dxf>
              <fill>
                <patternFill patternType="none">
                  <bgColor indexed="65"/>
                </patternFill>
              </fill>
              <border>
                <left/>
                <right/>
                <top/>
                <bottom/>
              </border>
            </x14:dxf>
          </x14:cfRule>
          <xm:sqref>M128:N131 M117:N117</xm:sqref>
        </x14:conditionalFormatting>
        <x14:conditionalFormatting xmlns:xm="http://schemas.microsoft.com/office/excel/2006/main">
          <x14:cfRule type="cellIs" priority="9" stopIfTrue="1" operator="equal" id="{52C0726E-6871-4038-A0B5-70FEC2A87377}">
            <xm:f>'Concrete Plant (CP-1)'!$B$131="batch plant"</xm:f>
            <x14:dxf>
              <fill>
                <patternFill patternType="none">
                  <bgColor indexed="65"/>
                </patternFill>
              </fill>
              <border>
                <left/>
                <right/>
                <top/>
                <bottom/>
              </border>
            </x14:dxf>
          </x14:cfRule>
          <xm:sqref>M144:N147 M133:N133</xm:sqref>
        </x14:conditionalFormatting>
        <x14:conditionalFormatting xmlns:xm="http://schemas.microsoft.com/office/excel/2006/main">
          <x14:cfRule type="cellIs" priority="10" stopIfTrue="1" operator="equal" id="{7C51E219-826B-4ECC-89A2-B9C7BAC4A759}">
            <xm:f>'Concrete Plant (CP-1)'!$B$147="batch plant"</xm:f>
            <x14:dxf>
              <fill>
                <patternFill patternType="none">
                  <bgColor indexed="65"/>
                </patternFill>
              </fill>
              <border>
                <left/>
                <right/>
                <top/>
                <bottom/>
              </border>
            </x14:dxf>
          </x14:cfRule>
          <xm:sqref>M160:N163 M149:N149</xm:sqref>
        </x14:conditionalFormatting>
        <x14:conditionalFormatting xmlns:xm="http://schemas.microsoft.com/office/excel/2006/main">
          <x14:cfRule type="cellIs" priority="2" operator="equal" id="{DF209AFB-77DE-4E63-B39D-F55C3058081E}">
            <xm:f>'Concrete Plant (CP-1)'!$B$36="batch plant"</xm:f>
            <x14:dxf>
              <fill>
                <patternFill patternType="none">
                  <bgColor auto="1"/>
                </patternFill>
              </fill>
              <border>
                <left/>
                <right/>
                <top/>
                <bottom/>
                <vertical/>
                <horizontal/>
              </border>
            </x14:dxf>
          </x14:cfRule>
          <xm:sqref>M51:N51</xm:sqref>
        </x14:conditionalFormatting>
        <x14:conditionalFormatting xmlns:xm="http://schemas.microsoft.com/office/excel/2006/main">
          <x14:cfRule type="cellIs" priority="1" stopIfTrue="1" operator="equal" id="{7B9234A9-3321-47C7-AD07-DE0A122C0254}">
            <xm:f>'Concrete Plant (CP-1)'!$B$164="batch plant"</xm:f>
            <x14:dxf>
              <fill>
                <patternFill patternType="none">
                  <bgColor indexed="65"/>
                </patternFill>
              </fill>
              <border>
                <left/>
                <right/>
                <top/>
                <bottom/>
              </border>
            </x14:dxf>
          </x14:cfRule>
          <xm:sqref>M179:N179</xm:sqref>
        </x14:conditionalFormatting>
        <x14:conditionalFormatting xmlns:xm="http://schemas.microsoft.com/office/excel/2006/main">
          <x14:cfRule type="notContainsBlanks" priority="1255" stopIfTrue="1" id="{E2352510-AA9D-4F94-8F66-83A090458590}">
            <xm:f>LEN(TRIM('Concrete Plant (CP-1)'!#REF!))&gt;0</xm:f>
            <x14:dxf>
              <border>
                <left style="thin">
                  <color indexed="64"/>
                </left>
                <right style="thin">
                  <color indexed="64"/>
                </right>
                <top style="thin">
                  <color indexed="64"/>
                </top>
                <bottom style="thin">
                  <color indexed="64"/>
                </bottom>
              </border>
            </x14:dxf>
          </x14:cfRule>
          <xm:sqref>M50:N50</xm:sqref>
        </x14:conditionalFormatting>
        <x14:conditionalFormatting xmlns:xm="http://schemas.microsoft.com/office/excel/2006/main">
          <x14:cfRule type="notContainsBlanks" priority="6515" id="{C15D1171-04C0-4076-BD8B-7655395248E6}">
            <xm:f>LEN(TRIM('Concrete Plant (CP-3)'!F57))&gt;0</xm:f>
            <x14:dxf>
              <fill>
                <patternFill>
                  <bgColor rgb="FFFFFF99"/>
                </patternFill>
              </fill>
              <border>
                <left style="thin">
                  <color auto="1"/>
                </left>
                <right style="thin">
                  <color auto="1"/>
                </right>
                <top style="thin">
                  <color auto="1"/>
                </top>
                <bottom style="thin">
                  <color auto="1"/>
                </bottom>
                <vertical/>
                <horizontal/>
              </border>
            </x14:dxf>
          </x14:cfRule>
          <xm:sqref>F56</xm:sqref>
        </x14:conditionalFormatting>
        <x14:conditionalFormatting xmlns:xm="http://schemas.microsoft.com/office/excel/2006/main">
          <x14:cfRule type="notContainsBlanks" priority="7490" stopIfTrue="1" id="{E2352510-AA9D-4F94-8F66-83A090458590}">
            <xm:f>LEN(TRIM('Concrete Plant (CP-1)'!M80))&gt;0</xm:f>
            <x14:dxf>
              <border>
                <left style="thin">
                  <color indexed="64"/>
                </left>
                <right style="thin">
                  <color indexed="64"/>
                </right>
                <top style="thin">
                  <color indexed="64"/>
                </top>
                <bottom style="thin">
                  <color indexed="64"/>
                </bottom>
              </border>
            </x14:dxf>
          </x14:cfRule>
          <xm:sqref>M162:N162 M146:N146 M82:N82 M98:N98 M114:N114 M130:N130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W181"/>
  <sheetViews>
    <sheetView topLeftCell="B1" workbookViewId="0">
      <selection activeCell="B1" sqref="B1"/>
    </sheetView>
  </sheetViews>
  <sheetFormatPr defaultColWidth="8.85546875" defaultRowHeight="14.25" customHeight="1" x14ac:dyDescent="0.2"/>
  <cols>
    <col min="1" max="1" width="9.7109375" style="67" hidden="1" customWidth="1"/>
    <col min="2" max="2" width="31.85546875" style="67" customWidth="1"/>
    <col min="3" max="3" width="9.42578125" style="67" customWidth="1"/>
    <col min="4" max="4" width="12" style="67" customWidth="1"/>
    <col min="5" max="5" width="9.42578125" style="67" customWidth="1"/>
    <col min="6" max="6" width="11.140625" style="67" customWidth="1"/>
    <col min="7" max="7" width="2.85546875" style="67" customWidth="1"/>
    <col min="8" max="8" width="13.85546875" style="67" customWidth="1"/>
    <col min="9" max="9" width="14" style="67" customWidth="1"/>
    <col min="10" max="10" width="31.140625" style="67" customWidth="1"/>
    <col min="11" max="11" width="37.42578125" style="67" customWidth="1"/>
    <col min="12" max="12" width="27.42578125" style="67" customWidth="1"/>
    <col min="13" max="13" width="6.28515625" style="177" hidden="1" customWidth="1"/>
    <col min="14" max="14" width="7.42578125" style="177" hidden="1" customWidth="1"/>
    <col min="15" max="15" width="7" style="67" customWidth="1"/>
    <col min="16" max="16" width="31.28515625" style="67" customWidth="1"/>
    <col min="17" max="17" width="18.140625" style="67" customWidth="1"/>
    <col min="18" max="18" width="17" style="67" customWidth="1"/>
    <col min="19" max="19" width="18" style="67" hidden="1" customWidth="1"/>
    <col min="20" max="21" width="16.42578125" style="67" hidden="1" customWidth="1"/>
    <col min="22" max="22" width="16.28515625" style="67" customWidth="1"/>
    <col min="23" max="23" width="0" style="67" hidden="1" customWidth="1"/>
    <col min="24" max="16384" width="8.85546875" style="67"/>
  </cols>
  <sheetData>
    <row r="1" spans="2:21" ht="14.25" customHeight="1" x14ac:dyDescent="0.2">
      <c r="B1" s="322" t="s">
        <v>217</v>
      </c>
      <c r="C1" s="322"/>
      <c r="D1" s="313"/>
      <c r="E1" s="313"/>
      <c r="F1" s="169"/>
    </row>
    <row r="2" spans="2:21" ht="14.25" customHeight="1" x14ac:dyDescent="0.25">
      <c r="B2" s="325" t="s">
        <v>37</v>
      </c>
      <c r="C2" s="326"/>
      <c r="D2" s="326"/>
      <c r="E2" s="326"/>
      <c r="F2" s="178"/>
      <c r="J2" s="31"/>
      <c r="L2" s="323" t="s">
        <v>144</v>
      </c>
      <c r="M2" s="216"/>
      <c r="N2" s="216"/>
      <c r="P2" s="68" t="s">
        <v>255</v>
      </c>
      <c r="Q2" s="68"/>
      <c r="R2" s="68"/>
      <c r="S2" s="68"/>
    </row>
    <row r="3" spans="2:21" ht="22.5" customHeight="1" x14ac:dyDescent="0.2">
      <c r="P3" s="317" t="s">
        <v>0</v>
      </c>
      <c r="Q3" s="309" t="s">
        <v>242</v>
      </c>
      <c r="R3" s="309" t="s">
        <v>243</v>
      </c>
    </row>
    <row r="4" spans="2:21" ht="14.25" customHeight="1" x14ac:dyDescent="0.2">
      <c r="B4" s="180" t="str">
        <f>"Number of Sites this Plant operated at in "&amp;'Facility Information'!G5&amp;":"</f>
        <v>Number of Sites this Plant operated at in :</v>
      </c>
      <c r="C4" s="181"/>
      <c r="D4" s="184"/>
      <c r="F4" s="179"/>
      <c r="G4" s="71"/>
      <c r="H4" s="173"/>
      <c r="I4" s="146"/>
      <c r="P4" s="90" t="s">
        <v>191</v>
      </c>
      <c r="Q4" s="110">
        <f ca="1">MAX((IFERROR(OFFSET($J$20,MATCH("Aggregate Delivery to Ground Storage",$J$21:$J$30,0),1),0)),((IFERROR((OFFSET($J$37,MATCH("Aggregate Delivery to Ground Storage",$J$38:$J$47,0),1)),0))),((IFERROR((OFFSET($J$52,MATCH("Aggregate Delivery to Ground Storage",$J$53:$J$62,0),1)),0))),((IFERROR((OFFSET($J$68,MATCH("Aggregate Delivery to Ground Storage",$J$69:$J$78,0),1)),0))),((IFERROR((OFFSET($J$84,MATCH("Aggregate Delivery to Ground Storage",$J$85:$J$94,0),1)),0))),((IFERROR((OFFSET($J$101,MATCH("Aggregate Delivery to Ground Storage",$J$102:$J$111,0),1)),0))),((IFERROR((OFFSET($J$117,MATCH("Aggregate Delivery to Ground Storage",$J$118:$J$127,0),1)),0))),((IFERROR((OFFSET($J$133,MATCH("Aggregate Delivery to Ground Storage",$J$134:$J$143,0),1)),0))),((IFERROR((OFFSET($J$149,MATCH("Aggregate Delivery to Ground Storage",$J$150:$J$159,0),1)),0))),((IFERROR((OFFSET($J$165,MATCH("Aggregate Delivery to Ground Storage",$J$166:$J$175,0),1)),0))),)</f>
        <v>0</v>
      </c>
      <c r="R4" s="110">
        <f ca="1">SUM((IFERROR(OFFSET($J$20,MATCH("Aggregate Delivery to Ground Storage",$J$21:$J$30,0),2),0)),((IFERROR((OFFSET($J$37,MATCH("Aggregate Delivery to Ground Storage",$J$38:$J$47,0),2)),0))),((IFERROR((OFFSET($J$52,MATCH("Aggregate Delivery to Ground Storage",$J$53:$J$62,0),2)),0))),((IFERROR((OFFSET($J$68,MATCH("Aggregate Delivery to Ground Storage",$J$69:$J$78,0),2)),0))),((IFERROR((OFFSET($J$84,MATCH("Aggregate Delivery to Ground Storage",$J$85:$J$94,0),2)),0))),((IFERROR((OFFSET($J$101,MATCH("Aggregate Delivery to Ground Storage",$J$102:$J$111,0),2)),0))),((IFERROR((OFFSET($J$117,MATCH("Aggregate Delivery to Ground Storage",$J$118:$J$127,0),2)),0))),((IFERROR((OFFSET($J$133,MATCH("Aggregate Delivery to Ground Storage",$J$134:$J$143,0),2)),0))),((IFERROR((OFFSET($J$149,MATCH("Aggregate Delivery to Ground Storage",$J$150:$J$159,0),2)),0))),((IFERROR((OFFSET($J$165,MATCH("Aggregate Delivery to Ground Storage",$J$166:$J$175,0),2)),0))),)</f>
        <v>0</v>
      </c>
      <c r="S4" s="386" t="s">
        <v>252</v>
      </c>
      <c r="T4" s="386"/>
      <c r="U4" s="386"/>
    </row>
    <row r="5" spans="2:21" ht="14.25" customHeight="1" x14ac:dyDescent="0.2">
      <c r="B5" s="83"/>
      <c r="C5" s="83"/>
      <c r="D5" s="83"/>
      <c r="E5" s="83"/>
      <c r="F5" s="83"/>
      <c r="G5" s="146"/>
      <c r="H5" s="146"/>
      <c r="I5" s="146"/>
      <c r="P5" s="90" t="s">
        <v>192</v>
      </c>
      <c r="Q5" s="110">
        <f ca="1">MAX((IFERROR(OFFSET($J$20,MATCH("Sand Delivery to Ground Storage",$J$21:$J$30,0),1),0)),((IFERROR((OFFSET($J$37,MATCH("Sand Delivery to Ground Storage",$J$38:$J$47,0),1)),0))),((IFERROR((OFFSET($J$52,MATCH("Sand Delivery to Ground Storage",$J$53:$J$62,0),1)),0))),((IFERROR((OFFSET($J$68,MATCH("Sand Delivery to Ground Storage",$J$69:$J$78,0),1)),0))),((IFERROR((OFFSET($J$84,MATCH("Sand Delivery to Ground Storage",$J$85:$J$94,0),1)),0))),((IFERROR((OFFSET($J$101,MATCH("Sand Delivery to Ground Storage",$J$102:$J$111,0),1)),0))),((IFERROR((OFFSET($J$117,MATCH("Sand Delivery to Ground Storage",$J$118:$J$127,0),1)),0))),((IFERROR((OFFSET($J$133,MATCH("Sand Delivery to Ground Storage",$J$134:$J$143,0),1)),0))),((IFERROR((OFFSET($J$149,MATCH("Sand Delivery to Ground Storage",$J$150:$J$159,0),1)),0))),((IFERROR((OFFSET($J$165,MATCH("Sand Delivery to Ground Storage",$J$166:$J$175,0),1)),0))),)</f>
        <v>0</v>
      </c>
      <c r="R5" s="110">
        <f ca="1">SUM((IFERROR(OFFSET($J$20,MATCH("Sand Delivery to Ground Storage",$J$21:$J$30,0),2),0)),((IFERROR((OFFSET($J$37,MATCH("Sand Delivery to Ground Storage",$J$38:$J$47,0),2)),0))),((IFERROR((OFFSET($J$52,MATCH("Sand Delivery to Ground Storage",$J$53:$J$62,0),2)),0))),((IFERROR((OFFSET($J$68,MATCH("Sand Delivery to Ground Storage",$J$69:$J$78,0),2)),0))),((IFERROR((OFFSET($J$84,MATCH("Sand Delivery to Ground Storage",$J$85:$J$94,0),2)),0))),((IFERROR((OFFSET($J$101,MATCH("Sand Delivery to Ground Storage",$J$102:$J$111,0),2)),0))),((IFERROR((OFFSET($J$117,MATCH("Sand Delivery to Ground Storage",$J$118:$J$127,0),2)),0))),((IFERROR((OFFSET($J$133,MATCH("Sand Delivery to Ground Storage",$J$134:$J$143,0),2)),0))),((IFERROR((OFFSET($J$149,MATCH("Sand Delivery to Ground Storage",$J$150:$J$159,0),2)),0))),((IFERROR((OFFSET($J$165,MATCH("Sand Delivery to Ground Storage",$J$166:$J$175,0),2)),0))),)</f>
        <v>0</v>
      </c>
      <c r="S5" s="386"/>
      <c r="T5" s="386"/>
      <c r="U5" s="386"/>
    </row>
    <row r="6" spans="2:21" ht="14.25" customHeight="1" x14ac:dyDescent="0.2">
      <c r="B6" s="327" t="s">
        <v>156</v>
      </c>
      <c r="C6" s="328"/>
      <c r="D6" s="338"/>
      <c r="E6" s="125"/>
      <c r="F6" s="125"/>
      <c r="G6" s="45"/>
      <c r="H6" s="45"/>
      <c r="I6" s="45"/>
      <c r="J6" s="45"/>
      <c r="K6" s="45"/>
      <c r="L6" s="45"/>
      <c r="M6" s="182"/>
      <c r="N6" s="182"/>
      <c r="P6" s="90" t="s">
        <v>193</v>
      </c>
      <c r="Q6" s="110">
        <f ca="1">MAX((IFERROR(OFFSET($J$20,MATCH("Aggregate Transfer to Conveyor",$J$21:$J$30,0),1),0)),((IFERROR((OFFSET($J$37,MATCH("Aggregate Transfer to Conveyor",$J$38:$J$47,0),1)),0))),((IFERROR((OFFSET($J$52,MATCH("Aggregate Transfer to Conveyor",$J$53:$J$62,0),1)),0))),((IFERROR((OFFSET($J$68,MATCH("Aggregate Transfer to Conveyor",$J$69:$J$78,0),1)),0))),((IFERROR((OFFSET($J$84,MATCH("Aggregate Transfer to Conveyor",$J$85:$J$94,0),1)),0))),((IFERROR((OFFSET($J$101,MATCH("Aggregate Transfer to Conveyor",$J$102:$J$111,0),1)),0))),((IFERROR((OFFSET($J$117,MATCH("Aggregate Transfer to Conveyor",$J$118:$J$127,0),1)),0))),((IFERROR((OFFSET($J$133,MATCH("Aggregate Transfer to Conveyor",$J$134:$J$143,0),1)),0))),((IFERROR((OFFSET($J$149,MATCH("Aggregate Transfer to Conveyor",$J$150:$J$159,0),1)),0))),((IFERROR((OFFSET($J$165,MATCH("Aggregate Transfer to Conveyor",$J$166:$J$175,0),1)),0))),)</f>
        <v>0</v>
      </c>
      <c r="R6" s="110">
        <f ca="1">SUM((IFERROR(OFFSET($J$20,MATCH("Aggregate Transfer to Conveyor",$J$21:$J$30,0),2),0)),((IFERROR((OFFSET($J$37,MATCH("Aggregate Transfer to Conveyor",$J$38:$J$47,0),2)),0))),((IFERROR((OFFSET($J$52,MATCH("Aggregate Transfer to Conveyor",$J$53:$J$62,0),2)),0))),((IFERROR((OFFSET($J$68,MATCH("Aggregate Transfer to Conveyor",$J$69:$J$78,0),2)),0))),((IFERROR((OFFSET($J$84,MATCH("Aggregate Transfer to Conveyor",$J$85:$J$94,0),2)),0))),((IFERROR((OFFSET($J$101,MATCH("Aggregate Transfer to Conveyor",$J$102:$J$111,0),2)),0))),((IFERROR((OFFSET($J$117,MATCH("Aggregate Transfer to Conveyor",$J$118:$J$127,0),2)),0))),((IFERROR((OFFSET($J$133,MATCH("Aggregate Transfer to Conveyor",$J$134:$J$143,0),2)),0))),((IFERROR((OFFSET($J$149,MATCH("Aggregate Transfer to Conveyor",$J$150:$J$159,0),2)),0))),((IFERROR((OFFSET($J$165,MATCH("Aggregate Transfer to Conveyor",$J$166:$J$175,0),2)),0))),)</f>
        <v>0</v>
      </c>
    </row>
    <row r="7" spans="2:21" ht="14.25" customHeight="1" x14ac:dyDescent="0.2">
      <c r="B7" s="52"/>
      <c r="C7" s="50"/>
      <c r="D7" s="50"/>
      <c r="E7" s="50"/>
      <c r="F7" s="50"/>
      <c r="G7" s="45"/>
      <c r="H7" s="45"/>
      <c r="I7" s="45"/>
      <c r="J7" s="45"/>
      <c r="K7" s="45"/>
      <c r="L7" s="45"/>
      <c r="M7" s="182"/>
      <c r="N7" s="182"/>
      <c r="P7" s="90" t="s">
        <v>194</v>
      </c>
      <c r="Q7" s="110">
        <f ca="1">MAX((IFERROR(OFFSET($J$20,MATCH("Sand Transfer to Conveyor",$J$21:$J$30,0),1),0)),((IFERROR((OFFSET($J$37,MATCH("Sand Transfer to Conveyor",$J$38:$J$47,0),1)),0))),((IFERROR((OFFSET($J$52,MATCH("Sand Transfer to Conveyor",$J$53:$J$62,0),1)),0))),((IFERROR((OFFSET($J$68,MATCH("Sand Transfer to Conveyor",$J$69:$J$78,0),1)),0))),((IFERROR((OFFSET($J$84,MATCH("Sand Transfer to Conveyor",$J$85:$J$94,0),1)),0))),((IFERROR((OFFSET($J$101,MATCH("Sand Transfer to Conveyor",$J$102:$J$111,0),1)),0))),((IFERROR((OFFSET($J$117,MATCH("Sand Transfer to Conveyor",$J$118:$J$127,0),1)),0))),((IFERROR((OFFSET($J$133,MATCH("Sand Transfer to Conveyor",$J$134:$J$143,0),1)),0))),((IFERROR((OFFSET($J$149,MATCH("Sand Transfer to Conveyor",$J$150:$J$159,0),1)),0))),((IFERROR((OFFSET($J$165,MATCH("Sand Transfer to Conveyor",$J$166:$J$175,0),1)),0))),)</f>
        <v>0</v>
      </c>
      <c r="R7" s="110">
        <f ca="1">SUM((IFERROR(OFFSET($J$20,MATCH("Sand Transfer to Conveyor",$J$21:$J$30,0),2),0)),((IFERROR((OFFSET($J$37,MATCH("Sand Transfer to Conveyor",$J$38:$J$47,0),2)),0))),((IFERROR((OFFSET($J$52,MATCH("Sand Transfer to Conveyor",$J$53:$J$62,0),2)),0))),((IFERROR((OFFSET($J$68,MATCH("Sand Transfer to Conveyor",$J$69:$J$78,0),2)),0))),((IFERROR((OFFSET($J$84,MATCH("Sand Transfer to Conveyor",$J$85:$J$94,0),2)),0))),((IFERROR((OFFSET($J$101,MATCH("Sand Transfer to Conveyor",$J$102:$J$111,0),2)),0))),((IFERROR((OFFSET($J$117,MATCH("Sand Transfer to Conveyor",$J$118:$J$127,0),2)),0))),((IFERROR((OFFSET($J$133,MATCH("Sand Transfer to Conveyor",$J$134:$J$143,0),2)),0))),((IFERROR((OFFSET($J$149,MATCH("Sand Transfer to Conveyor",$J$150:$J$159,0),2)),0))),((IFERROR((OFFSET($J$165,MATCH("Sand Transfer to Conveyor",$J$166:$J$175,0),2)),0))),)</f>
        <v>0</v>
      </c>
    </row>
    <row r="8" spans="2:21" ht="14.25" customHeight="1" x14ac:dyDescent="0.2">
      <c r="B8" s="52" t="s">
        <v>149</v>
      </c>
      <c r="C8" s="45"/>
      <c r="D8" s="45"/>
      <c r="E8" s="45"/>
      <c r="F8" s="182"/>
      <c r="G8" s="50"/>
      <c r="H8" s="56" t="s">
        <v>150</v>
      </c>
      <c r="I8" s="56"/>
      <c r="J8" s="50"/>
      <c r="K8" s="50"/>
      <c r="P8" s="90" t="s">
        <v>195</v>
      </c>
      <c r="Q8" s="110">
        <f ca="1">MAX((IFERROR(OFFSET($J$20,MATCH("Aggregate Transfer to Elevated Storage",$J$21:$J$30,0),1),0)),((IFERROR((OFFSET($J$37,MATCH("Aggregate Transfer to Elevated Storage",$J$38:$J$47,0),1)),0))),((IFERROR((OFFSET($J$52,MATCH("Aggregate Transfer to Elevated Storage",$J$53:$J$62,0),1)),0))),((IFERROR((OFFSET($J$68,MATCH("Aggregate Transfer to Elevated Storage",$J$69:$J$78,0),1)),0))),((IFERROR((OFFSET($J$84,MATCH("Aggregate Transfer to Elevated Storage",$J$85:$J$94,0),1)),0))),((IFERROR((OFFSET($J$101,MATCH("Aggregate Transfer to Elevated Storage",$J$102:$J$111,0),1)),0))),((IFERROR((OFFSET($J$117,MATCH("Aggregate Transfer to Elevated Storage",$J$118:$J$127,0),1)),0))),((IFERROR((OFFSET($J$133,MATCH("Aggregate Transfer to Elevated Storage",$J$134:$J$143,0),1)),0))),((IFERROR((OFFSET($J$149,MATCH("Aggregate Transfer to Elevated Storage",$J$150:$J$159,0),1)),0))),((IFERROR((OFFSET($J$165,MATCH("Aggregate Transfer to Elevated Storage",$J$166:$J$175,0),1)),0))),)</f>
        <v>0</v>
      </c>
      <c r="R8" s="110">
        <f ca="1">SUM((IFERROR(OFFSET($J$20,MATCH("Aggregate Transfer to Elevated Storage",$J$21:$J$30,0),2),0)),((IFERROR((OFFSET($J$37,MATCH("Aggregate Transfer to Elevated Storage",$J$38:$J$47,0),2)),0))),((IFERROR((OFFSET($J$52,MATCH("Aggregate Transfer to Elevated Storage",$J$53:$J$62,0),2)),0))),((IFERROR((OFFSET($J$68,MATCH("Aggregate Transfer to Elevated Storage",$J$69:$J$78,0),2)),0))),((IFERROR((OFFSET($J$84,MATCH("Aggregate Transfer to Elevated Storage",$J$85:$J$94,0),2)),0))),((IFERROR((OFFSET($J$101,MATCH("Aggregate Transfer to Elevated Storage",$J$102:$J$111,0),2)),0))),((IFERROR((OFFSET($J$117,MATCH("Aggregate Transfer to Elevated Storage",$J$118:$J$127,0),2)),0))),((IFERROR((OFFSET($J$133,MATCH("Aggregate Transfer to Elevated Storage",$J$134:$J$143,0),2)),0))),((IFERROR((OFFSET($J$149,MATCH("Aggregate Transfer to Elevated Storage",$J$150:$J$159,0),2)),0))),((IFERROR((OFFSET($J$165,MATCH("Aggregate Transfer to Elevated Storage",$J$166:$J$175,0),2)),0))),)</f>
        <v>0</v>
      </c>
    </row>
    <row r="9" spans="2:21" ht="14.25" customHeight="1" x14ac:dyDescent="0.2">
      <c r="B9" s="389" t="s">
        <v>204</v>
      </c>
      <c r="C9" s="390"/>
      <c r="D9" s="402"/>
      <c r="E9" s="362"/>
      <c r="F9" s="174"/>
      <c r="H9" s="57" t="s">
        <v>141</v>
      </c>
      <c r="I9" s="60" t="s">
        <v>139</v>
      </c>
      <c r="J9" s="60" t="s">
        <v>140</v>
      </c>
      <c r="P9" s="90" t="s">
        <v>196</v>
      </c>
      <c r="Q9" s="110">
        <f ca="1">MAX((IFERROR(OFFSET($J$20,MATCH("Sand Transfer to Elevated Storage",$J$21:$J$30,0),1),0)),((IFERROR((OFFSET($J$37,MATCH("Sand Transfer to Elevated Storage",$J$38:$J$47,0),1)),0))),((IFERROR((OFFSET($J$52,MATCH("Sand Transfer to Elevated Storage",$J$53:$J$62,0),1)),0))),((IFERROR((OFFSET($J$68,MATCH("Sand Transfer to Elevated Storage",$J$69:$J$78,0),1)),0))),((IFERROR((OFFSET($J$84,MATCH("Sand Transfer to Elevated Storage",$J$85:$J$94,0),1)),0))),((IFERROR((OFFSET($J$101,MATCH("Sand Transfer to Elevated Storage",$J$102:$J$111,0),1)),0))),((IFERROR((OFFSET($J$117,MATCH("Sand Transfer to Elevated Storage",$J$118:$J$127,0),1)),0))),((IFERROR((OFFSET($J$133,MATCH("Sand Transfer to Elevated Storage",$J$134:$J$143,0),1)),0))),((IFERROR((OFFSET($J$149,MATCH("Sand Transfer to Elevated Storage",$J$150:$J$159,0),1)),0))),((IFERROR((OFFSET($J$165,MATCH("Sand Transfer to Elevated Storage",$J$166:$J$175,0),1)),0))),)</f>
        <v>0</v>
      </c>
      <c r="R9" s="110">
        <f ca="1">SUM((IFERROR(OFFSET($J$20,MATCH("Sand Transfer to Elevated Storage",$J$21:$J$30,0),2),0)),((IFERROR((OFFSET($J$37,MATCH("Sand Transfer to Elevated Storage",$J$38:$J$47,0),2)),0))),((IFERROR((OFFSET($J$52,MATCH("Sand Transfer to Elevated Storage",$J$53:$J$62,0),2)),0))),((IFERROR((OFFSET($J$68,MATCH("Sand Transfer to Elevated Storage",$J$69:$J$78,0),2)),0))),((IFERROR((OFFSET($J$84,MATCH("Sand Transfer to Elevated Storage",$J$85:$J$94,0),2)),0))),((IFERROR((OFFSET($J$101,MATCH("Sand Transfer to Elevated Storage",$J$102:$J$111,0),2)),0))),((IFERROR((OFFSET($J$117,MATCH("Sand Transfer to Elevated Storage",$J$118:$J$127,0),2)),0))),((IFERROR((OFFSET($J$133,MATCH("Sand Transfer to Elevated Storage",$J$134:$J$143,0),2)),0))),((IFERROR((OFFSET($J$149,MATCH("Sand Transfer to Elevated Storage",$J$150:$J$159,0),2)),0))),((IFERROR((OFFSET($J$165,MATCH("Sand Transfer to Elevated Storage",$J$166:$J$175,0),2)),0))),)</f>
        <v>0</v>
      </c>
    </row>
    <row r="10" spans="2:21" ht="14.25" customHeight="1" x14ac:dyDescent="0.2">
      <c r="B10" s="335" t="s">
        <v>205</v>
      </c>
      <c r="C10" s="393"/>
      <c r="D10" s="400"/>
      <c r="E10" s="337"/>
      <c r="F10" s="174"/>
      <c r="H10" s="59" t="s">
        <v>110</v>
      </c>
      <c r="I10" s="144"/>
      <c r="J10" s="144"/>
      <c r="P10" s="90" t="s">
        <v>203</v>
      </c>
      <c r="Q10" s="110">
        <f ca="1">MAX((IFERROR(OFFSET($J$20,MATCH("Weigh Hopper Loading",$J$21:$J$30,0),1),0)),((IFERROR((OFFSET($J$37,MATCH("Weigh Hopper Loading",$J$38:$J$47,0),1)),0))),((IFERROR((OFFSET($J$52,MATCH("Weigh Hopper Loading",$J$53:$J$62,0),1)),0))),((IFERROR((OFFSET($J$68,MATCH("Weigh Hopper Loading",$J$69:$J$78,0),1)),0))),((IFERROR((OFFSET($J$84,MATCH("Weigh Hopper Loading",$J$85:$J$94,0),1)),0))),((IFERROR((OFFSET($J$101,MATCH("Weigh Hopper Loading",$J$102:$J$111,0),1)),0))),((IFERROR((OFFSET($J$117,MATCH("Weigh Hopper Loading",$J$118:$J$127,0),1)),0))),((IFERROR((OFFSET($J$133,MATCH("Weigh Hopper Loading",$J$134:$J$143,0),1)),0))),((IFERROR((OFFSET($J$149,MATCH("Weigh Hopper Loading",$J$150:$J$159,0),1)),0))),((IFERROR((OFFSET($J$165,MATCH("Weigh Hopper Loading",$J$166:$J$175,0),1)),0))),)</f>
        <v>0</v>
      </c>
      <c r="R10" s="110">
        <f ca="1">SUM((IFERROR(OFFSET($J$20,MATCH("Weigh Hopper Loading",$J$21:$J$30,0),2),0)),((IFERROR((OFFSET($J$37,MATCH("Weigh Hopper Loading",$J$38:$J$47,0),2)),0))),((IFERROR((OFFSET($J$52,MATCH("Weigh Hopper Loading",$J$53:$J$62,0),2)),0))),((IFERROR((OFFSET($J$68,MATCH("Weigh Hopper Loading",$J$69:$J$78,0),2)),0))),((IFERROR((OFFSET($J$84,MATCH("Weigh Hopper Loading",$J$85:$J$94,0),2)),0))),((IFERROR((OFFSET($J$101,MATCH("Weigh Hopper Loading",$J$102:$J$111,0),2)),0))),((IFERROR((OFFSET($J$117,MATCH("Weigh Hopper Loading",$J$118:$J$127,0),2)),0))),((IFERROR((OFFSET($J$133,MATCH("Weigh Hopper Loading",$J$134:$J$143,0),2)),0))),((IFERROR((OFFSET($J$149,MATCH("Weigh Hopper Loading",$J$150:$J$159,0),2)),0))),((IFERROR((OFFSET($J$165,MATCH("Weigh Hopper Loading",$J$166:$J$175,0),2)),0))),)</f>
        <v>0</v>
      </c>
    </row>
    <row r="11" spans="2:21" ht="14.25" customHeight="1" x14ac:dyDescent="0.2">
      <c r="B11" s="391" t="s">
        <v>146</v>
      </c>
      <c r="C11" s="392"/>
      <c r="D11" s="400"/>
      <c r="E11" s="337"/>
      <c r="F11" s="174"/>
      <c r="H11" s="58" t="s">
        <v>17</v>
      </c>
      <c r="I11" s="144"/>
      <c r="J11" s="144"/>
      <c r="P11" s="90" t="s">
        <v>197</v>
      </c>
      <c r="Q11" s="110">
        <f ca="1">MAX((IFERROR(OFFSET($J$20,MATCH("Central Mix Loading",$J$21:$J$30,0),1),0)),((IFERROR((OFFSET($J$37,MATCH("Central Mix Loading",$J$38:$J$47,0),1)),0))),((IFERROR((OFFSET($J$52,MATCH("Central Mix Loading",$J$53:$J$62,0),1)),0))),((IFERROR((OFFSET($J$68,MATCH("Central Mix Loading",$J$69:$J$78,0),1)),0))),((IFERROR((OFFSET($J$84,MATCH("Central Mix Loading",$J$85:$J$94,0),1)),0))),((IFERROR((OFFSET($J$101,MATCH("Central Mix Loading",$J$102:$J$111,0),1)),0))),((IFERROR((OFFSET($J$117,MATCH("Central Mix Loading",$J$118:$J$127,0),1)),0))),((IFERROR((OFFSET($J$133,MATCH("Central Mix Loading",$J$134:$J$143,0),1)),0))),((IFERROR((OFFSET($J$149,MATCH("Central Mix Loading",$J$150:$J$159,0),1)),0))),((IFERROR((OFFSET($J$165,MATCH("Central Mix Loading",$J$166:$J$175,0),1)),0))),)</f>
        <v>0</v>
      </c>
      <c r="R11" s="110">
        <f ca="1">SUM((IFERROR(OFFSET($J$20,MATCH("Central Mix Loading",$J$21:$J$30,0),2),0)),((IFERROR((OFFSET($J$37,MATCH("Central Mix Loading",$J$38:$J$47,0),2)),0))),((IFERROR((OFFSET($J$52,MATCH("Central Mix Loading",$J$53:$J$62,0),2)),0))),((IFERROR((OFFSET($J$68,MATCH("Central Mix Loading",$J$69:$J$78,0),2)),0))),((IFERROR((OFFSET($J$84,MATCH("Central Mix Loading",$J$85:$J$94,0),2)),0))),((IFERROR((OFFSET($J$101,MATCH("Central Mix Loading",$J$102:$J$111,0),2)),0))),((IFERROR((OFFSET($J$117,MATCH("Central Mix Loading",$J$118:$J$127,0),2)),0))),((IFERROR((OFFSET($J$133,MATCH("Central Mix Loading",$J$134:$J$143,0),2)),0))),((IFERROR((OFFSET($J$149,MATCH("Central Mix Loading",$J$150:$J$159,0),2)),0))),((IFERROR((OFFSET($J$165,MATCH("Central Mix Loading",$J$166:$J$175,0),2)),0))),)</f>
        <v>0</v>
      </c>
    </row>
    <row r="12" spans="2:21" ht="14.25" customHeight="1" x14ac:dyDescent="0.25">
      <c r="B12" s="320" t="s">
        <v>269</v>
      </c>
      <c r="C12" s="319"/>
      <c r="D12" s="319"/>
      <c r="E12" s="319"/>
      <c r="F12" s="170"/>
      <c r="G12" s="30"/>
      <c r="H12" s="58" t="s">
        <v>3</v>
      </c>
      <c r="I12" s="144"/>
      <c r="J12" s="144"/>
      <c r="P12" s="90" t="s">
        <v>198</v>
      </c>
      <c r="Q12" s="110">
        <f ca="1">MAX((IFERROR(OFFSET($J$20,MATCH("Truck Mix Loading",$J$21:$J$30,0),1),0)),((IFERROR((OFFSET($J$37,MATCH("Truck Mix Loading",$J$38:$J$47,0),1)),0))),((IFERROR((OFFSET($J$52,MATCH("Truck Mix Loading",$J$53:$J$62,0),1)),0))),((IFERROR((OFFSET($J$68,MATCH("Truck Mix Loading",$J$69:$J$78,0),1)),0))),((IFERROR((OFFSET($J$84,MATCH("Truck Mix Loading",$J$85:$J$94,0),1)),0))),((IFERROR((OFFSET($J$101,MATCH("Truck Mix Loading",$J$102:$J$111,0),1)),0))),((IFERROR((OFFSET($J$117,MATCH("Truck Mix Loading",$J$118:$J$127,0),1)),0))),((IFERROR((OFFSET($J$133,MATCH("Truck Mix Loading",$J$134:$J$143,0),1)),0))),((IFERROR((OFFSET($J$149,MATCH("Truck Mix Loading",$J$150:$J$159,0),1)),0))),((IFERROR((OFFSET($J$165,MATCH("Truck Mix Loading",$J$166:$J$175,0),1)),0))),)</f>
        <v>0</v>
      </c>
      <c r="R12" s="110">
        <f ca="1">SUM((IFERROR(OFFSET($J$20,MATCH("Truck Mix Loading",$J$21:$J$30,0),2),0)),((IFERROR((OFFSET($J$37,MATCH("Truck Mix Loading",$J$38:$J$47,0),2)),0))),((IFERROR((OFFSET($J$52,MATCH("Truck Mix Loading",$J$53:$J$62,0),2)),0))),((IFERROR((OFFSET($J$68,MATCH("Truck Mix Loading",$J$69:$J$78,0),2)),0))),((IFERROR((OFFSET($J$84,MATCH("Truck Mix Loading",$J$85:$J$94,0),2)),0))),((IFERROR((OFFSET($J$101,MATCH("Truck Mix Loading",$J$102:$J$111,0),2)),0))),((IFERROR((OFFSET($J$117,MATCH("Truck Mix Loading",$J$118:$J$127,0),2)),0))),((IFERROR((OFFSET($J$133,MATCH("Truck Mix Loading",$J$134:$J$143,0),2)),0))),((IFERROR((OFFSET($J$149,MATCH("Truck Mix Loading",$J$150:$J$159,0),2)),0))),((IFERROR((OFFSET($J$165,MATCH("Truck Mix Loading",$J$166:$J$175,0),2)),0))),)</f>
        <v>0</v>
      </c>
    </row>
    <row r="13" spans="2:21" ht="14.25" customHeight="1" x14ac:dyDescent="0.25">
      <c r="B13" s="320" t="s">
        <v>271</v>
      </c>
      <c r="C13" s="319"/>
      <c r="D13" s="319"/>
      <c r="E13" s="319"/>
      <c r="F13" s="170"/>
      <c r="G13" s="30"/>
      <c r="H13" s="58" t="s">
        <v>27</v>
      </c>
      <c r="I13" s="144"/>
      <c r="J13" s="144"/>
      <c r="P13" s="90" t="s">
        <v>199</v>
      </c>
      <c r="Q13" s="110">
        <f ca="1">MAX((IFERROR(OFFSET($J$20,MATCH("Cement Delivery to Silo",$J$21:$J$30,0),1),0)),((IFERROR((OFFSET($J$37,MATCH("Cement Delivery to Silo",$J$38:$J$47,0),1)),0))),((IFERROR((OFFSET($J$52,MATCH("Cement Delivery to Silo",$J$53:$J$62,0),1)),0))),((IFERROR((OFFSET($J$68,MATCH("Cement Delivery to Silo",$J$69:$J$78,0),1)),0))),((IFERROR((OFFSET($J$84,MATCH("Cement Delivery to Silo",$J$85:$J$94,0),1)),0))),((IFERROR((OFFSET($J$101,MATCH("Cement Delivery to Silo",$J$102:$J$111,0),1)),0))),((IFERROR((OFFSET($J$117,MATCH("Cement Delivery to Silo",$J$118:$J$127,0),1)),0))),((IFERROR((OFFSET($J$133,MATCH("Cement Delivery to Silo",$J$134:$J$143,0),1)),0))),((IFERROR((OFFSET($J$149,MATCH("Cement Delivery to Silo",$J$150:$J$159,0),1)),0))),((IFERROR((OFFSET($J$165,MATCH("Cement Delivery to Silo",$J$166:$J$175,0),1)),0))),)</f>
        <v>0</v>
      </c>
      <c r="R13" s="110">
        <f ca="1">SUM((IFERROR(OFFSET($J$20,MATCH("Cement Delivery to Silo",$J$21:$J$30,0),2),0)),((IFERROR((OFFSET($J$37,MATCH("Cement Delivery to Silo",$J$38:$J$47,0),2)),0))),((IFERROR((OFFSET($J$52,MATCH("Cement Delivery to Silo",$J$53:$J$62,0),2)),0))),((IFERROR((OFFSET($J$68,MATCH("Cement Delivery to Silo",$J$69:$J$78,0),2)),0))),((IFERROR((OFFSET($J$84,MATCH("Cement Delivery to Silo",$J$85:$J$94,0),2)),0))),((IFERROR((OFFSET($J$101,MATCH("Cement Delivery to Silo",$J$102:$J$111,0),2)),0))),((IFERROR((OFFSET($J$117,MATCH("Cement Delivery to Silo",$J$118:$J$127,0),2)),0))),((IFERROR((OFFSET($J$133,MATCH("Cement Delivery to Silo",$J$134:$J$143,0),2)),0))),((IFERROR((OFFSET($J$149,MATCH("Cement Delivery to Silo",$J$150:$J$159,0),2)),0))),((IFERROR((OFFSET($J$165,MATCH("Cement Delivery to Silo",$J$166:$J$175,0),2)),0))),)</f>
        <v>0</v>
      </c>
    </row>
    <row r="14" spans="2:21" ht="14.25" customHeight="1" x14ac:dyDescent="0.25">
      <c r="B14" s="324" t="s">
        <v>270</v>
      </c>
      <c r="C14" s="319"/>
      <c r="D14" s="319"/>
      <c r="E14" s="319"/>
      <c r="F14" s="170"/>
      <c r="G14" s="30"/>
      <c r="H14" s="58" t="s">
        <v>5</v>
      </c>
      <c r="I14" s="144"/>
      <c r="J14" s="144"/>
      <c r="P14" s="90" t="s">
        <v>200</v>
      </c>
      <c r="Q14" s="110">
        <f ca="1">MAX((IFERROR(OFFSET($J$20,MATCH("Cement Supplement Delivery to Silo",$J$21:$J$30,0),1),0)),((IFERROR((OFFSET($J$37,MATCH("Cement Supplement Delivery to Silo",$J$38:$J$47,0),1)),0))),((IFERROR((OFFSET($J$52,MATCH("Cement Supplement Delivery to Silo",$J$53:$J$62,0),1)),0))),((IFERROR((OFFSET($J$68,MATCH("Cement Supplement Delivery to Silo",$J$69:$J$78,0),1)),0))),((IFERROR((OFFSET($J$84,MATCH("Cement Supplement Delivery to Silo",$J$85:$J$94,0),1)),0))),((IFERROR((OFFSET($J$101,MATCH("Cement Supplement Delivery to Silo",$J$102:$J$111,0),1)),0))),((IFERROR((OFFSET($J$117,MATCH("Cement Supplement Delivery to Silo",$J$118:$J$127,0),1)),0))),((IFERROR((OFFSET($J$133,MATCH("Cement Supplement Delivery to Silo",$J$134:$J$143,0),1)),0))),((IFERROR((OFFSET($J$149,MATCH("Cement Supplement Delivery to Silo",$J$150:$J$159,0),1)),0))),((IFERROR((OFFSET($J$165,MATCH("Cement Supplement Delivery to Silo",$J$166:$J$175,0),1)),0))),)</f>
        <v>0</v>
      </c>
      <c r="R14" s="110">
        <f ca="1">SUM((IFERROR(OFFSET($J$20,MATCH("Cement Supplement Delivery to Silo",$J$21:$J$30,0),2),0)),((IFERROR((OFFSET($J$37,MATCH("Cement Supplement Delivery to Silo",$J$38:$J$47,0),2)),0))),((IFERROR((OFFSET($J$52,MATCH("Cement Supplement Delivery to Silo",$J$53:$J$62,0),2)),0))),((IFERROR((OFFSET($J$68,MATCH("Cement Supplement Delivery to Silo",$J$69:$J$78,0),2)),0))),((IFERROR((OFFSET($J$84,MATCH("Cement Supplement Delivery to Silo",$J$85:$J$94,0),2)),0))),((IFERROR((OFFSET($J$101,MATCH("Cement Supplement Delivery to Silo",$J$102:$J$111,0),2)),0))),((IFERROR((OFFSET($J$117,MATCH("Cement Supplement Delivery to Silo",$J$118:$J$127,0),2)),0))),((IFERROR((OFFSET($J$133,MATCH("Cement Supplement Delivery to Silo",$J$134:$J$143,0),2)),0))),((IFERROR((OFFSET($J$149,MATCH("Cement Supplement Delivery to Silo",$J$150:$J$159,0),2)),0))),((IFERROR((OFFSET($J$165,MATCH("Cement Supplement Delivery to Silo",$J$166:$J$175,0),2)),0))),)</f>
        <v>0</v>
      </c>
    </row>
    <row r="15" spans="2:21" ht="14.25" customHeight="1" x14ac:dyDescent="0.25">
      <c r="B15" s="12"/>
      <c r="C15" s="12"/>
      <c r="D15" s="12"/>
      <c r="E15" s="12"/>
      <c r="F15" s="12"/>
      <c r="G15" s="12"/>
      <c r="H15" s="58" t="s">
        <v>6</v>
      </c>
      <c r="I15" s="144"/>
      <c r="J15" s="144"/>
    </row>
    <row r="16" spans="2:21" ht="15" customHeight="1" thickBot="1" x14ac:dyDescent="0.3">
      <c r="B16" s="85"/>
      <c r="C16" s="85"/>
      <c r="D16" s="85"/>
      <c r="E16" s="85"/>
      <c r="F16" s="85"/>
      <c r="G16" s="85"/>
      <c r="H16" s="86"/>
      <c r="I16" s="86"/>
      <c r="J16" s="124"/>
      <c r="K16" s="124"/>
      <c r="L16" s="87"/>
      <c r="M16" s="71"/>
      <c r="N16" s="71"/>
      <c r="P16" s="68"/>
      <c r="Q16" s="188" t="s">
        <v>155</v>
      </c>
      <c r="R16" s="189" t="s">
        <v>154</v>
      </c>
      <c r="S16" s="88"/>
    </row>
    <row r="17" spans="1:23" ht="14.25" customHeight="1" x14ac:dyDescent="0.25">
      <c r="B17" s="12"/>
      <c r="C17" s="12"/>
      <c r="D17" s="12"/>
      <c r="E17" s="12"/>
      <c r="F17" s="12"/>
      <c r="G17" s="12"/>
      <c r="H17" s="84"/>
      <c r="I17" s="84"/>
      <c r="J17" s="50"/>
      <c r="K17" s="50"/>
      <c r="P17" s="90" t="s">
        <v>40</v>
      </c>
      <c r="Q17" s="143">
        <f>SUM(J34,J50,J66,J82,J98,J115,J131,J147,J163,J179)</f>
        <v>0</v>
      </c>
      <c r="R17" s="143">
        <f>SUM(K34*L34,K50*L50,K66*L66,K82*L82,K98*L98,K115*L115,K131*L131,K147*L147,K163*L163,K179*L179)</f>
        <v>0</v>
      </c>
      <c r="S17" s="68"/>
    </row>
    <row r="18" spans="1:23" ht="7.5" customHeight="1" x14ac:dyDescent="0.2">
      <c r="A18" s="71"/>
      <c r="B18" s="345"/>
      <c r="C18" s="50"/>
      <c r="D18" s="50"/>
      <c r="E18" s="50"/>
      <c r="F18" s="50"/>
    </row>
    <row r="19" spans="1:23" ht="14.25" customHeight="1" x14ac:dyDescent="0.2">
      <c r="D19" s="71"/>
      <c r="E19" s="71"/>
      <c r="F19" s="71"/>
      <c r="M19" s="217"/>
      <c r="N19" s="217"/>
      <c r="P19" s="45" t="s">
        <v>254</v>
      </c>
    </row>
    <row r="20" spans="1:23" ht="27.75" customHeight="1" x14ac:dyDescent="0.25">
      <c r="B20" s="69" t="s">
        <v>201</v>
      </c>
      <c r="C20" s="70" t="s">
        <v>145</v>
      </c>
      <c r="G20" s="45"/>
      <c r="H20" s="310" t="s">
        <v>1</v>
      </c>
      <c r="I20" s="310" t="s">
        <v>181</v>
      </c>
      <c r="J20" s="310" t="s">
        <v>142</v>
      </c>
      <c r="K20" s="311" t="s">
        <v>241</v>
      </c>
      <c r="L20" s="310" t="str">
        <f>('Facility Information'!G5&amp;" Annual Throughput (cubic yards)")</f>
        <v xml:space="preserve"> Annual Throughput (cubic yards)</v>
      </c>
      <c r="M20" s="218" t="s">
        <v>250</v>
      </c>
      <c r="N20" s="218" t="s">
        <v>251</v>
      </c>
      <c r="P20" s="89" t="s">
        <v>110</v>
      </c>
      <c r="Q20" s="308" t="s">
        <v>242</v>
      </c>
      <c r="R20" s="308" t="s">
        <v>240</v>
      </c>
      <c r="S20" s="308" t="s">
        <v>147</v>
      </c>
      <c r="T20" s="308" t="s">
        <v>130</v>
      </c>
      <c r="U20" s="308" t="s">
        <v>14</v>
      </c>
      <c r="V20" s="308" t="s">
        <v>148</v>
      </c>
    </row>
    <row r="21" spans="1:23" ht="14.25" customHeight="1" x14ac:dyDescent="0.2">
      <c r="A21" s="67" t="s">
        <v>38</v>
      </c>
      <c r="B21" s="186" t="s">
        <v>89</v>
      </c>
      <c r="C21" s="349"/>
      <c r="D21" s="356"/>
      <c r="E21" s="357"/>
      <c r="F21" s="175"/>
      <c r="G21" s="45"/>
      <c r="H21" s="126" t="str">
        <f>IF(J21="cement delivery to silo","CP-1 EP-2",IF(J21="cement supplement delivery to silo","CP-1 EP-3",IF(J21="weigh hopper loading","CP-1 EP-4",IF(J21="truck mix loading","CP-1 EP-5",IF(J21="central mix loading","CP-1 EP-6",IF(J21="","","CP-1 EP-1"))))))</f>
        <v/>
      </c>
      <c r="I21" s="126" t="str">
        <f t="shared" ref="I21:I30" si="0">IF(J21="","",IF(J21="aggregate delivery to ground storage","CP-7 EU-1",IF(J21="sand delivery to ground storage","CP-7 EU-2",IF(J21="aggregate transfer to conveyor","CP-7 EU-3",IF(J21="sand transfer to conveyor","CP-7 EU-4",IF(J21="aggregate transfer to elevated storage","CP-7 EU-5",IF(J21="sand transfer to elevated storage","CP-7 EU-6",IF(J21="weigh hopper loading","CP-7 EU-7",IF(J21="central mix loading","CP-7 EU-8",IF(J21="truck mix loading","CP-7 EU-9",IF(J21="cement delivery to silo","CP-7 EU-10",IF(J21="cement supplement delivery to silo","CP-7 EU-11"))))))))))))</f>
        <v/>
      </c>
      <c r="J21" s="82"/>
      <c r="K21" s="61"/>
      <c r="L21" s="156"/>
      <c r="M21" s="219" t="str">
        <f>IF(J21="truck mix loading",IF($F$24="yes",L21*0.05/2000,L21/2000),"")</f>
        <v/>
      </c>
      <c r="N21" s="219" t="str">
        <f>IF(J21="central mix loading",IF($F$24="yes",L21*0.05/2000,L21/2000),"")</f>
        <v/>
      </c>
      <c r="P21" s="90" t="s">
        <v>191</v>
      </c>
      <c r="Q21" s="105">
        <f t="shared" ref="Q21:Q31" ca="1" si="1">Q4</f>
        <v>0</v>
      </c>
      <c r="R21" s="111">
        <f ca="1">IF(Q21=0,0,LOOKUP(P21,'Emission Factors'!$A$5:$A$16,'Emission Factors'!$D$5:$D$16))</f>
        <v>0</v>
      </c>
      <c r="S21" s="105">
        <f t="shared" ref="S21:S29" ca="1" si="2">Q21*R21</f>
        <v>0</v>
      </c>
      <c r="T21" s="105" t="str">
        <f ca="1">IF(Q21=0,"",IF($I$10&gt;0,$I$10,""))</f>
        <v/>
      </c>
      <c r="U21" s="105">
        <f ca="1">IF($J$10&gt;0,$J$10,IF($D$9&gt;0,$D$9*R21/2000,IF($D$10&gt;0,$D$10*365*R21/2000,IF($D$11&gt;0,$D$11*365*R21*Q21/2000,IF(T21="",S21*8760/2000,T21*8760/2000)))))</f>
        <v>0</v>
      </c>
      <c r="V21" s="113">
        <f t="shared" ref="V21:V27" ca="1" si="3">(R4*R21/2000)</f>
        <v>0</v>
      </c>
    </row>
    <row r="22" spans="1:23" ht="14.25" customHeight="1" x14ac:dyDescent="0.2">
      <c r="A22" s="67" t="s">
        <v>39</v>
      </c>
      <c r="B22" s="186" t="s">
        <v>90</v>
      </c>
      <c r="C22" s="339"/>
      <c r="D22" s="342"/>
      <c r="E22" s="343"/>
      <c r="F22" s="175"/>
      <c r="G22" s="45"/>
      <c r="H22" s="126" t="str">
        <f t="shared" ref="H22:H30" si="4">IF(J22="cement delivery to silo","CP-1 EP-2",IF(J22="cement supplement delivery to silo","CP-1 EP-3",IF(J22="weigh hopper loading","CP-1 EP-4",IF(J22="truck mix loading","CP-1 EP-5",IF(J22="central mix loading","CP-1 EP-6",IF(J22="","","CP-1 EP-1"))))))</f>
        <v/>
      </c>
      <c r="I22" s="126" t="str">
        <f t="shared" si="0"/>
        <v/>
      </c>
      <c r="J22" s="82"/>
      <c r="K22" s="61"/>
      <c r="L22" s="156"/>
      <c r="M22" s="219" t="str">
        <f t="shared" ref="M22:M30" si="5">IF(J22="truck mix loading",IF($F$24="yes",L22*0.05/2000,L22/2000),"")</f>
        <v/>
      </c>
      <c r="N22" s="219" t="str">
        <f t="shared" ref="N22:N30" si="6">IF(J22="central mix loading",IF($F$24="yes",L22*0.05/2000,L22/2000),"")</f>
        <v/>
      </c>
      <c r="P22" s="90" t="s">
        <v>192</v>
      </c>
      <c r="Q22" s="105">
        <f t="shared" ca="1" si="1"/>
        <v>0</v>
      </c>
      <c r="R22" s="111">
        <f ca="1">IF(Q22=0,0,LOOKUP(P22,'Emission Factors'!$A$5:$A$16,'Emission Factors'!$D$5:$D$16))</f>
        <v>0</v>
      </c>
      <c r="S22" s="105">
        <f t="shared" ca="1" si="2"/>
        <v>0</v>
      </c>
      <c r="T22" s="105" t="str">
        <f t="shared" ref="T22:T27" ca="1" si="7">IF(Q22=0,"",IF($I$10&gt;0,$I$10,""))</f>
        <v/>
      </c>
      <c r="U22" s="105">
        <f t="shared" ref="U22:U27" ca="1" si="8">IF($J$10&gt;0,"",IF($D$9&gt;0,$D$9*R22/2000,IF($D$10&gt;0,$D$10*365*R22/2000,IF($D$11&gt;0,$D$11*365*R22*Q22/2000,IF(T22="",S22*8760/2000,T22*8760/2000)))))</f>
        <v>0</v>
      </c>
      <c r="V22" s="113">
        <f t="shared" ca="1" si="3"/>
        <v>0</v>
      </c>
    </row>
    <row r="23" spans="1:23" ht="14.25" customHeight="1" x14ac:dyDescent="0.2">
      <c r="B23" s="186" t="s">
        <v>202</v>
      </c>
      <c r="C23" s="352"/>
      <c r="D23" s="353"/>
      <c r="E23" s="354"/>
      <c r="F23" s="175"/>
      <c r="G23" s="45"/>
      <c r="H23" s="126" t="str">
        <f t="shared" si="4"/>
        <v/>
      </c>
      <c r="I23" s="126" t="str">
        <f t="shared" si="0"/>
        <v/>
      </c>
      <c r="J23" s="82"/>
      <c r="K23" s="61"/>
      <c r="L23" s="156"/>
      <c r="M23" s="219" t="str">
        <f t="shared" si="5"/>
        <v/>
      </c>
      <c r="N23" s="219" t="str">
        <f t="shared" si="6"/>
        <v/>
      </c>
      <c r="P23" s="90" t="s">
        <v>193</v>
      </c>
      <c r="Q23" s="105">
        <f t="shared" ca="1" si="1"/>
        <v>0</v>
      </c>
      <c r="R23" s="111">
        <f ca="1">IF(Q23=0,0,LOOKUP(P23,'Emission Factors'!$A$5:$A$16,'Emission Factors'!$D$5:$D$16))</f>
        <v>0</v>
      </c>
      <c r="S23" s="105">
        <f t="shared" ca="1" si="2"/>
        <v>0</v>
      </c>
      <c r="T23" s="105" t="str">
        <f t="shared" ca="1" si="7"/>
        <v/>
      </c>
      <c r="U23" s="105">
        <f t="shared" ca="1" si="8"/>
        <v>0</v>
      </c>
      <c r="V23" s="113">
        <f t="shared" ca="1" si="3"/>
        <v>0</v>
      </c>
    </row>
    <row r="24" spans="1:23" ht="14.25" customHeight="1" x14ac:dyDescent="0.25">
      <c r="A24" s="6" t="s">
        <v>191</v>
      </c>
      <c r="B24" s="51" t="str">
        <f>IF(OR(COUNTIF(J21:J30,"Truck Mix Loading")&gt;0,(COUNTIF(J21:J30,"Central Mix Loading")&gt;0)),"Is the Central/Truck Mix Loading process controlled by a baghouse?","")</f>
        <v/>
      </c>
      <c r="C24" s="51"/>
      <c r="D24" s="51"/>
      <c r="E24" s="51"/>
      <c r="F24" s="221"/>
      <c r="G24" s="45"/>
      <c r="H24" s="126" t="str">
        <f t="shared" si="4"/>
        <v/>
      </c>
      <c r="I24" s="126" t="str">
        <f t="shared" si="0"/>
        <v/>
      </c>
      <c r="J24" s="82"/>
      <c r="K24" s="61"/>
      <c r="L24" s="156"/>
      <c r="M24" s="219" t="str">
        <f t="shared" si="5"/>
        <v/>
      </c>
      <c r="N24" s="219" t="str">
        <f t="shared" si="6"/>
        <v/>
      </c>
      <c r="P24" s="90" t="s">
        <v>194</v>
      </c>
      <c r="Q24" s="105">
        <f t="shared" ca="1" si="1"/>
        <v>0</v>
      </c>
      <c r="R24" s="111">
        <f ca="1">IF(Q24=0,0,LOOKUP(P24,'Emission Factors'!$A$5:$A$16,'Emission Factors'!$D$5:$D$16))</f>
        <v>0</v>
      </c>
      <c r="S24" s="105">
        <f t="shared" ca="1" si="2"/>
        <v>0</v>
      </c>
      <c r="T24" s="105" t="str">
        <f t="shared" ca="1" si="7"/>
        <v/>
      </c>
      <c r="U24" s="105">
        <f t="shared" ca="1" si="8"/>
        <v>0</v>
      </c>
      <c r="V24" s="113">
        <f t="shared" ca="1" si="3"/>
        <v>0</v>
      </c>
    </row>
    <row r="25" spans="1:23" ht="14.25" customHeight="1" x14ac:dyDescent="0.25">
      <c r="A25" s="6" t="s">
        <v>192</v>
      </c>
      <c r="B25" s="45"/>
      <c r="C25" s="45"/>
      <c r="D25" s="45"/>
      <c r="E25" s="45"/>
      <c r="F25" s="182"/>
      <c r="G25" s="45"/>
      <c r="H25" s="126" t="str">
        <f t="shared" si="4"/>
        <v/>
      </c>
      <c r="I25" s="126" t="str">
        <f t="shared" si="0"/>
        <v/>
      </c>
      <c r="J25" s="82"/>
      <c r="K25" s="61"/>
      <c r="L25" s="156"/>
      <c r="M25" s="219" t="str">
        <f t="shared" si="5"/>
        <v/>
      </c>
      <c r="N25" s="219" t="str">
        <f t="shared" si="6"/>
        <v/>
      </c>
      <c r="P25" s="90" t="s">
        <v>195</v>
      </c>
      <c r="Q25" s="105">
        <f t="shared" ca="1" si="1"/>
        <v>0</v>
      </c>
      <c r="R25" s="111">
        <f ca="1">IF(Q25=0,0,LOOKUP(P25,'Emission Factors'!$A$5:$A$16,'Emission Factors'!$D$5:$D$16))</f>
        <v>0</v>
      </c>
      <c r="S25" s="105">
        <f t="shared" ca="1" si="2"/>
        <v>0</v>
      </c>
      <c r="T25" s="105" t="str">
        <f t="shared" ca="1" si="7"/>
        <v/>
      </c>
      <c r="U25" s="105">
        <f t="shared" ca="1" si="8"/>
        <v>0</v>
      </c>
      <c r="V25" s="113">
        <f t="shared" ca="1" si="3"/>
        <v>0</v>
      </c>
    </row>
    <row r="26" spans="1:23" ht="29.25" customHeight="1" x14ac:dyDescent="0.25">
      <c r="A26" s="6" t="s">
        <v>193</v>
      </c>
      <c r="B26" s="312" t="str">
        <f>IF(AND(B28="",B29="",B32="",B31="",B30=""),"","Process (complete stack information if applicable):")</f>
        <v/>
      </c>
      <c r="C26" s="312" t="str">
        <f>IF(AND(B28="",B29="",B32="",B31="",B30=""),"","Stack Height (ft):")</f>
        <v/>
      </c>
      <c r="D26" s="312" t="str">
        <f>IF(AND(B28="",B29="",B32="",B31="",B30=""),"","Stack Diameter (inches):")</f>
        <v/>
      </c>
      <c r="E26" s="312" t="str">
        <f>IF(AND(B28="",B29="",B32="",B31="",B30=""),"","Flow Rate (acfm):")</f>
        <v/>
      </c>
      <c r="F26" s="312" t="str">
        <f>IF(AND(B28="",B29="",B32="",B31="",B30=""),"","Temp (Deg F):")</f>
        <v/>
      </c>
      <c r="G26" s="45"/>
      <c r="H26" s="126" t="str">
        <f t="shared" si="4"/>
        <v/>
      </c>
      <c r="I26" s="126" t="str">
        <f t="shared" si="0"/>
        <v/>
      </c>
      <c r="J26" s="82"/>
      <c r="K26" s="61"/>
      <c r="L26" s="156"/>
      <c r="M26" s="219" t="str">
        <f t="shared" si="5"/>
        <v/>
      </c>
      <c r="N26" s="219" t="str">
        <f t="shared" si="6"/>
        <v/>
      </c>
      <c r="P26" s="90" t="s">
        <v>196</v>
      </c>
      <c r="Q26" s="105">
        <f t="shared" ca="1" si="1"/>
        <v>0</v>
      </c>
      <c r="R26" s="111">
        <f ca="1">IF(Q26=0,0,LOOKUP(P26,'Emission Factors'!$A$5:$A$16,'Emission Factors'!$D$5:$D$16))</f>
        <v>0</v>
      </c>
      <c r="S26" s="105">
        <f t="shared" ca="1" si="2"/>
        <v>0</v>
      </c>
      <c r="T26" s="105" t="str">
        <f t="shared" ca="1" si="7"/>
        <v/>
      </c>
      <c r="U26" s="105">
        <f t="shared" ca="1" si="8"/>
        <v>0</v>
      </c>
      <c r="V26" s="113">
        <f t="shared" ca="1" si="3"/>
        <v>0</v>
      </c>
    </row>
    <row r="27" spans="1:23" ht="14.25" customHeight="1" x14ac:dyDescent="0.25">
      <c r="A27" s="6" t="s">
        <v>194</v>
      </c>
      <c r="B27" s="312"/>
      <c r="C27" s="312"/>
      <c r="D27" s="312"/>
      <c r="E27" s="312"/>
      <c r="F27" s="312"/>
      <c r="G27" s="45"/>
      <c r="H27" s="126" t="str">
        <f t="shared" si="4"/>
        <v/>
      </c>
      <c r="I27" s="126" t="str">
        <f t="shared" si="0"/>
        <v/>
      </c>
      <c r="J27" s="82"/>
      <c r="K27" s="61"/>
      <c r="L27" s="156"/>
      <c r="M27" s="219" t="str">
        <f t="shared" si="5"/>
        <v/>
      </c>
      <c r="N27" s="219" t="str">
        <f t="shared" si="6"/>
        <v/>
      </c>
      <c r="P27" s="90" t="s">
        <v>203</v>
      </c>
      <c r="Q27" s="105">
        <f t="shared" ca="1" si="1"/>
        <v>0</v>
      </c>
      <c r="R27" s="111">
        <f ca="1">IF(Q27=0,0,LOOKUP(P27,'Emission Factors'!$A$5:$A$16,'Emission Factors'!$D$5:$D$16))</f>
        <v>0</v>
      </c>
      <c r="S27" s="105">
        <f t="shared" ca="1" si="2"/>
        <v>0</v>
      </c>
      <c r="T27" s="105" t="str">
        <f t="shared" ca="1" si="7"/>
        <v/>
      </c>
      <c r="U27" s="105">
        <f t="shared" ca="1" si="8"/>
        <v>0</v>
      </c>
      <c r="V27" s="113">
        <f t="shared" ca="1" si="3"/>
        <v>0</v>
      </c>
    </row>
    <row r="28" spans="1:23" ht="14.25" customHeight="1" x14ac:dyDescent="0.25">
      <c r="A28" s="6" t="s">
        <v>195</v>
      </c>
      <c r="B28" s="45" t="str">
        <f>IF(COUNTIF(J21:J30,"Cement Delivery to Silo")&gt;0,"EP-2 Cement Silo Stack:","")</f>
        <v/>
      </c>
      <c r="C28" s="221"/>
      <c r="D28" s="221"/>
      <c r="E28" s="221"/>
      <c r="F28" s="221"/>
      <c r="G28" s="45"/>
      <c r="H28" s="126" t="str">
        <f t="shared" si="4"/>
        <v/>
      </c>
      <c r="I28" s="126" t="str">
        <f t="shared" si="0"/>
        <v/>
      </c>
      <c r="J28" s="82"/>
      <c r="K28" s="61"/>
      <c r="L28" s="156"/>
      <c r="M28" s="219" t="str">
        <f t="shared" si="5"/>
        <v/>
      </c>
      <c r="N28" s="219" t="str">
        <f t="shared" si="6"/>
        <v/>
      </c>
      <c r="P28" s="90" t="s">
        <v>197</v>
      </c>
      <c r="Q28" s="105">
        <f t="shared" ca="1" si="1"/>
        <v>0</v>
      </c>
      <c r="R28" s="111">
        <f ca="1">IF(Q28=0,0,LOOKUP(P28,'Emission Factors'!$A$5:$A$16,'Emission Factors'!$D$5:$D$16))</f>
        <v>0</v>
      </c>
      <c r="S28" s="105">
        <f t="shared" ca="1" si="2"/>
        <v>0</v>
      </c>
      <c r="T28" s="105" t="str">
        <f ca="1">IF(Q28=0,"",IF($I$10&gt;0,$I$10,IF(COUNTIF($F$24:$F$169,"no")&gt;0,"",S28*(1-0.95))))</f>
        <v/>
      </c>
      <c r="U28" s="105">
        <f ca="1">IF($J$10&gt;0,"",IF($D$9&gt;0,$D$9*R28*((100-$W$30)/100)/2000,IF($D$10&gt;0,$D$10*365*R28*((100-$W$30)/100)/2000,IF($D$11&gt;0,$D$11*365*R28*((100-$W$30)/100)*Q28/2000,IF(T28="",S28*8760/2000,T28*8760/2000)))))</f>
        <v>0</v>
      </c>
      <c r="V28" s="113">
        <f ca="1">(R28*N181)</f>
        <v>0</v>
      </c>
    </row>
    <row r="29" spans="1:23" ht="14.25" customHeight="1" x14ac:dyDescent="0.25">
      <c r="A29" s="138" t="s">
        <v>196</v>
      </c>
      <c r="B29" s="45" t="str">
        <f>IF(COUNTIF(J21:J30,"Cement Supplement Delivery to Silo")&gt;0,"EP-3 Cement Supplement Silo Stack:","")</f>
        <v/>
      </c>
      <c r="C29" s="221"/>
      <c r="D29" s="221"/>
      <c r="E29" s="221"/>
      <c r="F29" s="221"/>
      <c r="G29" s="45"/>
      <c r="H29" s="126" t="str">
        <f t="shared" si="4"/>
        <v/>
      </c>
      <c r="I29" s="126" t="str">
        <f t="shared" si="0"/>
        <v/>
      </c>
      <c r="J29" s="82"/>
      <c r="K29" s="61"/>
      <c r="L29" s="156"/>
      <c r="M29" s="219" t="str">
        <f t="shared" si="5"/>
        <v/>
      </c>
      <c r="N29" s="219" t="str">
        <f t="shared" si="6"/>
        <v/>
      </c>
      <c r="P29" s="90" t="s">
        <v>198</v>
      </c>
      <c r="Q29" s="105">
        <f t="shared" ca="1" si="1"/>
        <v>0</v>
      </c>
      <c r="R29" s="111">
        <f ca="1">IF(Q29=0,0,LOOKUP(P29,'Emission Factors'!$A$5:$A$16,'Emission Factors'!$D$5:$D$16))</f>
        <v>0</v>
      </c>
      <c r="S29" s="105">
        <f t="shared" ca="1" si="2"/>
        <v>0</v>
      </c>
      <c r="T29" s="105" t="str">
        <f ca="1">IF(Q29=0,"",IF($I$10&gt;0,$I$10,IF(COUNTIF($F$24:$F$169,"no")&gt;0,"",S29*(1-0.95))))</f>
        <v/>
      </c>
      <c r="U29" s="105">
        <f ca="1">IF($J$10&gt;0,"",IF($D$9&gt;0,$D$9*R29*((100-$W$30)/100)/2000,IF($D$10&gt;0,$D$10*365*R29*((100-$W$30)/100)/2000,IF($D$11&gt;0,$D$11*365*R29*((100-$W$30)/100)*Q29/2000,IF(T29="",S29*8760/2000,T29*8760/2000)))))</f>
        <v>0</v>
      </c>
      <c r="V29" s="113">
        <f ca="1">(R29*M181)</f>
        <v>0</v>
      </c>
    </row>
    <row r="30" spans="1:23" ht="14.25" customHeight="1" x14ac:dyDescent="0.25">
      <c r="A30" s="138" t="s">
        <v>203</v>
      </c>
      <c r="B30" s="45" t="str">
        <f>IF(COUNTIF(J21:J30,"Weigh Hopper Loading")&gt;0,"EP-4 Weigh Hopper Loading Stack:","")</f>
        <v/>
      </c>
      <c r="C30" s="221"/>
      <c r="D30" s="221"/>
      <c r="E30" s="221"/>
      <c r="F30" s="221"/>
      <c r="H30" s="126" t="str">
        <f t="shared" si="4"/>
        <v/>
      </c>
      <c r="I30" s="126" t="str">
        <f t="shared" si="0"/>
        <v/>
      </c>
      <c r="J30" s="82"/>
      <c r="K30" s="61"/>
      <c r="L30" s="156"/>
      <c r="M30" s="219" t="str">
        <f t="shared" si="5"/>
        <v/>
      </c>
      <c r="N30" s="219" t="str">
        <f t="shared" si="6"/>
        <v/>
      </c>
      <c r="P30" s="90" t="s">
        <v>199</v>
      </c>
      <c r="Q30" s="105">
        <f t="shared" ca="1" si="1"/>
        <v>0</v>
      </c>
      <c r="R30" s="111">
        <f ca="1">IF(Q30=0,0,LOOKUP(P30,'Emission Factors'!$A$5:$A$16,'Emission Factors'!$D$5:$D$16))</f>
        <v>0</v>
      </c>
      <c r="S30" s="148"/>
      <c r="T30" s="105">
        <f ca="1">IF(Q30=0,0,IF($I$10&gt;0,$I$10,Q30*R30))</f>
        <v>0</v>
      </c>
      <c r="U30" s="105">
        <f ca="1">IF($J$10&gt;0,"",IF($D$9&gt;0,$D$9*R30/2000,IF($D$10&gt;0,$D$10*365*R30/2000,IF($D$11&gt;0,$D$11*365*R30*Q30/2000,IF($I$10&gt;0,0,T30*8760/2000)))))</f>
        <v>0</v>
      </c>
      <c r="V30" s="113">
        <f ca="1">(R13*R30/2000)</f>
        <v>0</v>
      </c>
      <c r="W30" s="67">
        <f>IF(COUNTIF($F$24:$F$169,"no")&gt;0,0,95)</f>
        <v>95</v>
      </c>
    </row>
    <row r="31" spans="1:23" ht="14.25" customHeight="1" x14ac:dyDescent="0.25">
      <c r="A31" s="138" t="s">
        <v>197</v>
      </c>
      <c r="B31" s="45" t="str">
        <f>IF(COUNTIF(J21:J30,"Truck Mix Loading")&gt;0,"EP-5 Truck Mix Loading Stack:","")</f>
        <v/>
      </c>
      <c r="C31" s="221"/>
      <c r="D31" s="221"/>
      <c r="E31" s="221"/>
      <c r="F31" s="221"/>
      <c r="G31" s="76"/>
      <c r="H31" s="45"/>
      <c r="I31" s="45"/>
      <c r="P31" s="90" t="s">
        <v>200</v>
      </c>
      <c r="Q31" s="105">
        <f t="shared" ca="1" si="1"/>
        <v>0</v>
      </c>
      <c r="R31" s="111">
        <f ca="1">IF(Q31=0,0,LOOKUP(P31,'Emission Factors'!$A$5:$A$16,'Emission Factors'!$D$5:$D$16))</f>
        <v>0</v>
      </c>
      <c r="S31" s="148"/>
      <c r="T31" s="105">
        <f ca="1">IF(Q31=0,0,IF($I$10&gt;0,$I$10,Q31*R31))</f>
        <v>0</v>
      </c>
      <c r="U31" s="105">
        <f ca="1">IF($J$10&gt;0,"",IF($D$9&gt;0,$D$9*R31/2000,IF($D$10&gt;0,$D$10*365*R31/2000,IF($D$11&gt;0,$D$11*365*R31*Q31/2000,IF($I$10&gt;0,0,T31*8760/2000)))))</f>
        <v>0</v>
      </c>
      <c r="V31" s="113">
        <f ca="1">(R14*R31/2000)</f>
        <v>0</v>
      </c>
    </row>
    <row r="32" spans="1:23" ht="14.25" customHeight="1" x14ac:dyDescent="0.25">
      <c r="A32" s="138" t="s">
        <v>198</v>
      </c>
      <c r="B32" s="45" t="str">
        <f>IF(COUNTIF(J21:J30,"Central Mix Loading")&gt;0,"EP-6 Central Mix Loading Stack:","")</f>
        <v/>
      </c>
      <c r="C32" s="221"/>
      <c r="D32" s="221"/>
      <c r="E32" s="221"/>
      <c r="F32" s="221"/>
      <c r="H32" s="74" t="s">
        <v>85</v>
      </c>
      <c r="I32" s="74"/>
      <c r="J32" s="75"/>
    </row>
    <row r="33" spans="1:23" ht="14.25" customHeight="1" x14ac:dyDescent="0.25">
      <c r="A33" s="138" t="s">
        <v>199</v>
      </c>
      <c r="B33" s="73"/>
      <c r="C33" s="163"/>
      <c r="D33" s="163"/>
      <c r="E33" s="163"/>
      <c r="F33" s="176"/>
      <c r="I33" s="77" t="s">
        <v>61</v>
      </c>
      <c r="J33" s="43" t="s">
        <v>86</v>
      </c>
      <c r="K33" s="142" t="s">
        <v>87</v>
      </c>
      <c r="L33" s="43" t="s">
        <v>88</v>
      </c>
      <c r="M33" s="146"/>
      <c r="N33" s="146"/>
    </row>
    <row r="34" spans="1:23" ht="14.25" customHeight="1" x14ac:dyDescent="0.25">
      <c r="A34" s="138" t="s">
        <v>200</v>
      </c>
      <c r="B34" s="73"/>
      <c r="C34" s="163"/>
      <c r="D34" s="163"/>
      <c r="E34" s="163"/>
      <c r="F34" s="176"/>
      <c r="I34" s="63"/>
      <c r="J34" s="144"/>
      <c r="K34" s="64"/>
      <c r="L34" s="144"/>
      <c r="M34" s="146"/>
      <c r="N34" s="146"/>
      <c r="P34" s="89" t="s">
        <v>17</v>
      </c>
      <c r="Q34" s="107"/>
      <c r="R34" s="112"/>
      <c r="S34" s="108"/>
      <c r="T34" s="108"/>
      <c r="U34" s="108"/>
      <c r="V34" s="114"/>
    </row>
    <row r="35" spans="1:23" ht="14.25" customHeight="1" x14ac:dyDescent="0.2">
      <c r="B35" s="73"/>
      <c r="C35" s="163"/>
      <c r="D35" s="163"/>
      <c r="E35" s="163"/>
      <c r="F35" s="176"/>
      <c r="P35" s="90" t="s">
        <v>191</v>
      </c>
      <c r="Q35" s="105">
        <f t="shared" ref="Q35:Q45" ca="1" si="9">Q4</f>
        <v>0</v>
      </c>
      <c r="R35" s="111">
        <f ca="1">IF(Q35=0,0,LOOKUP(P35,'Emission Factors'!$A$5:$A$16,'Emission Factors'!$H$5:$H$16))</f>
        <v>0</v>
      </c>
      <c r="S35" s="105">
        <f t="shared" ref="S35" ca="1" si="10">Q35*R35</f>
        <v>0</v>
      </c>
      <c r="T35" s="105" t="str">
        <f ca="1">IF(Q35=0,"",IF($I$11&gt;0,$I$11,""))</f>
        <v/>
      </c>
      <c r="U35" s="105">
        <f ca="1">IF($J$11&gt;0,$J$11,IF($D$9&gt;0,$D$9*R35/2000,IF($D$10&gt;0,$D$10*365*R35/2000,IF($D$11&gt;0,$D$11*365*R35*Q35/2000,IF(T35="",S35*8760/2000,T35*8760/2000)))))</f>
        <v>0</v>
      </c>
      <c r="V35" s="113">
        <f t="shared" ref="V35:V41" ca="1" si="11">(R4*R35/2000)</f>
        <v>0</v>
      </c>
    </row>
    <row r="36" spans="1:23" ht="14.25" customHeight="1" x14ac:dyDescent="0.2">
      <c r="B36" s="45"/>
      <c r="F36" s="177"/>
      <c r="G36" s="45"/>
      <c r="P36" s="90" t="s">
        <v>192</v>
      </c>
      <c r="Q36" s="105">
        <f t="shared" ca="1" si="9"/>
        <v>0</v>
      </c>
      <c r="R36" s="111">
        <f ca="1">IF(Q36=0,0,LOOKUP(P36,'Emission Factors'!$A$5:$A$16,'Emission Factors'!$H$5:$H$16))</f>
        <v>0</v>
      </c>
      <c r="S36" s="109">
        <f t="shared" ref="S36:S43" ca="1" si="12">Q36*R36</f>
        <v>0</v>
      </c>
      <c r="T36" s="105" t="str">
        <f t="shared" ref="T36:T41" ca="1" si="13">IF(Q36=0,"",IF($I$11&gt;0,$I$11,""))</f>
        <v/>
      </c>
      <c r="U36" s="105">
        <f t="shared" ref="U36:U41" ca="1" si="14">IF($J$11&gt;0,"",IF($D$9&gt;0,$D$9*R36/2000,IF($D$10&gt;0,$D$10*365*R36/2000,IF($D$11&gt;0,$D$11*365*R36*Q36/2000,IF(T36="",S36*8760/2000,T36*8760/2000)))))</f>
        <v>0</v>
      </c>
      <c r="V36" s="113">
        <f t="shared" ca="1" si="11"/>
        <v>0</v>
      </c>
    </row>
    <row r="37" spans="1:23" ht="27" customHeight="1" x14ac:dyDescent="0.25">
      <c r="B37" s="78" t="str">
        <f>IF('Concrete Plant (CP-7)'!$D$4&gt;1,"Batch Plant","")</f>
        <v/>
      </c>
      <c r="C37" s="71" t="str">
        <f>IF('Concrete Plant (CP-7)'!$D$4&gt;1,"Site 2","")</f>
        <v/>
      </c>
      <c r="D37" s="71"/>
      <c r="E37" s="71"/>
      <c r="F37" s="71"/>
      <c r="G37" s="45"/>
      <c r="H37" s="310" t="str">
        <f>IF('Concrete Plant (CP-7)'!$D$4&gt;1,"Emission Point #","")</f>
        <v/>
      </c>
      <c r="I37" s="310" t="str">
        <f>IF('Concrete Plant (CP-7)'!$D$4&gt;1,"Emission     Unit #","")</f>
        <v/>
      </c>
      <c r="J37" s="310" t="str">
        <f>IF('Concrete Plant (CP-7)'!$D$4&gt;1,"Processes","")</f>
        <v/>
      </c>
      <c r="K37" s="311" t="str">
        <f>IF('Concrete Plant (CP-7)'!$D$4&gt;1,"Combined Maximum Hourly Design Rate for all Like Processes (cubic yard/hr)","")</f>
        <v/>
      </c>
      <c r="L37" s="310" t="str">
        <f>IF('Concrete Plant (CP-7)'!$D$4&gt;1,('Facility Information'!G5&amp;" Annual Throughput (cubic yards)"),"")</f>
        <v/>
      </c>
      <c r="M37" s="217"/>
      <c r="N37" s="217"/>
      <c r="P37" s="90" t="s">
        <v>193</v>
      </c>
      <c r="Q37" s="105">
        <f t="shared" ca="1" si="9"/>
        <v>0</v>
      </c>
      <c r="R37" s="111">
        <f ca="1">IF(Q37=0,0,LOOKUP(P37,'Emission Factors'!$A$5:$A$16,'Emission Factors'!$H$5:$H$16))</f>
        <v>0</v>
      </c>
      <c r="S37" s="105">
        <f t="shared" ca="1" si="12"/>
        <v>0</v>
      </c>
      <c r="T37" s="105" t="str">
        <f t="shared" ca="1" si="13"/>
        <v/>
      </c>
      <c r="U37" s="105">
        <f t="shared" ca="1" si="14"/>
        <v>0</v>
      </c>
      <c r="V37" s="113">
        <f t="shared" ca="1" si="11"/>
        <v>0</v>
      </c>
    </row>
    <row r="38" spans="1:23" ht="14.25" customHeight="1" x14ac:dyDescent="0.2">
      <c r="B38" s="79" t="str">
        <f>IF('Concrete Plant (CP-7)'!$D$4&gt;1,"Site Name:","")</f>
        <v/>
      </c>
      <c r="C38" s="349"/>
      <c r="D38" s="356"/>
      <c r="E38" s="357"/>
      <c r="F38" s="175"/>
      <c r="G38" s="45"/>
      <c r="H38" s="127" t="str">
        <f>IF(J38="cement delivery to silo","CP-1 EP-2",IF(J38="cement supplement delivery to silo","CP-1 EP-3",IF(J38="weigh hopper loading","CP-1 EP-4",IF(J38="truck mix loading","CP-1 EP-5",IF(J38="central mix loading","CP-1 EP-6",IF(J38="","","CP-1 EP-1"))))))</f>
        <v/>
      </c>
      <c r="I38" s="127" t="str">
        <f t="shared" ref="I38:I47" si="15">IF(J38="","",IF(J38="aggregate delivery to ground storage","CP-7 EU-1",IF(J38="sand delivery to ground storage","CP-7 EU-2",IF(J38="aggregate transfer to conveyor","CP-7 EU-3",IF(J38="sand transfer to conveyor","CP-7 EU-4",IF(J38="aggregate transfer to elevated storage","CP-7 EU-5",IF(J38="sand transfer to elevated storage","CP-7 EU-6",IF(J38="weigh hopper loading","CP-7 EU-7",IF(J38="central mix loading","CP-7 EU-8",IF(J38="truck mix loading","CP-7 EU-9",IF(J38="cement delivery to silo","CP-7 EU-10",IF(J38="cement supplement delivery to silo","CP-7 EU-11"))))))))))))</f>
        <v/>
      </c>
      <c r="J38" s="82"/>
      <c r="K38" s="61"/>
      <c r="L38" s="156"/>
      <c r="M38" s="219" t="str">
        <f>IF(J38="truck mix loading",IF($F$41="yes",L38*0.05/2000,L38/2000),"")</f>
        <v/>
      </c>
      <c r="N38" s="219" t="str">
        <f>IF(J38="central mix loading",IF($F$41="yes",L38*0.05/2000,L38/2000),"")</f>
        <v/>
      </c>
      <c r="P38" s="90" t="s">
        <v>194</v>
      </c>
      <c r="Q38" s="105">
        <f t="shared" ca="1" si="9"/>
        <v>0</v>
      </c>
      <c r="R38" s="111">
        <f ca="1">IF(Q38=0,0,LOOKUP(P38,'Emission Factors'!$A$5:$A$16,'Emission Factors'!$H$5:$H$16))</f>
        <v>0</v>
      </c>
      <c r="S38" s="105">
        <f t="shared" ca="1" si="12"/>
        <v>0</v>
      </c>
      <c r="T38" s="105" t="str">
        <f t="shared" ca="1" si="13"/>
        <v/>
      </c>
      <c r="U38" s="105">
        <f t="shared" ca="1" si="14"/>
        <v>0</v>
      </c>
      <c r="V38" s="113">
        <f t="shared" ca="1" si="11"/>
        <v>0</v>
      </c>
    </row>
    <row r="39" spans="1:23" ht="14.25" customHeight="1" x14ac:dyDescent="0.2">
      <c r="B39" s="79" t="str">
        <f>IF('Concrete Plant (CP-7)'!$D$4&gt;1,"County:","")</f>
        <v/>
      </c>
      <c r="C39" s="339"/>
      <c r="D39" s="342"/>
      <c r="E39" s="343"/>
      <c r="F39" s="175"/>
      <c r="G39" s="45"/>
      <c r="H39" s="127" t="str">
        <f t="shared" ref="H39:H47" si="16">IF(J39="cement delivery to silo","CP-1 EP-2",IF(J39="cement supplement delivery to silo","CP-1 EP-3",IF(J39="weigh hopper loading","CP-1 EP-4",IF(J39="truck mix loading","CP-1 EP-5",IF(J39="central mix loading","CP-1 EP-6",IF(J39="","","CP-1 EP-1"))))))</f>
        <v/>
      </c>
      <c r="I39" s="127" t="str">
        <f t="shared" si="15"/>
        <v/>
      </c>
      <c r="J39" s="82"/>
      <c r="K39" s="61"/>
      <c r="L39" s="156"/>
      <c r="M39" s="219" t="str">
        <f t="shared" ref="M39:M47" si="17">IF(J39="truck mix loading",IF($F$41="yes",L39*0.05/2000,L39/2000),"")</f>
        <v/>
      </c>
      <c r="N39" s="219" t="str">
        <f t="shared" ref="N39:N47" si="18">IF(J39="central mix loading",IF($F$41="yes",L39*0.05/2000,L39/2000),"")</f>
        <v/>
      </c>
      <c r="P39" s="90" t="s">
        <v>195</v>
      </c>
      <c r="Q39" s="105">
        <f t="shared" ca="1" si="9"/>
        <v>0</v>
      </c>
      <c r="R39" s="111">
        <f ca="1">IF(Q39=0,0,LOOKUP(P39,'Emission Factors'!$A$5:$A$16,'Emission Factors'!$H$5:$H$16))</f>
        <v>0</v>
      </c>
      <c r="S39" s="105">
        <f t="shared" ca="1" si="12"/>
        <v>0</v>
      </c>
      <c r="T39" s="105" t="str">
        <f t="shared" ca="1" si="13"/>
        <v/>
      </c>
      <c r="U39" s="105">
        <f t="shared" ca="1" si="14"/>
        <v>0</v>
      </c>
      <c r="V39" s="113">
        <f t="shared" ca="1" si="11"/>
        <v>0</v>
      </c>
    </row>
    <row r="40" spans="1:23" ht="14.25" customHeight="1" x14ac:dyDescent="0.2">
      <c r="B40" s="79" t="str">
        <f>IF('Concrete Plant (CP-7)'!$D$4&gt;1,"Batching Period (Dates):","")</f>
        <v/>
      </c>
      <c r="C40" s="352"/>
      <c r="D40" s="358"/>
      <c r="E40" s="359"/>
      <c r="F40" s="175"/>
      <c r="G40" s="45"/>
      <c r="H40" s="127" t="str">
        <f t="shared" si="16"/>
        <v/>
      </c>
      <c r="I40" s="127" t="str">
        <f t="shared" si="15"/>
        <v/>
      </c>
      <c r="J40" s="82"/>
      <c r="K40" s="61"/>
      <c r="L40" s="156"/>
      <c r="M40" s="219" t="str">
        <f t="shared" si="17"/>
        <v/>
      </c>
      <c r="N40" s="219" t="str">
        <f t="shared" si="18"/>
        <v/>
      </c>
      <c r="P40" s="90" t="s">
        <v>196</v>
      </c>
      <c r="Q40" s="105">
        <f t="shared" ca="1" si="9"/>
        <v>0</v>
      </c>
      <c r="R40" s="111">
        <f ca="1">IF(Q40=0,0,LOOKUP(P40,'Emission Factors'!$A$5:$A$16,'Emission Factors'!$H$5:$H$16))</f>
        <v>0</v>
      </c>
      <c r="S40" s="105">
        <f t="shared" ca="1" si="12"/>
        <v>0</v>
      </c>
      <c r="T40" s="105" t="str">
        <f t="shared" ca="1" si="13"/>
        <v/>
      </c>
      <c r="U40" s="105">
        <f t="shared" ca="1" si="14"/>
        <v>0</v>
      </c>
      <c r="V40" s="113">
        <f t="shared" ca="1" si="11"/>
        <v>0</v>
      </c>
    </row>
    <row r="41" spans="1:23" ht="14.25" customHeight="1" x14ac:dyDescent="0.2">
      <c r="B41" s="51" t="str">
        <f>IF(OR(COUNTIF(J38:J47,"Truck Mix Loading")&gt;0,(COUNTIF(J38:J47,"Central Mix Loading")&gt;0)),"Is the Central/Truck Mix Loading process controlled by a baghouse?","")</f>
        <v/>
      </c>
      <c r="C41" s="51"/>
      <c r="D41" s="51"/>
      <c r="E41" s="51"/>
      <c r="F41" s="221"/>
      <c r="G41" s="45"/>
      <c r="H41" s="127" t="str">
        <f t="shared" si="16"/>
        <v/>
      </c>
      <c r="I41" s="127" t="str">
        <f t="shared" si="15"/>
        <v/>
      </c>
      <c r="J41" s="82"/>
      <c r="K41" s="61"/>
      <c r="L41" s="156"/>
      <c r="M41" s="219" t="str">
        <f t="shared" si="17"/>
        <v/>
      </c>
      <c r="N41" s="219" t="str">
        <f t="shared" si="18"/>
        <v/>
      </c>
      <c r="P41" s="90" t="s">
        <v>203</v>
      </c>
      <c r="Q41" s="105">
        <f t="shared" ca="1" si="9"/>
        <v>0</v>
      </c>
      <c r="R41" s="111">
        <f ca="1">IF(Q41=0,0,LOOKUP(P41,'Emission Factors'!$A$5:$A$16,'Emission Factors'!$H$5:$H$16))</f>
        <v>0</v>
      </c>
      <c r="S41" s="105">
        <f t="shared" ca="1" si="12"/>
        <v>0</v>
      </c>
      <c r="T41" s="105" t="str">
        <f t="shared" ca="1" si="13"/>
        <v/>
      </c>
      <c r="U41" s="105">
        <f t="shared" ca="1" si="14"/>
        <v>0</v>
      </c>
      <c r="V41" s="113">
        <f t="shared" ca="1" si="11"/>
        <v>0</v>
      </c>
      <c r="W41" s="67">
        <f>IF(COUNTIF($F$24:$F$169,"no")&gt;0,0,95)</f>
        <v>95</v>
      </c>
    </row>
    <row r="42" spans="1:23" ht="14.25" customHeight="1" x14ac:dyDescent="0.2">
      <c r="F42" s="177"/>
      <c r="G42" s="45"/>
      <c r="H42" s="127" t="str">
        <f t="shared" si="16"/>
        <v/>
      </c>
      <c r="I42" s="127" t="str">
        <f t="shared" si="15"/>
        <v/>
      </c>
      <c r="J42" s="82"/>
      <c r="K42" s="61"/>
      <c r="L42" s="156"/>
      <c r="M42" s="219" t="str">
        <f t="shared" si="17"/>
        <v/>
      </c>
      <c r="N42" s="219" t="str">
        <f t="shared" si="18"/>
        <v/>
      </c>
      <c r="P42" s="90" t="s">
        <v>197</v>
      </c>
      <c r="Q42" s="105">
        <f t="shared" ca="1" si="9"/>
        <v>0</v>
      </c>
      <c r="R42" s="111">
        <f ca="1">IF(Q42=0,0,LOOKUP(P42,'Emission Factors'!$A$5:$A$16,'Emission Factors'!$H$5:$H$16))</f>
        <v>0</v>
      </c>
      <c r="S42" s="105">
        <f t="shared" ca="1" si="12"/>
        <v>0</v>
      </c>
      <c r="T42" s="105" t="str">
        <f ca="1">IF(Q42=0,"",IF($I$11&gt;0,$I$11,IF(COUNTIF($F$24:$F$169,"no")&gt;0,"",S42*(1-0.95))))</f>
        <v/>
      </c>
      <c r="U42" s="105">
        <f ca="1">IF($J$11&gt;0,"",IF($D$9&gt;0,$D$9*R42*((100-$W$30)/100)/2000,IF($D$10&gt;0,$D$10*365*R42*((100-$W$30)/100)/2000,IF($D$11&gt;0,$D$11*365*R42*((100-$W$30)/100)*Q42/2000,IF(T42="",S42*8760/2000,T42*8760/2000)))))</f>
        <v>0</v>
      </c>
      <c r="V42" s="113">
        <f ca="1">(N181*R42)</f>
        <v>0</v>
      </c>
    </row>
    <row r="43" spans="1:23" ht="28.5" customHeight="1" x14ac:dyDescent="0.2">
      <c r="B43" s="312" t="str">
        <f>IF(AND(B45="",B46="",B47="",B48="",B49=""),"","Process (complete stack information if applicable):")</f>
        <v/>
      </c>
      <c r="C43" s="312" t="str">
        <f>IF(AND(B45="",B46="",B47="",B48="",B49=""),"","Stack Height (ft):")</f>
        <v/>
      </c>
      <c r="D43" s="312" t="str">
        <f>IF(AND(B45="",B46="",B47="",B48="",B49=""),"","Stack Diameter (inches):")</f>
        <v/>
      </c>
      <c r="E43" s="312" t="str">
        <f>IF(AND(B45="",B46="",B47="",B48="",B49=""),"","Flow Rate (acfm):")</f>
        <v/>
      </c>
      <c r="F43" s="312" t="str">
        <f>IF(AND(B45="",B46="",B47="",B48="",B49=""),"","Temp (Deg F):")</f>
        <v/>
      </c>
      <c r="G43" s="45"/>
      <c r="H43" s="127" t="str">
        <f t="shared" si="16"/>
        <v/>
      </c>
      <c r="I43" s="127" t="str">
        <f t="shared" si="15"/>
        <v/>
      </c>
      <c r="J43" s="82"/>
      <c r="K43" s="61"/>
      <c r="L43" s="156"/>
      <c r="M43" s="219" t="str">
        <f t="shared" si="17"/>
        <v/>
      </c>
      <c r="N43" s="219" t="str">
        <f t="shared" si="18"/>
        <v/>
      </c>
      <c r="P43" s="90" t="s">
        <v>198</v>
      </c>
      <c r="Q43" s="105">
        <f t="shared" ca="1" si="9"/>
        <v>0</v>
      </c>
      <c r="R43" s="111">
        <f ca="1">IF(Q43=0,0,LOOKUP(P43,'Emission Factors'!$A$5:$A$16,'Emission Factors'!$H$5:$H$16))</f>
        <v>0</v>
      </c>
      <c r="S43" s="105">
        <f t="shared" ca="1" si="12"/>
        <v>0</v>
      </c>
      <c r="T43" s="105" t="str">
        <f ca="1">IF(Q43=0,"",IF($I$11&gt;0,$I$11,IF(COUNTIF($F$24:$F$169,"no")&gt;0,"",S43*(1-0.95))))</f>
        <v/>
      </c>
      <c r="U43" s="105">
        <f ca="1">IF($J$11&gt;0,"",IF($D$9&gt;0,$D$9*R43*((100-$W$30)/100)/2000,IF($D$10&gt;0,$D$10*365*R43*((100-$W$30)/100)/2000,IF($D$11&gt;0,$D$11*365*R43*((100-$W$30)/100)*Q43/2000,IF(T43="",S43*8760/2000,T43*8760/2000)))))</f>
        <v>0</v>
      </c>
      <c r="V43" s="113">
        <f ca="1">(M181*R43)</f>
        <v>0</v>
      </c>
    </row>
    <row r="44" spans="1:23" ht="14.25" customHeight="1" x14ac:dyDescent="0.2">
      <c r="B44" s="312"/>
      <c r="C44" s="312"/>
      <c r="D44" s="312"/>
      <c r="E44" s="312"/>
      <c r="F44" s="312"/>
      <c r="G44" s="45"/>
      <c r="H44" s="127" t="str">
        <f t="shared" si="16"/>
        <v/>
      </c>
      <c r="I44" s="127" t="str">
        <f t="shared" si="15"/>
        <v/>
      </c>
      <c r="J44" s="82"/>
      <c r="K44" s="61"/>
      <c r="L44" s="156"/>
      <c r="M44" s="219" t="str">
        <f t="shared" si="17"/>
        <v/>
      </c>
      <c r="N44" s="219" t="str">
        <f t="shared" si="18"/>
        <v/>
      </c>
      <c r="P44" s="90" t="s">
        <v>199</v>
      </c>
      <c r="Q44" s="105">
        <f t="shared" ca="1" si="9"/>
        <v>0</v>
      </c>
      <c r="R44" s="111">
        <f ca="1">IF(Q44=0,0,LOOKUP(P44,'Emission Factors'!$A$5:$A$16,'Emission Factors'!$H$5:$H$16))</f>
        <v>0</v>
      </c>
      <c r="S44" s="148"/>
      <c r="T44" s="105">
        <f ca="1">IF(Q44=0,0,IF($I$10&gt;0,$I$10,Q44*R44))</f>
        <v>0</v>
      </c>
      <c r="U44" s="105">
        <f ca="1">IF($J$11&gt;0,"",IF($D$9&gt;0,$D$9*R44/2000,IF($D$10&gt;0,$D$10*365*R44/2000,IF($D$11&gt;0,$D$11*365*R44*Q44/2000,IF($I$11&gt;0,0,T44*8760/2000)))))</f>
        <v>0</v>
      </c>
      <c r="V44" s="113">
        <f ca="1">(R13*R44/2000)</f>
        <v>0</v>
      </c>
    </row>
    <row r="45" spans="1:23" ht="14.25" customHeight="1" x14ac:dyDescent="0.2">
      <c r="B45" s="45" t="str">
        <f>IF(COUNTIF(J38:J47,"Cement Delivery to Silo")&gt;0,"EP-2 Cement Silo Stack:","")</f>
        <v/>
      </c>
      <c r="C45" s="221"/>
      <c r="D45" s="221"/>
      <c r="E45" s="221"/>
      <c r="F45" s="221"/>
      <c r="H45" s="127" t="str">
        <f t="shared" si="16"/>
        <v/>
      </c>
      <c r="I45" s="127" t="str">
        <f t="shared" si="15"/>
        <v/>
      </c>
      <c r="J45" s="82"/>
      <c r="K45" s="61"/>
      <c r="L45" s="156"/>
      <c r="M45" s="219" t="str">
        <f t="shared" si="17"/>
        <v/>
      </c>
      <c r="N45" s="219" t="str">
        <f t="shared" si="18"/>
        <v/>
      </c>
      <c r="P45" s="90" t="s">
        <v>200</v>
      </c>
      <c r="Q45" s="105">
        <f t="shared" ca="1" si="9"/>
        <v>0</v>
      </c>
      <c r="R45" s="111">
        <f ca="1">IF(Q45=0,0,LOOKUP(P45,'Emission Factors'!$A$5:$A$16,'Emission Factors'!$H$5:$H$16))</f>
        <v>0</v>
      </c>
      <c r="S45" s="148"/>
      <c r="T45" s="105">
        <f ca="1">IF(Q45=0,0,IF($I$10&gt;0,$I$10,Q45*R45))</f>
        <v>0</v>
      </c>
      <c r="U45" s="105">
        <f ca="1">IF($J$11&gt;0,"",IF($D$9&gt;0,$D$9*R45/2000,IF($D$10&gt;0,$D$10*365*R45/2000,IF($D$11&gt;0,$D$11*365*R45*Q45/2000,IF($I$11&gt;0,0,T45*8760/2000)))))</f>
        <v>0</v>
      </c>
      <c r="V45" s="113">
        <f ca="1">(R14*R45/2000)</f>
        <v>0</v>
      </c>
    </row>
    <row r="46" spans="1:23" ht="14.25" customHeight="1" x14ac:dyDescent="0.2">
      <c r="B46" s="45" t="str">
        <f>IF(COUNTIF(J38:J47,"Cement Supplement Delivery to Silo")&gt;0,"EP-3 Cement Supplement Silo Stack:","")</f>
        <v/>
      </c>
      <c r="C46" s="221"/>
      <c r="D46" s="221"/>
      <c r="E46" s="221"/>
      <c r="F46" s="221"/>
      <c r="G46" s="76"/>
      <c r="H46" s="127" t="str">
        <f t="shared" si="16"/>
        <v/>
      </c>
      <c r="I46" s="127" t="str">
        <f t="shared" si="15"/>
        <v/>
      </c>
      <c r="J46" s="82"/>
      <c r="K46" s="61"/>
      <c r="L46" s="156"/>
      <c r="M46" s="219" t="str">
        <f t="shared" si="17"/>
        <v/>
      </c>
      <c r="N46" s="219" t="str">
        <f t="shared" si="18"/>
        <v/>
      </c>
      <c r="O46" s="76"/>
    </row>
    <row r="47" spans="1:23" ht="14.25" customHeight="1" x14ac:dyDescent="0.2">
      <c r="B47" s="45" t="str">
        <f>IF(COUNTIF(J38:J47,"Weigh Hopper Loading")&gt;0,"EP-4 Weigh Hopper Loading Stack:","")</f>
        <v/>
      </c>
      <c r="C47" s="221"/>
      <c r="D47" s="221"/>
      <c r="E47" s="221"/>
      <c r="F47" s="221"/>
      <c r="H47" s="127" t="str">
        <f t="shared" si="16"/>
        <v/>
      </c>
      <c r="I47" s="127" t="str">
        <f t="shared" si="15"/>
        <v/>
      </c>
      <c r="J47" s="82"/>
      <c r="K47" s="61"/>
      <c r="L47" s="156"/>
      <c r="M47" s="219" t="str">
        <f t="shared" si="17"/>
        <v/>
      </c>
      <c r="N47" s="219" t="str">
        <f t="shared" si="18"/>
        <v/>
      </c>
    </row>
    <row r="48" spans="1:23" ht="27" customHeight="1" x14ac:dyDescent="0.2">
      <c r="B48" s="45" t="str">
        <f>IF(COUNTIF(J38:J47,"Truck Mix Loading")&gt;0,"EP-5 Truck Mix Loading Stack:","")</f>
        <v/>
      </c>
      <c r="C48" s="221"/>
      <c r="D48" s="221"/>
      <c r="E48" s="221"/>
      <c r="F48" s="221"/>
      <c r="G48" s="146"/>
      <c r="H48" s="74" t="str">
        <f>IF('Concrete Plant (CP-7)'!$D$4&gt;1,"Stock Pile Area","")</f>
        <v/>
      </c>
      <c r="I48" s="74"/>
      <c r="J48" s="74"/>
      <c r="L48" s="76"/>
      <c r="P48" s="68" t="s">
        <v>40</v>
      </c>
      <c r="Q48" s="309" t="s">
        <v>151</v>
      </c>
      <c r="R48" s="309" t="s">
        <v>152</v>
      </c>
      <c r="S48" s="308" t="s">
        <v>147</v>
      </c>
      <c r="T48" s="308" t="s">
        <v>130</v>
      </c>
      <c r="U48" s="308" t="s">
        <v>14</v>
      </c>
      <c r="V48" s="308" t="s">
        <v>148</v>
      </c>
    </row>
    <row r="49" spans="2:22" ht="14.25" customHeight="1" x14ac:dyDescent="0.2">
      <c r="B49" s="45" t="str">
        <f>IF(COUNTIF(J38:J47,"Central Mix Loading")&gt;0,"EP-6 Central Mix Loading Stack:","")</f>
        <v/>
      </c>
      <c r="C49" s="221"/>
      <c r="D49" s="221"/>
      <c r="E49" s="221"/>
      <c r="F49" s="221"/>
      <c r="G49" s="71"/>
      <c r="I49" s="51" t="str">
        <f>IF('Concrete Plant (CP-7)'!$D$4&gt;1,"Emission Unit #","")</f>
        <v/>
      </c>
      <c r="J49" s="81" t="str">
        <f>IF('Concrete Plant (CP-7)'!$D$4&gt;1,"Maximum Storage Area (acres)","")</f>
        <v/>
      </c>
      <c r="K49" s="81" t="str">
        <f>IF('Concrete Plant (CP-7)'!$D$4&gt;1,"Actual Storage Area (acres)","")</f>
        <v/>
      </c>
      <c r="L49" s="81" t="str">
        <f>IF('Concrete Plant (CP-7)'!$D$4&gt;1,"Actual Days in Existence (days)","")</f>
        <v/>
      </c>
      <c r="M49" s="71"/>
      <c r="N49" s="71"/>
      <c r="P49" s="92" t="s">
        <v>153</v>
      </c>
      <c r="Q49" s="143">
        <f>Q17</f>
        <v>0</v>
      </c>
      <c r="R49" s="143">
        <v>3.64</v>
      </c>
      <c r="S49" s="143">
        <f>Q49*R49*(1/24)</f>
        <v>0</v>
      </c>
      <c r="T49" s="143"/>
      <c r="U49" s="143">
        <f>Q49*R49*365/2000</f>
        <v>0</v>
      </c>
      <c r="V49" s="143">
        <f>R17*R49/2000</f>
        <v>0</v>
      </c>
    </row>
    <row r="50" spans="2:22" ht="14.25" customHeight="1" x14ac:dyDescent="0.2">
      <c r="B50" s="73"/>
      <c r="C50" s="163"/>
      <c r="D50" s="163"/>
      <c r="E50" s="163"/>
      <c r="F50" s="176"/>
      <c r="I50" s="63"/>
      <c r="J50" s="144"/>
      <c r="K50" s="144"/>
      <c r="L50" s="144"/>
      <c r="M50" s="146"/>
      <c r="N50" s="146"/>
      <c r="Q50" s="68"/>
      <c r="R50" s="68"/>
      <c r="S50" s="68"/>
    </row>
    <row r="51" spans="2:22" ht="14.25" customHeight="1" x14ac:dyDescent="0.2">
      <c r="B51" s="71"/>
      <c r="C51" s="146"/>
      <c r="D51" s="146"/>
      <c r="E51" s="146"/>
      <c r="F51" s="146"/>
      <c r="G51" s="45"/>
      <c r="H51" s="71"/>
      <c r="I51" s="71"/>
      <c r="J51" s="71"/>
      <c r="K51" s="71"/>
    </row>
    <row r="52" spans="2:22" ht="29.25" customHeight="1" x14ac:dyDescent="0.25">
      <c r="B52" s="78" t="str">
        <f>IF('Concrete Plant (CP-7)'!$D$4&gt;2,"Batch Plant","")</f>
        <v/>
      </c>
      <c r="C52" s="71" t="str">
        <f>IF('Concrete Plant (CP-7)'!$D$4&gt;2,"Site 3","")</f>
        <v/>
      </c>
      <c r="D52" s="71"/>
      <c r="E52" s="71"/>
      <c r="F52" s="71"/>
      <c r="G52" s="45"/>
      <c r="H52" s="310" t="str">
        <f>IF('Concrete Plant (CP-7)'!$D$4&gt;2,"Emission Point #","")</f>
        <v/>
      </c>
      <c r="I52" s="310" t="str">
        <f>IF('Concrete Plant (CP-7)'!$D$4&gt;2,"Emission     Unit #","")</f>
        <v/>
      </c>
      <c r="J52" s="310" t="str">
        <f>IF('Concrete Plant (CP-7)'!$D$4&gt;2,"Processes","")</f>
        <v/>
      </c>
      <c r="K52" s="311" t="str">
        <f>IF('Concrete Plant (CP-7)'!$D$4&gt;2,"Combined Maximum Hourly Design Rate for all Like Processes (cubic yard/hr)","")</f>
        <v/>
      </c>
      <c r="L52" s="310" t="str">
        <f>IF('Concrete Plant (CP-7)'!$D$4&gt;2,('Facility Information'!G5&amp;" Annual Throughput (cubic yards)"),"")</f>
        <v/>
      </c>
      <c r="M52" s="217"/>
      <c r="N52" s="217"/>
    </row>
    <row r="53" spans="2:22" ht="14.25" customHeight="1" x14ac:dyDescent="0.2">
      <c r="B53" s="79" t="str">
        <f>IF('Concrete Plant (CP-7)'!$D$4&gt;2,"Site Name:","")</f>
        <v/>
      </c>
      <c r="C53" s="349"/>
      <c r="D53" s="356"/>
      <c r="E53" s="357"/>
      <c r="F53" s="175"/>
      <c r="G53" s="45"/>
      <c r="H53" s="127" t="str">
        <f>IF(J53="cement delivery to silo","CP-1 EP-2",IF(J53="cement supplement delivery to silo","CP-1 EP-3",IF(J53="weigh hopper loading","CP-1 EP-4",IF(J53="truck mix loading","CP-1 EP-5",IF(J53="central mix loading","CP-1 EP-6",IF(J53="","","CP-1 EP-1"))))))</f>
        <v/>
      </c>
      <c r="I53" s="127" t="str">
        <f t="shared" ref="I53:I62" si="19">IF(J53="","",IF(J53="aggregate delivery to ground storage","CP-7 EU-1",IF(J53="sand delivery to ground storage","CP-7 EU-2",IF(J53="aggregate transfer to conveyor","CP-7 EU-3",IF(J53="sand transfer to conveyor","CP-7 EU-4",IF(J53="aggregate transfer to elevated storage","CP-7 EU-5",IF(J53="sand transfer to elevated storage","CP-7 EU-6",IF(J53="weigh hopper loading","CP-7 EU-7",IF(J53="central mix loading","CP-7 EU-8",IF(J53="truck mix loading","CP-7 EU-9",IF(J53="cement delivery to silo","CP-7 EU-10",IF(J53="cement supplement delivery to silo","CP-7 EU-11"))))))))))))</f>
        <v/>
      </c>
      <c r="J53" s="82"/>
      <c r="K53" s="61"/>
      <c r="L53" s="156"/>
      <c r="M53" s="219" t="str">
        <f>IF(J53="truck mix loading",IF($F$56="yes",L53*0.05/2000,L53/2000),"")</f>
        <v/>
      </c>
      <c r="N53" s="219" t="str">
        <f>IF(J53="central mix loading",IF($F$56="yes",L53*0.05/2000,L53/2000),"")</f>
        <v/>
      </c>
      <c r="Q53" s="68"/>
      <c r="R53" s="68"/>
      <c r="S53" s="68"/>
    </row>
    <row r="54" spans="2:22" ht="14.25" customHeight="1" x14ac:dyDescent="0.2">
      <c r="B54" s="79" t="str">
        <f>IF('Concrete Plant (CP-7)'!$D$4&gt;2,"County:","")</f>
        <v/>
      </c>
      <c r="C54" s="339"/>
      <c r="D54" s="342"/>
      <c r="E54" s="343"/>
      <c r="F54" s="175"/>
      <c r="G54" s="45"/>
      <c r="H54" s="127" t="str">
        <f t="shared" ref="H54:H62" si="20">IF(J54="cement delivery to silo","CP-1 EP-2",IF(J54="cement supplement delivery to silo","CP-1 EP-3",IF(J54="weigh hopper loading","CP-1 EP-4",IF(J54="truck mix loading","CP-1 EP-5",IF(J54="central mix loading","CP-1 EP-6",IF(J54="","","CP-1 EP-1"))))))</f>
        <v/>
      </c>
      <c r="I54" s="127" t="str">
        <f t="shared" si="19"/>
        <v/>
      </c>
      <c r="J54" s="82"/>
      <c r="K54" s="61"/>
      <c r="L54" s="156"/>
      <c r="M54" s="219" t="str">
        <f t="shared" ref="M54:M62" si="21">IF(J54="truck mix loading",IF($F$56="yes",L54*0.05/2000,L54/2000),"")</f>
        <v/>
      </c>
      <c r="N54" s="219" t="str">
        <f t="shared" ref="N54:N62" si="22">IF(J54="central mix loading",IF($F$56="yes",L54*0.05/2000,L54/2000),"")</f>
        <v/>
      </c>
      <c r="Q54" s="68"/>
      <c r="R54" s="68"/>
      <c r="S54" s="68"/>
    </row>
    <row r="55" spans="2:22" ht="14.25" customHeight="1" x14ac:dyDescent="0.2">
      <c r="B55" s="79" t="str">
        <f>IF('Concrete Plant (CP-7)'!$D$4&gt;2,"Batching Period (Dates):","")</f>
        <v/>
      </c>
      <c r="C55" s="352"/>
      <c r="D55" s="358"/>
      <c r="E55" s="359"/>
      <c r="F55" s="175"/>
      <c r="G55" s="45"/>
      <c r="H55" s="127" t="str">
        <f t="shared" si="20"/>
        <v/>
      </c>
      <c r="I55" s="127" t="str">
        <f t="shared" si="19"/>
        <v/>
      </c>
      <c r="J55" s="82"/>
      <c r="K55" s="61"/>
      <c r="L55" s="156"/>
      <c r="M55" s="219" t="str">
        <f t="shared" si="21"/>
        <v/>
      </c>
      <c r="N55" s="219" t="str">
        <f t="shared" si="22"/>
        <v/>
      </c>
      <c r="Q55" s="68"/>
      <c r="R55" s="68"/>
      <c r="S55" s="68"/>
    </row>
    <row r="56" spans="2:22" ht="14.25" customHeight="1" x14ac:dyDescent="0.2">
      <c r="B56" s="51" t="str">
        <f>IF(OR(COUNTIF(J53:J62,"Truck Mix Loading")&gt;0,(COUNTIF(J53:J62,"Central Mix Loading")&gt;0)),"Is the Central/Truck Mix Loading process controlled by a baghouse?","")</f>
        <v/>
      </c>
      <c r="C56" s="51"/>
      <c r="D56" s="51"/>
      <c r="E56" s="51"/>
      <c r="F56" s="221"/>
      <c r="G56" s="45"/>
      <c r="H56" s="127" t="str">
        <f t="shared" si="20"/>
        <v/>
      </c>
      <c r="I56" s="127" t="str">
        <f t="shared" si="19"/>
        <v/>
      </c>
      <c r="J56" s="82"/>
      <c r="K56" s="61"/>
      <c r="L56" s="156"/>
      <c r="M56" s="219" t="str">
        <f t="shared" si="21"/>
        <v/>
      </c>
      <c r="N56" s="219" t="str">
        <f t="shared" si="22"/>
        <v/>
      </c>
      <c r="Q56" s="68"/>
      <c r="R56" s="68"/>
      <c r="S56" s="68"/>
    </row>
    <row r="57" spans="2:22" ht="14.25" customHeight="1" x14ac:dyDescent="0.2">
      <c r="F57" s="177"/>
      <c r="G57" s="45"/>
      <c r="H57" s="127" t="str">
        <f t="shared" si="20"/>
        <v/>
      </c>
      <c r="I57" s="127" t="str">
        <f t="shared" si="19"/>
        <v/>
      </c>
      <c r="J57" s="82"/>
      <c r="K57" s="61"/>
      <c r="L57" s="156"/>
      <c r="M57" s="219" t="str">
        <f t="shared" si="21"/>
        <v/>
      </c>
      <c r="N57" s="219" t="str">
        <f t="shared" si="22"/>
        <v/>
      </c>
      <c r="Q57" s="68"/>
      <c r="R57" s="68"/>
      <c r="S57" s="68"/>
    </row>
    <row r="58" spans="2:22" ht="27.75" customHeight="1" x14ac:dyDescent="0.2">
      <c r="B58" s="312" t="str">
        <f>IF(AND(B60="",B61="",B62="",B63="",B64=""),"","Process (complete stack information if applicable):")</f>
        <v/>
      </c>
      <c r="C58" s="312" t="str">
        <f>IF(AND(B60="",B61="",B62="",B63="",B64=""),"","Stack Height (ft):")</f>
        <v/>
      </c>
      <c r="D58" s="312" t="str">
        <f>IF(AND(B60="",B61="",B62="",B63="",B64=""),"","Stack Diameter (inches):")</f>
        <v/>
      </c>
      <c r="E58" s="312" t="str">
        <f>IF(AND(B60="",B61="",B62="",B63="",B64=""),"","Flow Rate (acfm):")</f>
        <v/>
      </c>
      <c r="F58" s="312" t="str">
        <f>IF(AND(B60="",B61="",B62="",B63="",B64=""),"","Temp (Deg F):")</f>
        <v/>
      </c>
      <c r="H58" s="127" t="str">
        <f t="shared" si="20"/>
        <v/>
      </c>
      <c r="I58" s="127" t="str">
        <f t="shared" si="19"/>
        <v/>
      </c>
      <c r="J58" s="82"/>
      <c r="K58" s="61"/>
      <c r="L58" s="156"/>
      <c r="M58" s="219" t="str">
        <f t="shared" si="21"/>
        <v/>
      </c>
      <c r="N58" s="219" t="str">
        <f t="shared" si="22"/>
        <v/>
      </c>
    </row>
    <row r="59" spans="2:22" ht="14.25" customHeight="1" x14ac:dyDescent="0.2">
      <c r="B59" s="312"/>
      <c r="C59" s="312"/>
      <c r="D59" s="312"/>
      <c r="E59" s="312"/>
      <c r="F59" s="312"/>
      <c r="G59" s="76"/>
      <c r="H59" s="127" t="str">
        <f t="shared" si="20"/>
        <v/>
      </c>
      <c r="I59" s="127" t="str">
        <f t="shared" si="19"/>
        <v/>
      </c>
      <c r="J59" s="82"/>
      <c r="K59" s="61"/>
      <c r="L59" s="156"/>
      <c r="M59" s="219" t="str">
        <f t="shared" si="21"/>
        <v/>
      </c>
      <c r="N59" s="219" t="str">
        <f t="shared" si="22"/>
        <v/>
      </c>
    </row>
    <row r="60" spans="2:22" ht="14.25" customHeight="1" x14ac:dyDescent="0.2">
      <c r="B60" s="45" t="str">
        <f>IF(COUNTIF(J53:J62,"Cement Delivery to Silo")&gt;0,"EP-2 Cement Silo Stack:","")</f>
        <v/>
      </c>
      <c r="C60" s="221"/>
      <c r="D60" s="221"/>
      <c r="E60" s="221"/>
      <c r="F60" s="221"/>
      <c r="H60" s="127" t="str">
        <f t="shared" si="20"/>
        <v/>
      </c>
      <c r="I60" s="127" t="str">
        <f t="shared" si="19"/>
        <v/>
      </c>
      <c r="J60" s="82"/>
      <c r="K60" s="61"/>
      <c r="L60" s="156"/>
      <c r="M60" s="219" t="str">
        <f t="shared" si="21"/>
        <v/>
      </c>
      <c r="N60" s="219" t="str">
        <f t="shared" si="22"/>
        <v/>
      </c>
    </row>
    <row r="61" spans="2:22" ht="14.25" customHeight="1" x14ac:dyDescent="0.2">
      <c r="B61" s="45" t="str">
        <f>IF(COUNTIF(J53:J62,"Cement Supplement Delivery to Silo")&gt;0,"EP-3 Cement Supplement Silo Stack:","")</f>
        <v/>
      </c>
      <c r="C61" s="221"/>
      <c r="D61" s="221"/>
      <c r="E61" s="221"/>
      <c r="F61" s="221"/>
      <c r="H61" s="127" t="str">
        <f t="shared" si="20"/>
        <v/>
      </c>
      <c r="I61" s="127" t="str">
        <f t="shared" si="19"/>
        <v/>
      </c>
      <c r="J61" s="82"/>
      <c r="K61" s="61"/>
      <c r="L61" s="156"/>
      <c r="M61" s="219" t="str">
        <f t="shared" si="21"/>
        <v/>
      </c>
      <c r="N61" s="219" t="str">
        <f t="shared" si="22"/>
        <v/>
      </c>
    </row>
    <row r="62" spans="2:22" ht="14.25" customHeight="1" x14ac:dyDescent="0.2">
      <c r="B62" s="45" t="str">
        <f>IF(COUNTIF(J53:J62,"Weigh Hopper Loading")&gt;0,"EP-4 Weigh Hopper Loading Stack:","")</f>
        <v/>
      </c>
      <c r="C62" s="221"/>
      <c r="D62" s="221"/>
      <c r="E62" s="221"/>
      <c r="F62" s="221"/>
      <c r="H62" s="127" t="str">
        <f t="shared" si="20"/>
        <v/>
      </c>
      <c r="I62" s="127" t="str">
        <f t="shared" si="19"/>
        <v/>
      </c>
      <c r="J62" s="82"/>
      <c r="K62" s="61"/>
      <c r="L62" s="156"/>
      <c r="M62" s="219" t="str">
        <f t="shared" si="21"/>
        <v/>
      </c>
      <c r="N62" s="219" t="str">
        <f t="shared" si="22"/>
        <v/>
      </c>
    </row>
    <row r="63" spans="2:22" ht="14.25" customHeight="1" x14ac:dyDescent="0.2">
      <c r="B63" s="45" t="str">
        <f>IF(COUNTIF(J53:J62,"Truck Mix Loading")&gt;0,"EP-5 Truck Mix Loading Stack:","")</f>
        <v/>
      </c>
      <c r="C63" s="221"/>
      <c r="D63" s="221"/>
      <c r="E63" s="221"/>
      <c r="F63" s="221"/>
      <c r="H63" s="45"/>
      <c r="I63" s="45"/>
    </row>
    <row r="64" spans="2:22" ht="14.25" customHeight="1" x14ac:dyDescent="0.2">
      <c r="B64" s="45" t="str">
        <f>IF(COUNTIF(J53:J62,"Central Mix Loading")&gt;0,"EP-6 Central Mix Loading Stack:","")</f>
        <v/>
      </c>
      <c r="C64" s="221"/>
      <c r="D64" s="221"/>
      <c r="E64" s="221"/>
      <c r="F64" s="221"/>
      <c r="G64" s="45"/>
      <c r="H64" s="74" t="str">
        <f>IF('Concrete Plant (CP-7)'!$D$4&gt;2,"Stock Pile Area","")</f>
        <v/>
      </c>
      <c r="I64" s="74"/>
      <c r="J64" s="75"/>
    </row>
    <row r="65" spans="2:14" ht="14.25" customHeight="1" x14ac:dyDescent="0.2">
      <c r="B65" s="73"/>
      <c r="C65" s="163"/>
      <c r="D65" s="163"/>
      <c r="E65" s="163"/>
      <c r="F65" s="176"/>
      <c r="G65" s="45"/>
      <c r="I65" s="51" t="str">
        <f>IF('Concrete Plant (CP-7)'!$D$4&gt;2,"Emission Unit #","")</f>
        <v/>
      </c>
      <c r="J65" s="80" t="str">
        <f>IF('Concrete Plant (CP-7)'!$D$4&gt;2,"Maximum Storage Area (acres)","")</f>
        <v/>
      </c>
      <c r="K65" s="81" t="str">
        <f>IF('Concrete Plant (CP-7)'!$D$4&gt;2,"Actual Storage Area (acres)","")</f>
        <v/>
      </c>
      <c r="L65" s="80" t="str">
        <f>IF('Concrete Plant (CP-7)'!$D$4&gt;2,"Actual Days in Existence (days)","")</f>
        <v/>
      </c>
      <c r="M65" s="146"/>
      <c r="N65" s="146"/>
    </row>
    <row r="66" spans="2:14" ht="14.25" customHeight="1" x14ac:dyDescent="0.2">
      <c r="B66" s="73"/>
      <c r="C66" s="163"/>
      <c r="D66" s="163"/>
      <c r="E66" s="163"/>
      <c r="F66" s="176"/>
      <c r="G66" s="45"/>
      <c r="I66" s="65"/>
      <c r="J66" s="144"/>
      <c r="K66" s="66"/>
      <c r="L66" s="144"/>
      <c r="M66" s="146"/>
      <c r="N66" s="146"/>
    </row>
    <row r="67" spans="2:14" ht="14.25" customHeight="1" x14ac:dyDescent="0.2">
      <c r="F67" s="177"/>
      <c r="G67" s="45"/>
    </row>
    <row r="68" spans="2:14" ht="27" customHeight="1" x14ac:dyDescent="0.25">
      <c r="B68" s="78" t="str">
        <f>IF('Concrete Plant (CP-7)'!$D$4&gt;3,"Batch Plant","")</f>
        <v/>
      </c>
      <c r="C68" s="71" t="str">
        <f>IF('Concrete Plant (CP-7)'!$D$4&gt;3,"Site 4","")</f>
        <v/>
      </c>
      <c r="D68" s="71"/>
      <c r="E68" s="71"/>
      <c r="F68" s="71"/>
      <c r="G68" s="45"/>
      <c r="H68" s="310" t="str">
        <f>IF('Concrete Plant (CP-7)'!$D$4&gt;3,"Emission Point #","")</f>
        <v/>
      </c>
      <c r="I68" s="310" t="str">
        <f>IF('Concrete Plant (CP-7)'!$D$4&gt;3,"Emission     Unit #","")</f>
        <v/>
      </c>
      <c r="J68" s="310" t="str">
        <f>IF('Concrete Plant (CP-7)'!$D$4&gt;3,"Processes","")</f>
        <v/>
      </c>
      <c r="K68" s="311" t="str">
        <f>IF('Concrete Plant (CP-7)'!$D$4&gt;3,"Combined Maximum Hourly Design Rate for all Like Processes (cubic yard/hr)","")</f>
        <v/>
      </c>
      <c r="L68" s="310" t="str">
        <f>IF('Concrete Plant (CP-7)'!$D$4&gt;3,('Facility Information'!G5&amp;" Annual Throughput (cubic yards)"),"")</f>
        <v/>
      </c>
      <c r="M68" s="217"/>
      <c r="N68" s="217"/>
    </row>
    <row r="69" spans="2:14" ht="14.25" customHeight="1" x14ac:dyDescent="0.2">
      <c r="B69" s="79" t="str">
        <f>IF('Concrete Plant (CP-7)'!$D$4&gt;3,"Site Name:","")</f>
        <v/>
      </c>
      <c r="C69" s="349"/>
      <c r="D69" s="356"/>
      <c r="E69" s="357"/>
      <c r="F69" s="175"/>
      <c r="G69" s="45"/>
      <c r="H69" s="127" t="str">
        <f>IF(J69="cement delivery to silo","CP-1 EP-2",IF(J69="cement supplement delivery to silo","CP-1 EP-3",IF(J69="weigh hopper loading","CP-1 EP-4",IF(J69="truck mix loading","CP-1 EP-5",IF(J69="central mix loading","CP-1 EP-6",IF(J69="","","CP-1 EP-1"))))))</f>
        <v/>
      </c>
      <c r="I69" s="127" t="str">
        <f t="shared" ref="I69:I78" si="23">IF(J69="","",IF(J69="aggregate delivery to ground storage","CP-7 EU-1",IF(J69="sand delivery to ground storage","CP-7 EU-2",IF(J69="aggregate transfer to conveyor","CP-7 EU-3",IF(J69="sand transfer to conveyor","CP-7 EU-4",IF(J69="aggregate transfer to elevated storage","CP-7 EU-5",IF(J69="sand transfer to elevated storage","CP-7 EU-6",IF(J69="weigh hopper loading","CP-7 EU-7",IF(J69="central mix loading","CP-7 EU-8",IF(J69="truck mix loading","CP-7 EU-9",IF(J69="cement delivery to silo","CP-7 EU-10",IF(J69="cement supplement delivery to silo","CP-7 EU-11"))))))))))))</f>
        <v/>
      </c>
      <c r="J69" s="82"/>
      <c r="K69" s="61"/>
      <c r="L69" s="156"/>
      <c r="M69" s="219" t="str">
        <f>IF(J69="truck mix loading",IF($F$72="yes",L69*0.05/2000,L69/2000),"")</f>
        <v/>
      </c>
      <c r="N69" s="219" t="str">
        <f>IF(J69="central mix loading",IF($F$72="yes",L69*0.05/2000,L69/2000),"")</f>
        <v/>
      </c>
    </row>
    <row r="70" spans="2:14" ht="14.25" customHeight="1" x14ac:dyDescent="0.2">
      <c r="B70" s="79" t="str">
        <f>IF('Concrete Plant (CP-7)'!$D$4&gt;3,"County:","")</f>
        <v/>
      </c>
      <c r="C70" s="339"/>
      <c r="D70" s="342"/>
      <c r="E70" s="343"/>
      <c r="F70" s="175"/>
      <c r="G70" s="45"/>
      <c r="H70" s="127" t="str">
        <f t="shared" ref="H70:H78" si="24">IF(J70="cement delivery to silo","CP-1 EP-2",IF(J70="cement supplement delivery to silo","CP-1 EP-3",IF(J70="weigh hopper loading","CP-1 EP-4",IF(J70="truck mix loading","CP-1 EP-5",IF(J70="central mix loading","CP-1 EP-6",IF(J70="","","CP-1 EP-1"))))))</f>
        <v/>
      </c>
      <c r="I70" s="127" t="str">
        <f t="shared" si="23"/>
        <v/>
      </c>
      <c r="J70" s="82"/>
      <c r="K70" s="61"/>
      <c r="L70" s="156"/>
      <c r="M70" s="219" t="str">
        <f t="shared" ref="M70:M78" si="25">IF(J70="truck mix loading",IF($F$72="yes",L70*0.05/2000,L70/2000),"")</f>
        <v/>
      </c>
      <c r="N70" s="219" t="str">
        <f t="shared" ref="N70:N78" si="26">IF(J70="central mix loading",IF($F$72="yes",L70*0.05/2000,L70/2000),"")</f>
        <v/>
      </c>
    </row>
    <row r="71" spans="2:14" ht="14.25" customHeight="1" x14ac:dyDescent="0.2">
      <c r="B71" s="79" t="str">
        <f>IF('Concrete Plant (CP-7)'!$D$4&gt;3,"Batching Period (Dates):","")</f>
        <v/>
      </c>
      <c r="C71" s="352"/>
      <c r="D71" s="358"/>
      <c r="E71" s="359"/>
      <c r="F71" s="175"/>
      <c r="G71" s="45"/>
      <c r="H71" s="127" t="str">
        <f t="shared" si="24"/>
        <v/>
      </c>
      <c r="I71" s="127" t="str">
        <f t="shared" si="23"/>
        <v/>
      </c>
      <c r="J71" s="82"/>
      <c r="K71" s="61"/>
      <c r="L71" s="156"/>
      <c r="M71" s="219" t="str">
        <f t="shared" si="25"/>
        <v/>
      </c>
      <c r="N71" s="219" t="str">
        <f t="shared" si="26"/>
        <v/>
      </c>
    </row>
    <row r="72" spans="2:14" ht="14.25" customHeight="1" x14ac:dyDescent="0.2">
      <c r="B72" s="51" t="str">
        <f>IF(OR(COUNTIF(J69:J78,"Truck Mix Loading")&gt;0,(COUNTIF(J69:J78,"Central Mix Loading")&gt;0)),"Is the Central/Truck Mix Loading process controlled by a baghouse?","")</f>
        <v/>
      </c>
      <c r="C72" s="51"/>
      <c r="D72" s="51"/>
      <c r="E72" s="51"/>
      <c r="F72" s="221"/>
      <c r="H72" s="127" t="str">
        <f t="shared" si="24"/>
        <v/>
      </c>
      <c r="I72" s="127" t="str">
        <f t="shared" si="23"/>
        <v/>
      </c>
      <c r="J72" s="82"/>
      <c r="K72" s="61"/>
      <c r="L72" s="156"/>
      <c r="M72" s="219" t="str">
        <f t="shared" si="25"/>
        <v/>
      </c>
      <c r="N72" s="219" t="str">
        <f t="shared" si="26"/>
        <v/>
      </c>
    </row>
    <row r="73" spans="2:14" ht="14.25" customHeight="1" x14ac:dyDescent="0.2">
      <c r="F73" s="177"/>
      <c r="G73" s="76"/>
      <c r="H73" s="127" t="str">
        <f t="shared" si="24"/>
        <v/>
      </c>
      <c r="I73" s="127" t="str">
        <f t="shared" si="23"/>
        <v/>
      </c>
      <c r="J73" s="82"/>
      <c r="K73" s="61"/>
      <c r="L73" s="156"/>
      <c r="M73" s="219" t="str">
        <f t="shared" si="25"/>
        <v/>
      </c>
      <c r="N73" s="219" t="str">
        <f t="shared" si="26"/>
        <v/>
      </c>
    </row>
    <row r="74" spans="2:14" ht="28.5" customHeight="1" x14ac:dyDescent="0.2">
      <c r="B74" s="312" t="str">
        <f>IF(AND(B76="",B77="",B78="",B79="",B80=""),"","Process (complete stack information if applicable):")</f>
        <v/>
      </c>
      <c r="C74" s="312" t="str">
        <f>IF(AND(B76="",B77="",B78="",B79="",B80=""),"","Stack Height (ft):")</f>
        <v/>
      </c>
      <c r="D74" s="312" t="str">
        <f>IF(AND(B76="",B77="",B78="",B79="",B80=""),"","Stack Diameter (inches):")</f>
        <v/>
      </c>
      <c r="E74" s="312" t="str">
        <f>IF(AND(B76="",B77="",B78="",B79="",B80=""),"","Flow Rate (acfm):")</f>
        <v/>
      </c>
      <c r="F74" s="312" t="str">
        <f>IF(AND(B76="",B77="",B78="",B79="",B80=""),"","Temp (Deg F):")</f>
        <v/>
      </c>
      <c r="H74" s="127" t="str">
        <f t="shared" si="24"/>
        <v/>
      </c>
      <c r="I74" s="127" t="str">
        <f t="shared" si="23"/>
        <v/>
      </c>
      <c r="J74" s="82"/>
      <c r="K74" s="61"/>
      <c r="L74" s="156"/>
      <c r="M74" s="219" t="str">
        <f t="shared" si="25"/>
        <v/>
      </c>
      <c r="N74" s="219" t="str">
        <f t="shared" si="26"/>
        <v/>
      </c>
    </row>
    <row r="75" spans="2:14" ht="14.25" customHeight="1" x14ac:dyDescent="0.2">
      <c r="B75" s="312"/>
      <c r="C75" s="312"/>
      <c r="D75" s="312"/>
      <c r="E75" s="312"/>
      <c r="F75" s="312"/>
      <c r="H75" s="127" t="str">
        <f t="shared" si="24"/>
        <v/>
      </c>
      <c r="I75" s="127" t="str">
        <f t="shared" si="23"/>
        <v/>
      </c>
      <c r="J75" s="82"/>
      <c r="K75" s="61"/>
      <c r="L75" s="156"/>
      <c r="M75" s="219" t="str">
        <f t="shared" si="25"/>
        <v/>
      </c>
      <c r="N75" s="219" t="str">
        <f t="shared" si="26"/>
        <v/>
      </c>
    </row>
    <row r="76" spans="2:14" ht="14.25" customHeight="1" x14ac:dyDescent="0.2">
      <c r="B76" s="45" t="str">
        <f>IF(COUNTIF(J69:J78,"Cement Delivery to Silo")&gt;0,"EP-2 Cement Silo Stack:","")</f>
        <v/>
      </c>
      <c r="C76" s="221"/>
      <c r="D76" s="221"/>
      <c r="E76" s="221"/>
      <c r="F76" s="221"/>
      <c r="H76" s="127" t="str">
        <f t="shared" si="24"/>
        <v/>
      </c>
      <c r="I76" s="127" t="str">
        <f t="shared" si="23"/>
        <v/>
      </c>
      <c r="J76" s="82"/>
      <c r="K76" s="61"/>
      <c r="L76" s="156"/>
      <c r="M76" s="219" t="str">
        <f t="shared" si="25"/>
        <v/>
      </c>
      <c r="N76" s="219" t="str">
        <f t="shared" si="26"/>
        <v/>
      </c>
    </row>
    <row r="77" spans="2:14" ht="14.25" customHeight="1" x14ac:dyDescent="0.2">
      <c r="B77" s="45" t="str">
        <f>IF(COUNTIF(J69:J78,"Cement Supplement Delivery to Silo")&gt;0,"EP-3 Cement Supplement Silo Stack:","")</f>
        <v/>
      </c>
      <c r="C77" s="221"/>
      <c r="D77" s="221"/>
      <c r="E77" s="221"/>
      <c r="F77" s="221"/>
      <c r="H77" s="127" t="str">
        <f t="shared" si="24"/>
        <v/>
      </c>
      <c r="I77" s="127" t="str">
        <f t="shared" si="23"/>
        <v/>
      </c>
      <c r="J77" s="82"/>
      <c r="K77" s="61"/>
      <c r="L77" s="156"/>
      <c r="M77" s="219" t="str">
        <f t="shared" si="25"/>
        <v/>
      </c>
      <c r="N77" s="219" t="str">
        <f t="shared" si="26"/>
        <v/>
      </c>
    </row>
    <row r="78" spans="2:14" ht="14.25" customHeight="1" x14ac:dyDescent="0.2">
      <c r="B78" s="45" t="str">
        <f>IF(COUNTIF(J69:J78,"Weigh Hopper Loading")&gt;0,"EP-4 Weigh Hopper Loading Stack:","")</f>
        <v/>
      </c>
      <c r="C78" s="221"/>
      <c r="D78" s="221"/>
      <c r="E78" s="221"/>
      <c r="F78" s="221"/>
      <c r="G78" s="45"/>
      <c r="H78" s="127" t="str">
        <f t="shared" si="24"/>
        <v/>
      </c>
      <c r="I78" s="127" t="str">
        <f t="shared" si="23"/>
        <v/>
      </c>
      <c r="J78" s="82"/>
      <c r="K78" s="61"/>
      <c r="L78" s="156"/>
      <c r="M78" s="219" t="str">
        <f t="shared" si="25"/>
        <v/>
      </c>
      <c r="N78" s="219" t="str">
        <f t="shared" si="26"/>
        <v/>
      </c>
    </row>
    <row r="79" spans="2:14" ht="14.25" customHeight="1" x14ac:dyDescent="0.2">
      <c r="B79" s="45" t="str">
        <f>IF(COUNTIF(J69:J78,"Truck Mix Loading")&gt;0,"EP-5 Truck Mix Loading Stack:","")</f>
        <v/>
      </c>
      <c r="C79" s="221"/>
      <c r="D79" s="221"/>
      <c r="E79" s="221"/>
      <c r="F79" s="221"/>
      <c r="G79" s="45"/>
      <c r="H79" s="45"/>
      <c r="I79" s="45"/>
    </row>
    <row r="80" spans="2:14" ht="14.25" customHeight="1" x14ac:dyDescent="0.2">
      <c r="B80" s="45" t="str">
        <f>IF(COUNTIF(J69:J78,"Central Mix Loading")&gt;0,"EP-6 Central Mix Loading Stack:","")</f>
        <v/>
      </c>
      <c r="C80" s="221"/>
      <c r="D80" s="221"/>
      <c r="E80" s="221"/>
      <c r="F80" s="221"/>
      <c r="G80" s="45"/>
      <c r="H80" s="74" t="str">
        <f>IF('Concrete Plant (CP-7)'!$D$4&gt;3,"Stock Pile Area","")</f>
        <v/>
      </c>
      <c r="I80" s="74"/>
      <c r="J80" s="75"/>
    </row>
    <row r="81" spans="2:14" ht="14.25" customHeight="1" x14ac:dyDescent="0.2">
      <c r="B81" s="73"/>
      <c r="C81" s="163"/>
      <c r="D81" s="163"/>
      <c r="E81" s="163"/>
      <c r="F81" s="176"/>
      <c r="G81" s="45"/>
      <c r="I81" s="51" t="str">
        <f>IF('Concrete Plant (CP-7)'!$D$4&gt;3,"Emission Unit #","")</f>
        <v/>
      </c>
      <c r="J81" s="80" t="str">
        <f>IF('Concrete Plant (CP-7)'!$D$4&gt;3,"Maximum Storage Area (acres)","")</f>
        <v/>
      </c>
      <c r="K81" s="81" t="str">
        <f>IF('Concrete Plant (CP-7)'!$D$4&gt;3,"Actual Storage Area (acres)","")</f>
        <v/>
      </c>
      <c r="L81" s="80" t="str">
        <f>IF('Concrete Plant (CP-7)'!$D$4&gt;3,"Actual Days in Existence (days)","")</f>
        <v/>
      </c>
      <c r="M81" s="146"/>
      <c r="N81" s="146"/>
    </row>
    <row r="82" spans="2:14" ht="14.25" customHeight="1" x14ac:dyDescent="0.2">
      <c r="B82" s="73"/>
      <c r="C82" s="163"/>
      <c r="D82" s="163"/>
      <c r="E82" s="163"/>
      <c r="F82" s="176"/>
      <c r="G82" s="45"/>
      <c r="I82" s="65"/>
      <c r="J82" s="144"/>
      <c r="K82" s="66"/>
      <c r="L82" s="144"/>
      <c r="M82" s="146"/>
      <c r="N82" s="146"/>
    </row>
    <row r="83" spans="2:14" ht="14.25" customHeight="1" x14ac:dyDescent="0.2">
      <c r="B83" s="73"/>
      <c r="C83" s="163"/>
      <c r="D83" s="163"/>
      <c r="E83" s="163"/>
      <c r="F83" s="176"/>
      <c r="G83" s="45"/>
    </row>
    <row r="84" spans="2:14" ht="30.75" customHeight="1" x14ac:dyDescent="0.25">
      <c r="B84" s="78" t="str">
        <f>IF('Concrete Plant (CP-7)'!$D$4&gt;4,"Batch Plant","")</f>
        <v/>
      </c>
      <c r="C84" s="71" t="str">
        <f>IF('Concrete Plant (CP-7)'!$D$4&gt;4,"Site 5","")</f>
        <v/>
      </c>
      <c r="D84" s="71"/>
      <c r="E84" s="71"/>
      <c r="F84" s="71"/>
      <c r="G84" s="45"/>
      <c r="H84" s="310" t="str">
        <f>IF('Concrete Plant (CP-7)'!$D$4&gt;4,"Emission Point #","")</f>
        <v/>
      </c>
      <c r="I84" s="310" t="str">
        <f>IF('Concrete Plant (CP-7)'!$D$4&gt;4,"Emission     Unit #","")</f>
        <v/>
      </c>
      <c r="J84" s="310" t="str">
        <f>IF('Concrete Plant (CP-7)'!$D$4&gt;4,"Processes","")</f>
        <v/>
      </c>
      <c r="K84" s="311" t="str">
        <f>IF('Concrete Plant (CP-7)'!$D$4&gt;4,"Combined Maximum Hourly Design Rate for all Like Processes (cubic yard/hr)","")</f>
        <v/>
      </c>
      <c r="L84" s="310" t="str">
        <f>IF('Concrete Plant (CP-7)'!$D$4&gt;4,('Facility Information'!G5&amp;" Annual Throughput (cubic yards)"),"")</f>
        <v/>
      </c>
      <c r="M84" s="217"/>
      <c r="N84" s="217"/>
    </row>
    <row r="85" spans="2:14" ht="14.25" customHeight="1" x14ac:dyDescent="0.2">
      <c r="B85" s="79" t="str">
        <f>IF('Concrete Plant (CP-7)'!$D$4&gt;4,"Site Name:","")</f>
        <v/>
      </c>
      <c r="C85" s="349"/>
      <c r="D85" s="356"/>
      <c r="E85" s="357"/>
      <c r="F85" s="175"/>
      <c r="G85" s="45"/>
      <c r="H85" s="127" t="str">
        <f>IF(J85="cement delivery to silo","CP-1 EP-2",IF(J85="cement supplement delivery to silo","CP-1 EP-3",IF(J85="weigh hopper loading","CP-1 EP-4",IF(J85="truck mix loading","CP-1 EP-5",IF(J85="central mix loading","CP-1 EP-6",IF(J85="","","CP-1 EP-1"))))))</f>
        <v/>
      </c>
      <c r="I85" s="127" t="str">
        <f t="shared" ref="I85:I94" si="27">IF(J85="","",IF(J85="aggregate delivery to ground storage","CP-7 EU-1",IF(J85="sand delivery to ground storage","CP-7 EU-2",IF(J85="aggregate transfer to conveyor","CP-7 EU-3",IF(J85="sand transfer to conveyor","CP-7 EU-4",IF(J85="aggregate transfer to elevated storage","CP-7 EU-5",IF(J85="sand transfer to elevated storage","CP-7 EU-6",IF(J85="weigh hopper loading","CP-7 EU-7",IF(J85="central mix loading","CP-7 EU-8",IF(J85="truck mix loading","CP-7 EU-9",IF(J85="cement delivery to silo","CP-7 EU-10",IF(J85="cement supplement delivery to silo","CP-7 EU-11"))))))))))))</f>
        <v/>
      </c>
      <c r="J85" s="82"/>
      <c r="K85" s="61"/>
      <c r="L85" s="156"/>
      <c r="M85" s="219" t="str">
        <f>IF(J85="truck mix loading",IF($F$88="yes",L85*0.05/2000,L85/2000),"")</f>
        <v/>
      </c>
      <c r="N85" s="219" t="str">
        <f>IF(J85="central mix loading",IF($F$88="yes",L85*0.05/2000,L85/2000),"")</f>
        <v/>
      </c>
    </row>
    <row r="86" spans="2:14" ht="14.25" customHeight="1" x14ac:dyDescent="0.2">
      <c r="B86" s="79" t="str">
        <f>IF('Concrete Plant (CP-7)'!$D$4&gt;4,"County:","")</f>
        <v/>
      </c>
      <c r="C86" s="339"/>
      <c r="D86" s="342"/>
      <c r="E86" s="343"/>
      <c r="F86" s="175"/>
      <c r="H86" s="127" t="str">
        <f t="shared" ref="H86:H94" si="28">IF(J86="cement delivery to silo","CP-1 EP-2",IF(J86="cement supplement delivery to silo","CP-1 EP-3",IF(J86="weigh hopper loading","CP-1 EP-4",IF(J86="truck mix loading","CP-1 EP-5",IF(J86="central mix loading","CP-1 EP-6",IF(J86="","","CP-1 EP-1"))))))</f>
        <v/>
      </c>
      <c r="I86" s="127" t="str">
        <f t="shared" si="27"/>
        <v/>
      </c>
      <c r="J86" s="82"/>
      <c r="K86" s="61"/>
      <c r="L86" s="156"/>
      <c r="M86" s="219" t="str">
        <f t="shared" ref="M86:M94" si="29">IF(J86="truck mix loading",IF($F$88="yes",L86*0.05/2000,L86/2000),"")</f>
        <v/>
      </c>
      <c r="N86" s="219" t="str">
        <f t="shared" ref="N86:N94" si="30">IF(J86="central mix loading",IF($F$88="yes",L86*0.05/2000,L86/2000),"")</f>
        <v/>
      </c>
    </row>
    <row r="87" spans="2:14" ht="14.25" customHeight="1" x14ac:dyDescent="0.2">
      <c r="B87" s="79" t="str">
        <f>IF('Concrete Plant (CP-7)'!$D$4&gt;4,"Batching Period (Dates):","")</f>
        <v/>
      </c>
      <c r="C87" s="352"/>
      <c r="D87" s="358"/>
      <c r="E87" s="359"/>
      <c r="F87" s="175"/>
      <c r="G87" s="76"/>
      <c r="H87" s="127" t="str">
        <f t="shared" si="28"/>
        <v/>
      </c>
      <c r="I87" s="127" t="str">
        <f t="shared" si="27"/>
        <v/>
      </c>
      <c r="J87" s="82"/>
      <c r="K87" s="61"/>
      <c r="L87" s="156"/>
      <c r="M87" s="219" t="str">
        <f t="shared" si="29"/>
        <v/>
      </c>
      <c r="N87" s="219" t="str">
        <f t="shared" si="30"/>
        <v/>
      </c>
    </row>
    <row r="88" spans="2:14" ht="14.25" customHeight="1" x14ac:dyDescent="0.2">
      <c r="B88" s="51" t="str">
        <f>IF(OR(COUNTIF(J85:J94,"Truck Mix Loading")&gt;0,(COUNTIF(J85:J94,"Central Mix Loading")&gt;0)),"Is the Central/Truck Mix Loading process controlled by a baghouse?","")</f>
        <v/>
      </c>
      <c r="C88" s="51"/>
      <c r="D88" s="51"/>
      <c r="E88" s="51"/>
      <c r="F88" s="221"/>
      <c r="H88" s="127" t="str">
        <f t="shared" si="28"/>
        <v/>
      </c>
      <c r="I88" s="127" t="str">
        <f t="shared" si="27"/>
        <v/>
      </c>
      <c r="J88" s="82"/>
      <c r="K88" s="61"/>
      <c r="L88" s="156"/>
      <c r="M88" s="219" t="str">
        <f t="shared" si="29"/>
        <v/>
      </c>
      <c r="N88" s="219" t="str">
        <f t="shared" si="30"/>
        <v/>
      </c>
    </row>
    <row r="89" spans="2:14" ht="14.25" customHeight="1" x14ac:dyDescent="0.2">
      <c r="F89" s="177"/>
      <c r="H89" s="127" t="str">
        <f t="shared" si="28"/>
        <v/>
      </c>
      <c r="I89" s="127" t="str">
        <f t="shared" si="27"/>
        <v/>
      </c>
      <c r="J89" s="82"/>
      <c r="K89" s="61"/>
      <c r="L89" s="156"/>
      <c r="M89" s="219" t="str">
        <f t="shared" si="29"/>
        <v/>
      </c>
      <c r="N89" s="219" t="str">
        <f t="shared" si="30"/>
        <v/>
      </c>
    </row>
    <row r="90" spans="2:14" ht="27" customHeight="1" x14ac:dyDescent="0.2">
      <c r="B90" s="312" t="str">
        <f>IF(AND(B92="",B93="",B94="",B95="",B96=""),"","Process (complete stack information if applicable):")</f>
        <v/>
      </c>
      <c r="C90" s="312" t="str">
        <f>IF(AND(B92="",B93="",B94="",B95="",B96=""),"","Stack Height (ft):")</f>
        <v/>
      </c>
      <c r="D90" s="312" t="str">
        <f>IF(AND(B92="",B93="",B94="",B95="",B96=""),"","Stack Diameter (inches):")</f>
        <v/>
      </c>
      <c r="E90" s="312" t="str">
        <f>IF(AND(B92="",B93="",B94="",B95="",B96=""),"","Flow Rate (acfm):")</f>
        <v/>
      </c>
      <c r="F90" s="312" t="str">
        <f>IF(AND(B92="",B93="",B94="",B95="",B96=""),"","Temp (Deg F):")</f>
        <v/>
      </c>
      <c r="H90" s="127" t="str">
        <f t="shared" si="28"/>
        <v/>
      </c>
      <c r="I90" s="127" t="str">
        <f t="shared" si="27"/>
        <v/>
      </c>
      <c r="J90" s="82"/>
      <c r="K90" s="61"/>
      <c r="L90" s="156"/>
      <c r="M90" s="219" t="str">
        <f t="shared" si="29"/>
        <v/>
      </c>
      <c r="N90" s="219" t="str">
        <f t="shared" si="30"/>
        <v/>
      </c>
    </row>
    <row r="91" spans="2:14" ht="14.25" customHeight="1" x14ac:dyDescent="0.2">
      <c r="B91" s="312"/>
      <c r="C91" s="312"/>
      <c r="D91" s="312"/>
      <c r="E91" s="312"/>
      <c r="F91" s="312"/>
      <c r="H91" s="127" t="str">
        <f t="shared" si="28"/>
        <v/>
      </c>
      <c r="I91" s="127" t="str">
        <f t="shared" si="27"/>
        <v/>
      </c>
      <c r="J91" s="82"/>
      <c r="K91" s="61"/>
      <c r="L91" s="156"/>
      <c r="M91" s="219" t="str">
        <f t="shared" si="29"/>
        <v/>
      </c>
      <c r="N91" s="219" t="str">
        <f t="shared" si="30"/>
        <v/>
      </c>
    </row>
    <row r="92" spans="2:14" ht="14.25" customHeight="1" x14ac:dyDescent="0.2">
      <c r="B92" s="45" t="str">
        <f>IF(COUNTIF(J85:J94,"Cement Delivery to Silo")&gt;0,"EP-2 Cement Silo Stack:","")</f>
        <v/>
      </c>
      <c r="C92" s="221"/>
      <c r="D92" s="221"/>
      <c r="E92" s="221"/>
      <c r="F92" s="221"/>
      <c r="G92" s="45"/>
      <c r="H92" s="127" t="str">
        <f t="shared" si="28"/>
        <v/>
      </c>
      <c r="I92" s="127" t="str">
        <f t="shared" si="27"/>
        <v/>
      </c>
      <c r="J92" s="82"/>
      <c r="K92" s="61"/>
      <c r="L92" s="156"/>
      <c r="M92" s="219" t="str">
        <f t="shared" si="29"/>
        <v/>
      </c>
      <c r="N92" s="219" t="str">
        <f t="shared" si="30"/>
        <v/>
      </c>
    </row>
    <row r="93" spans="2:14" ht="14.25" customHeight="1" x14ac:dyDescent="0.2">
      <c r="B93" s="45" t="str">
        <f>IF(COUNTIF(J85:J94,"Cement Supplement Delivery to Silo")&gt;0,"EP-3 Cement Supplement Silo Stack:","")</f>
        <v/>
      </c>
      <c r="C93" s="221"/>
      <c r="D93" s="221"/>
      <c r="E93" s="221"/>
      <c r="F93" s="221"/>
      <c r="G93" s="45"/>
      <c r="H93" s="127" t="str">
        <f t="shared" si="28"/>
        <v/>
      </c>
      <c r="I93" s="127" t="str">
        <f t="shared" si="27"/>
        <v/>
      </c>
      <c r="J93" s="82"/>
      <c r="K93" s="61"/>
      <c r="L93" s="156"/>
      <c r="M93" s="219" t="str">
        <f t="shared" si="29"/>
        <v/>
      </c>
      <c r="N93" s="219" t="str">
        <f t="shared" si="30"/>
        <v/>
      </c>
    </row>
    <row r="94" spans="2:14" ht="14.25" customHeight="1" x14ac:dyDescent="0.2">
      <c r="B94" s="45" t="str">
        <f>IF(COUNTIF(J85:J94,"Weigh Hopper Loading")&gt;0,"EP-4 Weigh Hopper Loading Stack:","")</f>
        <v/>
      </c>
      <c r="C94" s="221"/>
      <c r="D94" s="221"/>
      <c r="E94" s="221"/>
      <c r="F94" s="221"/>
      <c r="G94" s="45"/>
      <c r="H94" s="127" t="str">
        <f t="shared" si="28"/>
        <v/>
      </c>
      <c r="I94" s="127" t="str">
        <f t="shared" si="27"/>
        <v/>
      </c>
      <c r="J94" s="82"/>
      <c r="K94" s="61"/>
      <c r="L94" s="156"/>
      <c r="M94" s="219" t="str">
        <f t="shared" si="29"/>
        <v/>
      </c>
      <c r="N94" s="219" t="str">
        <f t="shared" si="30"/>
        <v/>
      </c>
    </row>
    <row r="95" spans="2:14" ht="14.25" customHeight="1" x14ac:dyDescent="0.2">
      <c r="B95" s="45" t="str">
        <f>IF(COUNTIF(J85:J94,"Truck Mix Loading")&gt;0,"EP-5 Truck Mix Loading Stack:","")</f>
        <v/>
      </c>
      <c r="C95" s="221"/>
      <c r="D95" s="221"/>
      <c r="E95" s="221"/>
      <c r="F95" s="221"/>
      <c r="G95" s="45"/>
      <c r="H95" s="45"/>
      <c r="I95" s="45"/>
    </row>
    <row r="96" spans="2:14" ht="14.25" customHeight="1" x14ac:dyDescent="0.2">
      <c r="B96" s="45" t="str">
        <f>IF(COUNTIF(J85:J94,"Central Mix Loading")&gt;0,"EP-6 Central Mix Loading Stack:","")</f>
        <v/>
      </c>
      <c r="C96" s="221"/>
      <c r="D96" s="221"/>
      <c r="E96" s="221"/>
      <c r="F96" s="221"/>
      <c r="G96" s="45"/>
      <c r="H96" s="74" t="str">
        <f>IF('Concrete Plant (CP-7)'!$D$4&gt;4,"Stock Pile Area","")</f>
        <v/>
      </c>
      <c r="I96" s="74"/>
      <c r="J96" s="75"/>
    </row>
    <row r="97" spans="2:14" ht="14.25" customHeight="1" x14ac:dyDescent="0.2">
      <c r="B97" s="73"/>
      <c r="C97" s="163"/>
      <c r="D97" s="163"/>
      <c r="E97" s="163"/>
      <c r="F97" s="176"/>
      <c r="G97" s="45"/>
      <c r="I97" s="51" t="str">
        <f>IF('Concrete Plant (CP-7)'!$D$4&gt;4,"Emission Unit #","")</f>
        <v/>
      </c>
      <c r="J97" s="80" t="str">
        <f>IF('Concrete Plant (CP-7)'!$D$4&gt;4,"Maximum Storage Area (acres)","")</f>
        <v/>
      </c>
      <c r="K97" s="81" t="str">
        <f>IF('Concrete Plant (CP-7)'!$D$4&gt;4,"Actual Storage Area (acres)","")</f>
        <v/>
      </c>
      <c r="L97" s="80" t="str">
        <f>IF('Concrete Plant (CP-7)'!$D$4&gt;4,"Actual Days in Existence (days)","")</f>
        <v/>
      </c>
      <c r="M97" s="146"/>
      <c r="N97" s="146"/>
    </row>
    <row r="98" spans="2:14" ht="14.25" customHeight="1" x14ac:dyDescent="0.2">
      <c r="B98" s="73"/>
      <c r="C98" s="163"/>
      <c r="D98" s="163"/>
      <c r="E98" s="163"/>
      <c r="F98" s="176"/>
      <c r="G98" s="45"/>
      <c r="I98" s="62"/>
      <c r="J98" s="144"/>
      <c r="K98" s="66"/>
      <c r="L98" s="144"/>
      <c r="M98" s="146"/>
      <c r="N98" s="146"/>
    </row>
    <row r="99" spans="2:14" ht="14.25" customHeight="1" x14ac:dyDescent="0.2">
      <c r="B99" s="73"/>
      <c r="C99" s="163"/>
      <c r="D99" s="163"/>
      <c r="E99" s="163"/>
      <c r="F99" s="176"/>
      <c r="G99" s="45"/>
      <c r="H99" s="45"/>
    </row>
    <row r="100" spans="2:14" ht="14.25" customHeight="1" x14ac:dyDescent="0.2">
      <c r="F100" s="177"/>
    </row>
    <row r="101" spans="2:14" ht="28.5" customHeight="1" x14ac:dyDescent="0.25">
      <c r="B101" s="78" t="str">
        <f>IF('Concrete Plant (CP-7)'!$D$4&gt;5,"Batch Plant","")</f>
        <v/>
      </c>
      <c r="C101" s="71" t="str">
        <f>IF('Concrete Plant (CP-7)'!$D$4&gt;5,"Site 6","")</f>
        <v/>
      </c>
      <c r="D101" s="71"/>
      <c r="E101" s="71"/>
      <c r="F101" s="71"/>
      <c r="G101" s="45"/>
      <c r="H101" s="310" t="str">
        <f>IF('Concrete Plant (CP-7)'!$D$4&gt;5,"Emission Point #","")</f>
        <v/>
      </c>
      <c r="I101" s="310" t="str">
        <f>IF('Concrete Plant (CP-7)'!$D$4&gt;5,"Emission     Unit #","")</f>
        <v/>
      </c>
      <c r="J101" s="310" t="str">
        <f>IF('Concrete Plant (CP-7)'!$D$4&gt;5,"Processes","")</f>
        <v/>
      </c>
      <c r="K101" s="311" t="str">
        <f>IF('Concrete Plant (CP-7)'!$D$4&gt;5,"Combined Maximum Hourly Design Rate for all Like Processes (cubic yard/hr)","")</f>
        <v/>
      </c>
      <c r="L101" s="310" t="str">
        <f>IF('Concrete Plant (CP-7)'!$D$4&gt;5,('Facility Information'!G5&amp;" Annual Throughput (cubic yards)"),"")</f>
        <v/>
      </c>
      <c r="M101" s="217"/>
      <c r="N101" s="217"/>
    </row>
    <row r="102" spans="2:14" ht="14.25" customHeight="1" x14ac:dyDescent="0.2">
      <c r="B102" s="79" t="str">
        <f>IF('Concrete Plant (CP-7)'!$D$4&gt;5,"Site Name:","")</f>
        <v/>
      </c>
      <c r="C102" s="349"/>
      <c r="D102" s="356"/>
      <c r="E102" s="357"/>
      <c r="F102" s="175"/>
      <c r="G102" s="76"/>
      <c r="H102" s="127" t="str">
        <f>IF(J102="cement delivery to silo","CP-1 EP-2",IF(J102="cement supplement delivery to silo","CP-1 EP-3",IF(J102="weigh hopper loading","CP-1 EP-4",IF(J102="truck mix loading","CP-1 EP-5",IF(J102="central mix loading","CP-1 EP-6",IF(J102="","","CP-1 EP-1"))))))</f>
        <v/>
      </c>
      <c r="I102" s="127" t="str">
        <f t="shared" ref="I102:I111" si="31">IF(J102="","",IF(J102="aggregate delivery to ground storage","CP-7 EU-1",IF(J102="sand delivery to ground storage","CP-7 EU-2",IF(J102="aggregate transfer to conveyor","CP-7 EU-3",IF(J102="sand transfer to conveyor","CP-7 EU-4",IF(J102="aggregate transfer to elevated storage","CP-7 EU-5",IF(J102="sand transfer to elevated storage","CP-7 EU-6",IF(J102="weigh hopper loading","CP-7 EU-7",IF(J102="central mix loading","CP-7 EU-8",IF(J102="truck mix loading","CP-7 EU-9",IF(J102="cement delivery to silo","CP-7 EU-10",IF(J102="cement supplement delivery to silo","CP-7 EU-11"))))))))))))</f>
        <v/>
      </c>
      <c r="J102" s="82"/>
      <c r="K102" s="61"/>
      <c r="L102" s="156"/>
      <c r="M102" s="219" t="str">
        <f>IF(J102="truck mix loading",IF($F$105="yes",L102*0.05/2000,L102/2000),"")</f>
        <v/>
      </c>
      <c r="N102" s="219" t="str">
        <f>IF(J102="central mix loading",IF($F$105="yes",L102*0.05/2000,L102/2000),"")</f>
        <v/>
      </c>
    </row>
    <row r="103" spans="2:14" ht="14.25" customHeight="1" x14ac:dyDescent="0.2">
      <c r="B103" s="79" t="str">
        <f>IF('Concrete Plant (CP-7)'!$D$4&gt;5,"County:","")</f>
        <v/>
      </c>
      <c r="C103" s="339"/>
      <c r="D103" s="342"/>
      <c r="E103" s="343"/>
      <c r="F103" s="175"/>
      <c r="H103" s="127" t="str">
        <f t="shared" ref="H103:H111" si="32">IF(J103="cement delivery to silo","CP-1 EP-2",IF(J103="cement supplement delivery to silo","CP-1 EP-3",IF(J103="weigh hopper loading","CP-1 EP-4",IF(J103="truck mix loading","CP-1 EP-5",IF(J103="central mix loading","CP-1 EP-6",IF(J103="","","CP-1 EP-1"))))))</f>
        <v/>
      </c>
      <c r="I103" s="127" t="str">
        <f t="shared" si="31"/>
        <v/>
      </c>
      <c r="J103" s="82"/>
      <c r="K103" s="61"/>
      <c r="L103" s="156"/>
      <c r="M103" s="219" t="str">
        <f t="shared" ref="M103:M111" si="33">IF(J103="truck mix loading",IF($F$105="yes",L103*0.05/2000,L103/2000),"")</f>
        <v/>
      </c>
      <c r="N103" s="219" t="str">
        <f t="shared" ref="N103:N111" si="34">IF(J103="central mix loading",IF($F$105="yes",L103*0.05/2000,L103/2000),"")</f>
        <v/>
      </c>
    </row>
    <row r="104" spans="2:14" ht="14.25" customHeight="1" x14ac:dyDescent="0.2">
      <c r="B104" s="79" t="str">
        <f>IF('Concrete Plant (CP-7)'!$D$4&gt;5,"Batching Period (Dates):","")</f>
        <v/>
      </c>
      <c r="C104" s="352"/>
      <c r="D104" s="358"/>
      <c r="E104" s="359"/>
      <c r="F104" s="175"/>
      <c r="H104" s="127" t="str">
        <f t="shared" si="32"/>
        <v/>
      </c>
      <c r="I104" s="127" t="str">
        <f t="shared" si="31"/>
        <v/>
      </c>
      <c r="J104" s="82"/>
      <c r="K104" s="61"/>
      <c r="L104" s="156"/>
      <c r="M104" s="219" t="str">
        <f t="shared" si="33"/>
        <v/>
      </c>
      <c r="N104" s="219" t="str">
        <f t="shared" si="34"/>
        <v/>
      </c>
    </row>
    <row r="105" spans="2:14" ht="14.25" customHeight="1" x14ac:dyDescent="0.2">
      <c r="B105" s="51" t="str">
        <f>IF(OR(COUNTIF(J102:J111,"Truck Mix Loading")&gt;0,(COUNTIF(J102:J111,"Central Mix Loading")&gt;0)),"Is the Central/Truck Mix Loading process controlled by a baghouse?","")</f>
        <v/>
      </c>
      <c r="C105" s="51"/>
      <c r="D105" s="51"/>
      <c r="E105" s="51"/>
      <c r="F105" s="221"/>
      <c r="H105" s="127" t="str">
        <f t="shared" si="32"/>
        <v/>
      </c>
      <c r="I105" s="127" t="str">
        <f t="shared" si="31"/>
        <v/>
      </c>
      <c r="J105" s="82"/>
      <c r="K105" s="61"/>
      <c r="L105" s="156"/>
      <c r="M105" s="219" t="str">
        <f t="shared" si="33"/>
        <v/>
      </c>
      <c r="N105" s="219" t="str">
        <f t="shared" si="34"/>
        <v/>
      </c>
    </row>
    <row r="106" spans="2:14" ht="14.25" customHeight="1" x14ac:dyDescent="0.2">
      <c r="F106" s="177"/>
      <c r="H106" s="127" t="str">
        <f t="shared" si="32"/>
        <v/>
      </c>
      <c r="I106" s="127" t="str">
        <f t="shared" si="31"/>
        <v/>
      </c>
      <c r="J106" s="82"/>
      <c r="K106" s="61"/>
      <c r="L106" s="156"/>
      <c r="M106" s="219" t="str">
        <f t="shared" si="33"/>
        <v/>
      </c>
      <c r="N106" s="219" t="str">
        <f t="shared" si="34"/>
        <v/>
      </c>
    </row>
    <row r="107" spans="2:14" ht="27.75" customHeight="1" x14ac:dyDescent="0.2">
      <c r="B107" s="312" t="str">
        <f>IF(AND(B109="",B110="",B111="",B112="",B113=""),"","Process (complete stack information if applicable):")</f>
        <v/>
      </c>
      <c r="C107" s="312" t="str">
        <f>IF(AND(B109="",B110="",B111="",B112="",B113=""),"","Stack Height (ft):")</f>
        <v/>
      </c>
      <c r="D107" s="312" t="str">
        <f>IF(AND(B109="",B110="",B111="",B112="",B113=""),"","Stack Diameter (inches):")</f>
        <v/>
      </c>
      <c r="E107" s="312" t="str">
        <f>IF(AND(B109="",B110="",B111="",B112="",B113=""),"","Flow Rate (acfm):")</f>
        <v/>
      </c>
      <c r="F107" s="312" t="str">
        <f>IF(AND(B109="",B110="",B111="",B112="",B113=""),"","Temp (Deg F):")</f>
        <v/>
      </c>
      <c r="G107" s="45"/>
      <c r="H107" s="127" t="str">
        <f t="shared" si="32"/>
        <v/>
      </c>
      <c r="I107" s="127" t="str">
        <f t="shared" si="31"/>
        <v/>
      </c>
      <c r="J107" s="82"/>
      <c r="K107" s="61"/>
      <c r="L107" s="156"/>
      <c r="M107" s="219" t="str">
        <f t="shared" si="33"/>
        <v/>
      </c>
      <c r="N107" s="219" t="str">
        <f t="shared" si="34"/>
        <v/>
      </c>
    </row>
    <row r="108" spans="2:14" ht="14.25" customHeight="1" x14ac:dyDescent="0.2">
      <c r="B108" s="312"/>
      <c r="C108" s="312"/>
      <c r="D108" s="312"/>
      <c r="E108" s="312"/>
      <c r="F108" s="312"/>
      <c r="G108" s="45"/>
      <c r="H108" s="127" t="str">
        <f t="shared" si="32"/>
        <v/>
      </c>
      <c r="I108" s="127" t="str">
        <f t="shared" si="31"/>
        <v/>
      </c>
      <c r="J108" s="82"/>
      <c r="K108" s="61"/>
      <c r="L108" s="156"/>
      <c r="M108" s="219" t="str">
        <f t="shared" si="33"/>
        <v/>
      </c>
      <c r="N108" s="219" t="str">
        <f t="shared" si="34"/>
        <v/>
      </c>
    </row>
    <row r="109" spans="2:14" ht="14.25" customHeight="1" x14ac:dyDescent="0.2">
      <c r="B109" s="45" t="str">
        <f>IF(COUNTIF(J102:J111,"Cement Delivery to Silo")&gt;0,"EP-2 Cement Silo Stack:","")</f>
        <v/>
      </c>
      <c r="C109" s="221"/>
      <c r="D109" s="221"/>
      <c r="E109" s="221"/>
      <c r="F109" s="221"/>
      <c r="G109" s="45"/>
      <c r="H109" s="127" t="str">
        <f t="shared" si="32"/>
        <v/>
      </c>
      <c r="I109" s="127" t="str">
        <f t="shared" si="31"/>
        <v/>
      </c>
      <c r="J109" s="82"/>
      <c r="K109" s="61"/>
      <c r="L109" s="156"/>
      <c r="M109" s="219" t="str">
        <f t="shared" si="33"/>
        <v/>
      </c>
      <c r="N109" s="219" t="str">
        <f t="shared" si="34"/>
        <v/>
      </c>
    </row>
    <row r="110" spans="2:14" ht="14.25" customHeight="1" x14ac:dyDescent="0.2">
      <c r="B110" s="45" t="str">
        <f>IF(COUNTIF(J102:J111,"Cement Supplement Delivery to Silo")&gt;0,"EP-3 Cement Supplement Silo Stack:","")</f>
        <v/>
      </c>
      <c r="C110" s="221"/>
      <c r="D110" s="221"/>
      <c r="E110" s="221"/>
      <c r="F110" s="221"/>
      <c r="G110" s="45"/>
      <c r="H110" s="127" t="str">
        <f t="shared" si="32"/>
        <v/>
      </c>
      <c r="I110" s="127" t="str">
        <f t="shared" si="31"/>
        <v/>
      </c>
      <c r="J110" s="82"/>
      <c r="K110" s="61"/>
      <c r="L110" s="156"/>
      <c r="M110" s="219" t="str">
        <f t="shared" si="33"/>
        <v/>
      </c>
      <c r="N110" s="219" t="str">
        <f t="shared" si="34"/>
        <v/>
      </c>
    </row>
    <row r="111" spans="2:14" ht="14.25" customHeight="1" x14ac:dyDescent="0.2">
      <c r="B111" s="45" t="str">
        <f>IF(COUNTIF(J102:J111,"Weigh Hopper Loading")&gt;0,"EP-4 Weigh Hopper Loading Stack:","")</f>
        <v/>
      </c>
      <c r="C111" s="221"/>
      <c r="D111" s="221"/>
      <c r="E111" s="221"/>
      <c r="F111" s="221"/>
      <c r="G111" s="45"/>
      <c r="H111" s="127" t="str">
        <f t="shared" si="32"/>
        <v/>
      </c>
      <c r="I111" s="127" t="str">
        <f t="shared" si="31"/>
        <v/>
      </c>
      <c r="J111" s="82"/>
      <c r="K111" s="61"/>
      <c r="L111" s="156"/>
      <c r="M111" s="219" t="str">
        <f t="shared" si="33"/>
        <v/>
      </c>
      <c r="N111" s="219" t="str">
        <f t="shared" si="34"/>
        <v/>
      </c>
    </row>
    <row r="112" spans="2:14" ht="14.25" customHeight="1" x14ac:dyDescent="0.2">
      <c r="B112" s="45" t="str">
        <f>IF(COUNTIF(J102:J111,"Truck Mix Loading")&gt;0,"EP-5 Truck Mix Loading Stack:","")</f>
        <v/>
      </c>
      <c r="C112" s="221"/>
      <c r="D112" s="221"/>
      <c r="E112" s="221"/>
      <c r="F112" s="221"/>
      <c r="G112" s="45"/>
      <c r="H112" s="45"/>
      <c r="I112" s="45"/>
    </row>
    <row r="113" spans="2:14" ht="14.25" customHeight="1" x14ac:dyDescent="0.2">
      <c r="B113" s="45" t="str">
        <f>IF(COUNTIF(J102:J111,"Central Mix Loading")&gt;0,"EP-6 Central Mix Loading Stack:","")</f>
        <v/>
      </c>
      <c r="C113" s="221"/>
      <c r="D113" s="221"/>
      <c r="E113" s="221"/>
      <c r="F113" s="221"/>
      <c r="G113" s="45"/>
      <c r="H113" s="74" t="str">
        <f>IF('Concrete Plant (CP-7)'!$D$4&gt;5,"Stock Pile Area","")</f>
        <v/>
      </c>
      <c r="I113" s="74"/>
      <c r="J113" s="75"/>
    </row>
    <row r="114" spans="2:14" ht="14.25" customHeight="1" x14ac:dyDescent="0.2">
      <c r="B114" s="73"/>
      <c r="C114" s="163"/>
      <c r="D114" s="163"/>
      <c r="E114" s="163"/>
      <c r="F114" s="176"/>
      <c r="G114" s="45"/>
      <c r="I114" s="51" t="str">
        <f>IF('Concrete Plant (CP-7)'!$D$4&gt;5,"Emission Unit #","")</f>
        <v/>
      </c>
      <c r="J114" s="80" t="str">
        <f>IF('Concrete Plant (CP-7)'!$D$4&gt;5,"Maximum Storage Area (acres)","")</f>
        <v/>
      </c>
      <c r="K114" s="81" t="str">
        <f>IF('Concrete Plant (CP-7)'!$D$4&gt;5,"Actual Storage Area (acres)","")</f>
        <v/>
      </c>
      <c r="L114" s="80" t="str">
        <f>IF('Concrete Plant (CP-7)'!$D$4&gt;5,"Actual Days in Existence (days)","")</f>
        <v/>
      </c>
      <c r="M114" s="146"/>
      <c r="N114" s="146"/>
    </row>
    <row r="115" spans="2:14" ht="14.25" customHeight="1" x14ac:dyDescent="0.2">
      <c r="B115" s="73"/>
      <c r="C115" s="163"/>
      <c r="D115" s="163"/>
      <c r="E115" s="163"/>
      <c r="F115" s="176"/>
      <c r="G115" s="45"/>
      <c r="I115" s="65"/>
      <c r="J115" s="144"/>
      <c r="K115" s="66"/>
      <c r="L115" s="144"/>
      <c r="M115" s="146"/>
      <c r="N115" s="146"/>
    </row>
    <row r="116" spans="2:14" ht="14.25" customHeight="1" x14ac:dyDescent="0.2">
      <c r="B116" s="73"/>
      <c r="C116" s="163"/>
      <c r="D116" s="163"/>
      <c r="E116" s="163"/>
      <c r="F116" s="176"/>
      <c r="G116" s="45"/>
      <c r="I116" s="139"/>
      <c r="J116" s="125"/>
      <c r="K116" s="125"/>
      <c r="L116" s="125"/>
      <c r="M116" s="146"/>
      <c r="N116" s="146"/>
    </row>
    <row r="117" spans="2:14" ht="28.5" customHeight="1" x14ac:dyDescent="0.25">
      <c r="B117" s="78" t="str">
        <f>IF('Concrete Plant (CP-7)'!$D$4&gt;6,"Batch Plant","")</f>
        <v/>
      </c>
      <c r="C117" s="71" t="str">
        <f>IF('Concrete Plant (CP-7)'!$D$4&gt;6,"Site 7","")</f>
        <v/>
      </c>
      <c r="D117" s="71"/>
      <c r="E117" s="71"/>
      <c r="F117" s="71"/>
      <c r="G117" s="76"/>
      <c r="H117" s="310" t="str">
        <f>IF('Concrete Plant (CP-7)'!$D$4&gt;6,"Emission Point #","")</f>
        <v/>
      </c>
      <c r="I117" s="310" t="str">
        <f>IF('Concrete Plant (CP-7)'!$D$4&gt;6,"Emission     Unit #","")</f>
        <v/>
      </c>
      <c r="J117" s="310" t="str">
        <f>IF('Concrete Plant (CP-7)'!$D$4&gt;6,"Processes","")</f>
        <v/>
      </c>
      <c r="K117" s="311" t="str">
        <f>IF('Concrete Plant (CP-7)'!$D$4&gt;6,"Combined Maximum Hourly Design Rate for all Like Processes (cubic yard/hr)","")</f>
        <v/>
      </c>
      <c r="L117" s="310" t="str">
        <f>IF('Concrete Plant (CP-7)'!$D$4&gt;6,('Facility Information'!G5&amp;" Annual Throughput (cubic yards)"),"")</f>
        <v/>
      </c>
      <c r="M117" s="217"/>
      <c r="N117" s="217"/>
    </row>
    <row r="118" spans="2:14" ht="14.25" customHeight="1" x14ac:dyDescent="0.2">
      <c r="B118" s="79" t="str">
        <f>IF('Concrete Plant (CP-7)'!$D$4&gt;6,"Site Name:","")</f>
        <v/>
      </c>
      <c r="C118" s="349"/>
      <c r="D118" s="356"/>
      <c r="E118" s="357"/>
      <c r="F118" s="175"/>
      <c r="H118" s="127" t="str">
        <f>IF(J118="cement delivery to silo","CP-1 EP-2",IF(J118="cement supplement delivery to silo","CP-1 EP-3",IF(J118="weigh hopper loading","CP-1 EP-4",IF(J118="truck mix loading","CP-1 EP-5",IF(J118="central mix loading","CP-1 EP-6",IF(J118="","","CP-1 EP-1"))))))</f>
        <v/>
      </c>
      <c r="I118" s="127" t="str">
        <f t="shared" ref="I118:I127" si="35">IF(J118="","",IF(J118="aggregate delivery to ground storage","CP-7 EU-1",IF(J118="sand delivery to ground storage","CP-7 EU-2",IF(J118="aggregate transfer to conveyor","CP-7 EU-3",IF(J118="sand transfer to conveyor","CP-7 EU-4",IF(J118="aggregate transfer to elevated storage","CP-7 EU-5",IF(J118="sand transfer to elevated storage","CP-7 EU-6",IF(J118="weigh hopper loading","CP-7 EU-7",IF(J118="central mix loading","CP-7 EU-8",IF(J118="truck mix loading","CP-7 EU-9",IF(J118="cement delivery to silo","CP-7 EU-10",IF(J118="cement supplement delivery to silo","CP-7 EU-11"))))))))))))</f>
        <v/>
      </c>
      <c r="J118" s="82"/>
      <c r="K118" s="61"/>
      <c r="L118" s="156"/>
      <c r="M118" s="219" t="str">
        <f>IF(J118="truck mix loading",IF($F$121="yes",L118*0.05/2000,L118/2000),"")</f>
        <v/>
      </c>
      <c r="N118" s="219" t="str">
        <f>IF(J118="central mix loading",IF($F$121="yes",L118*0.05/2000,L118/2000),"")</f>
        <v/>
      </c>
    </row>
    <row r="119" spans="2:14" ht="14.25" customHeight="1" x14ac:dyDescent="0.2">
      <c r="B119" s="79" t="str">
        <f>IF('Concrete Plant (CP-7)'!$D$4&gt;6,"County:","")</f>
        <v/>
      </c>
      <c r="C119" s="339"/>
      <c r="D119" s="342"/>
      <c r="E119" s="343"/>
      <c r="F119" s="175"/>
      <c r="H119" s="127" t="str">
        <f t="shared" ref="H119:H127" si="36">IF(J119="cement delivery to silo","CP-1 EP-2",IF(J119="cement supplement delivery to silo","CP-1 EP-3",IF(J119="weigh hopper loading","CP-1 EP-4",IF(J119="truck mix loading","CP-1 EP-5",IF(J119="central mix loading","CP-1 EP-6",IF(J119="","","CP-1 EP-1"))))))</f>
        <v/>
      </c>
      <c r="I119" s="127" t="str">
        <f t="shared" si="35"/>
        <v/>
      </c>
      <c r="J119" s="82"/>
      <c r="K119" s="61"/>
      <c r="L119" s="156"/>
      <c r="M119" s="219" t="str">
        <f t="shared" ref="M119:M127" si="37">IF(J119="truck mix loading",IF($F$121="yes",L119*0.05/2000,L119/2000),"")</f>
        <v/>
      </c>
      <c r="N119" s="219" t="str">
        <f t="shared" ref="N119:N127" si="38">IF(J119="central mix loading",IF($F$121="yes",L119*0.05/2000,L119/2000),"")</f>
        <v/>
      </c>
    </row>
    <row r="120" spans="2:14" ht="14.25" customHeight="1" x14ac:dyDescent="0.2">
      <c r="B120" s="79" t="str">
        <f>IF('Concrete Plant (CP-7)'!$D$4&gt;6,"Batching Period (Dates):","")</f>
        <v/>
      </c>
      <c r="C120" s="352"/>
      <c r="D120" s="358"/>
      <c r="E120" s="359"/>
      <c r="F120" s="175"/>
      <c r="H120" s="127" t="str">
        <f t="shared" si="36"/>
        <v/>
      </c>
      <c r="I120" s="127" t="str">
        <f t="shared" si="35"/>
        <v/>
      </c>
      <c r="J120" s="82"/>
      <c r="K120" s="61"/>
      <c r="L120" s="156"/>
      <c r="M120" s="219" t="str">
        <f t="shared" si="37"/>
        <v/>
      </c>
      <c r="N120" s="219" t="str">
        <f t="shared" si="38"/>
        <v/>
      </c>
    </row>
    <row r="121" spans="2:14" ht="14.25" customHeight="1" x14ac:dyDescent="0.2">
      <c r="B121" s="51" t="str">
        <f>IF(OR(COUNTIF(J118:J127,"Truck Mix Loading")&gt;0,(COUNTIF(J118:J127,"Central Mix Loading")&gt;0)),"Is the Central/Truck Mix Loading process controlled by a baghouse?","")</f>
        <v/>
      </c>
      <c r="C121" s="51"/>
      <c r="D121" s="51"/>
      <c r="E121" s="51"/>
      <c r="F121" s="221"/>
      <c r="G121" s="45"/>
      <c r="H121" s="127" t="str">
        <f t="shared" si="36"/>
        <v/>
      </c>
      <c r="I121" s="127" t="str">
        <f t="shared" si="35"/>
        <v/>
      </c>
      <c r="J121" s="82"/>
      <c r="K121" s="61"/>
      <c r="L121" s="156"/>
      <c r="M121" s="219" t="str">
        <f t="shared" si="37"/>
        <v/>
      </c>
      <c r="N121" s="219" t="str">
        <f t="shared" si="38"/>
        <v/>
      </c>
    </row>
    <row r="122" spans="2:14" ht="14.25" customHeight="1" x14ac:dyDescent="0.2">
      <c r="F122" s="177"/>
      <c r="G122" s="45"/>
      <c r="H122" s="127" t="str">
        <f t="shared" si="36"/>
        <v/>
      </c>
      <c r="I122" s="127" t="str">
        <f t="shared" si="35"/>
        <v/>
      </c>
      <c r="J122" s="82"/>
      <c r="K122" s="61"/>
      <c r="L122" s="156"/>
      <c r="M122" s="219" t="str">
        <f t="shared" si="37"/>
        <v/>
      </c>
      <c r="N122" s="219" t="str">
        <f t="shared" si="38"/>
        <v/>
      </c>
    </row>
    <row r="123" spans="2:14" ht="30" customHeight="1" x14ac:dyDescent="0.2">
      <c r="B123" s="312" t="str">
        <f>IF(AND(B125="",B126="",B127="",B128="",B129=""),"","Process (complete stack information if applicable):")</f>
        <v/>
      </c>
      <c r="C123" s="312" t="str">
        <f>IF(AND(B125="",B126="",B127="",B128="",B129=""),"","Stack Height (ft):")</f>
        <v/>
      </c>
      <c r="D123" s="312" t="str">
        <f>IF(AND(B125="",B126="",B127="",B128="",B129=""),"","Stack Diameter (inches):")</f>
        <v/>
      </c>
      <c r="E123" s="312" t="str">
        <f>IF(AND(B125="",B126="",B127="",B128="",B129=""),"","Flow Rate (acfm):")</f>
        <v/>
      </c>
      <c r="F123" s="312" t="str">
        <f>IF(AND(B125="",B126="",B127="",B128="",B129=""),"","Temp (Deg F):")</f>
        <v/>
      </c>
      <c r="G123" s="45"/>
      <c r="H123" s="127" t="str">
        <f t="shared" si="36"/>
        <v/>
      </c>
      <c r="I123" s="127" t="str">
        <f t="shared" si="35"/>
        <v/>
      </c>
      <c r="J123" s="82"/>
      <c r="K123" s="61"/>
      <c r="L123" s="156"/>
      <c r="M123" s="219" t="str">
        <f t="shared" si="37"/>
        <v/>
      </c>
      <c r="N123" s="219" t="str">
        <f t="shared" si="38"/>
        <v/>
      </c>
    </row>
    <row r="124" spans="2:14" ht="14.25" customHeight="1" x14ac:dyDescent="0.2">
      <c r="B124" s="312"/>
      <c r="C124" s="312"/>
      <c r="D124" s="312"/>
      <c r="E124" s="312"/>
      <c r="F124" s="312"/>
      <c r="G124" s="45"/>
      <c r="H124" s="127" t="str">
        <f t="shared" si="36"/>
        <v/>
      </c>
      <c r="I124" s="127" t="str">
        <f t="shared" si="35"/>
        <v/>
      </c>
      <c r="J124" s="82"/>
      <c r="K124" s="61"/>
      <c r="L124" s="156"/>
      <c r="M124" s="219" t="str">
        <f t="shared" si="37"/>
        <v/>
      </c>
      <c r="N124" s="219" t="str">
        <f t="shared" si="38"/>
        <v/>
      </c>
    </row>
    <row r="125" spans="2:14" ht="14.25" customHeight="1" x14ac:dyDescent="0.2">
      <c r="B125" s="45" t="str">
        <f>IF(COUNTIF(J118:J127,"Cement Delivery to Silo")&gt;0,"EP-2 Cement Silo Stack:","")</f>
        <v/>
      </c>
      <c r="C125" s="221"/>
      <c r="D125" s="221"/>
      <c r="E125" s="221"/>
      <c r="F125" s="221"/>
      <c r="G125" s="45"/>
      <c r="H125" s="127" t="str">
        <f t="shared" si="36"/>
        <v/>
      </c>
      <c r="I125" s="127" t="str">
        <f t="shared" si="35"/>
        <v/>
      </c>
      <c r="J125" s="82"/>
      <c r="K125" s="61"/>
      <c r="L125" s="156"/>
      <c r="M125" s="219" t="str">
        <f t="shared" si="37"/>
        <v/>
      </c>
      <c r="N125" s="219" t="str">
        <f t="shared" si="38"/>
        <v/>
      </c>
    </row>
    <row r="126" spans="2:14" ht="14.25" customHeight="1" x14ac:dyDescent="0.2">
      <c r="B126" s="45" t="str">
        <f>IF(COUNTIF(J118:J127,"Cement Supplement Delivery to Silo")&gt;0,"EP-3 Cement Supplement Silo Stack:","")</f>
        <v/>
      </c>
      <c r="C126" s="221"/>
      <c r="D126" s="221"/>
      <c r="E126" s="221"/>
      <c r="F126" s="221"/>
      <c r="G126" s="45"/>
      <c r="H126" s="127" t="str">
        <f t="shared" si="36"/>
        <v/>
      </c>
      <c r="I126" s="127" t="str">
        <f t="shared" si="35"/>
        <v/>
      </c>
      <c r="J126" s="82"/>
      <c r="K126" s="61"/>
      <c r="L126" s="156"/>
      <c r="M126" s="219" t="str">
        <f t="shared" si="37"/>
        <v/>
      </c>
      <c r="N126" s="219" t="str">
        <f t="shared" si="38"/>
        <v/>
      </c>
    </row>
    <row r="127" spans="2:14" ht="14.25" customHeight="1" x14ac:dyDescent="0.2">
      <c r="B127" s="45" t="str">
        <f>IF(COUNTIF(J118:J127,"Weigh Hopper Loading")&gt;0,"EP-4 Weigh Hopper Loading Stack:","")</f>
        <v/>
      </c>
      <c r="C127" s="221"/>
      <c r="D127" s="221"/>
      <c r="E127" s="221"/>
      <c r="F127" s="221"/>
      <c r="G127" s="45"/>
      <c r="H127" s="127" t="str">
        <f t="shared" si="36"/>
        <v/>
      </c>
      <c r="I127" s="127" t="str">
        <f t="shared" si="35"/>
        <v/>
      </c>
      <c r="J127" s="82"/>
      <c r="K127" s="61"/>
      <c r="L127" s="156"/>
      <c r="M127" s="219" t="str">
        <f t="shared" si="37"/>
        <v/>
      </c>
      <c r="N127" s="219" t="str">
        <f t="shared" si="38"/>
        <v/>
      </c>
    </row>
    <row r="128" spans="2:14" ht="14.25" customHeight="1" x14ac:dyDescent="0.2">
      <c r="B128" s="45" t="str">
        <f>IF(COUNTIF(J118:J127,"Truck Mix Loading")&gt;0,"EP-5 Truck Mix Loading Stack:","")</f>
        <v/>
      </c>
      <c r="C128" s="221"/>
      <c r="D128" s="221"/>
      <c r="E128" s="221"/>
      <c r="F128" s="221"/>
      <c r="G128" s="45"/>
      <c r="H128" s="45"/>
      <c r="I128" s="45"/>
    </row>
    <row r="129" spans="2:14" ht="14.25" customHeight="1" x14ac:dyDescent="0.2">
      <c r="B129" s="45" t="str">
        <f>IF(COUNTIF(J118:J127,"Central Mix Loading")&gt;0,"EP-6 Central Mix Loading Stack:","")</f>
        <v/>
      </c>
      <c r="C129" s="221"/>
      <c r="D129" s="221"/>
      <c r="E129" s="221"/>
      <c r="F129" s="221"/>
      <c r="G129" s="45"/>
      <c r="H129" s="74" t="str">
        <f>IF('Concrete Plant (CP-7)'!$D$4&gt;6,"Stock Pile Area","")</f>
        <v/>
      </c>
      <c r="I129" s="74"/>
      <c r="J129" s="75"/>
    </row>
    <row r="130" spans="2:14" ht="14.25" customHeight="1" x14ac:dyDescent="0.2">
      <c r="B130" s="73"/>
      <c r="C130" s="163"/>
      <c r="D130" s="163"/>
      <c r="E130" s="163"/>
      <c r="F130" s="176"/>
      <c r="G130" s="45"/>
      <c r="I130" s="51" t="str">
        <f>IF('Concrete Plant (CP-7)'!$D$4&gt;6,"Emission Unit #","")</f>
        <v/>
      </c>
      <c r="J130" s="80" t="str">
        <f>IF('Concrete Plant (CP-7)'!$D$4&gt;6,"Maximum Storage Area (acres)","")</f>
        <v/>
      </c>
      <c r="K130" s="81" t="str">
        <f>IF('Concrete Plant (CP-7)'!$D$4&gt;6,"Actual Storage Area (acres)","")</f>
        <v/>
      </c>
      <c r="L130" s="80" t="str">
        <f>IF('Concrete Plant (CP-7)'!$D$4&gt;6,"Actual Days in Existence (days)","")</f>
        <v/>
      </c>
      <c r="M130" s="146"/>
      <c r="N130" s="146"/>
    </row>
    <row r="131" spans="2:14" ht="14.25" customHeight="1" x14ac:dyDescent="0.2">
      <c r="B131" s="73"/>
      <c r="C131" s="163"/>
      <c r="D131" s="163"/>
      <c r="E131" s="163"/>
      <c r="F131" s="176"/>
      <c r="I131" s="65"/>
      <c r="J131" s="144"/>
      <c r="K131" s="66"/>
      <c r="L131" s="144"/>
      <c r="M131" s="146"/>
      <c r="N131" s="146"/>
    </row>
    <row r="132" spans="2:14" ht="14.25" customHeight="1" x14ac:dyDescent="0.2">
      <c r="B132" s="73"/>
      <c r="C132" s="163"/>
      <c r="D132" s="163"/>
      <c r="E132" s="163"/>
      <c r="F132" s="176"/>
      <c r="G132" s="76"/>
    </row>
    <row r="133" spans="2:14" ht="27.75" customHeight="1" x14ac:dyDescent="0.25">
      <c r="B133" s="78" t="str">
        <f>IF('Concrete Plant (CP-7)'!$D$4&gt;7,"Batch Plant","")</f>
        <v/>
      </c>
      <c r="C133" s="71" t="str">
        <f>IF('Concrete Plant (CP-7)'!$D$4&gt;7,"Site 8","")</f>
        <v/>
      </c>
      <c r="D133" s="71"/>
      <c r="E133" s="71"/>
      <c r="F133" s="71"/>
      <c r="H133" s="310" t="str">
        <f>IF('Concrete Plant (CP-7)'!$D$4&gt;7,"Emission Point #","")</f>
        <v/>
      </c>
      <c r="I133" s="310" t="str">
        <f>IF('Concrete Plant (CP-7)'!$D$4&gt;7,"Emission     Unit #","")</f>
        <v/>
      </c>
      <c r="J133" s="310" t="str">
        <f>IF('Concrete Plant (CP-7)'!$D$4&gt;7,"Processes","")</f>
        <v/>
      </c>
      <c r="K133" s="311" t="str">
        <f>IF('Concrete Plant (CP-7)'!$D$4&gt;7,"Combined Maximum Hourly Design Rate for all Like Processes (cubic yard/hr)","")</f>
        <v/>
      </c>
      <c r="L133" s="310" t="str">
        <f>IF('Concrete Plant (CP-7)'!$D$4&gt;7,('Facility Information'!G5&amp;" Annual Throughput (cubic yards)"),"")</f>
        <v/>
      </c>
      <c r="M133" s="217"/>
      <c r="N133" s="217"/>
    </row>
    <row r="134" spans="2:14" ht="14.25" customHeight="1" x14ac:dyDescent="0.2">
      <c r="B134" s="79" t="str">
        <f>IF('Concrete Plant (CP-7)'!$D$4&gt;7,"Site Name:","")</f>
        <v/>
      </c>
      <c r="C134" s="349"/>
      <c r="D134" s="356"/>
      <c r="E134" s="357"/>
      <c r="F134" s="175"/>
      <c r="H134" s="127" t="str">
        <f>IF(J134="cement delivery to silo","CP-1 EP-2",IF(J134="cement supplement delivery to silo","CP-1 EP-3",IF(J134="weigh hopper loading","CP-1 EP-4",IF(J134="truck mix loading","CP-1 EP-5",IF(J134="central mix loading","CP-1 EP-6",IF(J134="","","CP-1 EP-1"))))))</f>
        <v/>
      </c>
      <c r="I134" s="127" t="str">
        <f t="shared" ref="I134:I143" si="39">IF(J134="","",IF(J134="aggregate delivery to ground storage","CP-7 EU-1",IF(J134="sand delivery to ground storage","CP-7 EU-2",IF(J134="aggregate transfer to conveyor","CP-7 EU-3",IF(J134="sand transfer to conveyor","CP-7 EU-4",IF(J134="aggregate transfer to elevated storage","CP-7 EU-5",IF(J134="sand transfer to elevated storage","CP-7 EU-6",IF(J134="weigh hopper loading","CP-7 EU-7",IF(J134="central mix loading","CP-7 EU-8",IF(J134="truck mix loading","CP-7 EU-9",IF(J134="cement delivery to silo","CP-7 EU-10",IF(J134="cement supplement delivery to silo","CP-7 EU-11"))))))))))))</f>
        <v/>
      </c>
      <c r="J134" s="82"/>
      <c r="K134" s="61"/>
      <c r="L134" s="156"/>
      <c r="M134" s="219" t="str">
        <f>IF(J134="truck mix loading",IF($F$137="yes",L134*0.05/2000,L134/2000),"")</f>
        <v/>
      </c>
      <c r="N134" s="219" t="str">
        <f>IF(J134="central mix loading",IF($F$137="yes",L134*0.05/2000,L134/2000),"")</f>
        <v/>
      </c>
    </row>
    <row r="135" spans="2:14" ht="14.25" customHeight="1" x14ac:dyDescent="0.2">
      <c r="B135" s="79" t="str">
        <f>IF('Concrete Plant (CP-7)'!$D$4&gt;7,"County:","")</f>
        <v/>
      </c>
      <c r="C135" s="339"/>
      <c r="D135" s="342"/>
      <c r="E135" s="343"/>
      <c r="F135" s="175"/>
      <c r="G135" s="45"/>
      <c r="H135" s="127" t="str">
        <f t="shared" ref="H135:H143" si="40">IF(J135="cement delivery to silo","CP-1 EP-2",IF(J135="cement supplement delivery to silo","CP-1 EP-3",IF(J135="weigh hopper loading","CP-1 EP-4",IF(J135="truck mix loading","CP-1 EP-5",IF(J135="central mix loading","CP-1 EP-6",IF(J135="","","CP-1 EP-1"))))))</f>
        <v/>
      </c>
      <c r="I135" s="127" t="str">
        <f t="shared" si="39"/>
        <v/>
      </c>
      <c r="J135" s="82"/>
      <c r="K135" s="61"/>
      <c r="L135" s="156"/>
      <c r="M135" s="219" t="str">
        <f t="shared" ref="M135:M143" si="41">IF(J135="truck mix loading",IF($F$137="yes",L135*0.05/2000,L135/2000),"")</f>
        <v/>
      </c>
      <c r="N135" s="219" t="str">
        <f t="shared" ref="N135:N143" si="42">IF(J135="central mix loading",IF($F$137="yes",L135*0.05/2000,L135/2000),"")</f>
        <v/>
      </c>
    </row>
    <row r="136" spans="2:14" ht="14.25" customHeight="1" x14ac:dyDescent="0.2">
      <c r="B136" s="79" t="str">
        <f>IF('Concrete Plant (CP-7)'!$D$4&gt;7,"Batching Period (Dates):","")</f>
        <v/>
      </c>
      <c r="C136" s="352"/>
      <c r="D136" s="358"/>
      <c r="E136" s="359"/>
      <c r="F136" s="175"/>
      <c r="G136" s="45"/>
      <c r="H136" s="127" t="str">
        <f t="shared" si="40"/>
        <v/>
      </c>
      <c r="I136" s="127" t="str">
        <f t="shared" si="39"/>
        <v/>
      </c>
      <c r="J136" s="82"/>
      <c r="K136" s="61"/>
      <c r="L136" s="156"/>
      <c r="M136" s="219" t="str">
        <f t="shared" si="41"/>
        <v/>
      </c>
      <c r="N136" s="219" t="str">
        <f t="shared" si="42"/>
        <v/>
      </c>
    </row>
    <row r="137" spans="2:14" ht="14.25" customHeight="1" x14ac:dyDescent="0.2">
      <c r="B137" s="51" t="str">
        <f>IF(OR(COUNTIF(J134:J143,"Truck Mix Loading")&gt;0,(COUNTIF(J134:J143,"Central Mix Loading")&gt;0)),"Is the Central/Truck Mix Loading process controlled by a baghouse?","")</f>
        <v/>
      </c>
      <c r="C137" s="51"/>
      <c r="D137" s="51"/>
      <c r="E137" s="51"/>
      <c r="F137" s="221"/>
      <c r="G137" s="45"/>
      <c r="H137" s="127" t="str">
        <f t="shared" si="40"/>
        <v/>
      </c>
      <c r="I137" s="127" t="str">
        <f t="shared" si="39"/>
        <v/>
      </c>
      <c r="J137" s="82"/>
      <c r="K137" s="61"/>
      <c r="L137" s="156"/>
      <c r="M137" s="219" t="str">
        <f t="shared" si="41"/>
        <v/>
      </c>
      <c r="N137" s="219" t="str">
        <f t="shared" si="42"/>
        <v/>
      </c>
    </row>
    <row r="138" spans="2:14" ht="14.25" customHeight="1" x14ac:dyDescent="0.2">
      <c r="F138" s="177"/>
      <c r="G138" s="45"/>
      <c r="H138" s="127" t="str">
        <f t="shared" si="40"/>
        <v/>
      </c>
      <c r="I138" s="127" t="str">
        <f t="shared" si="39"/>
        <v/>
      </c>
      <c r="J138" s="82"/>
      <c r="K138" s="61"/>
      <c r="L138" s="156"/>
      <c r="M138" s="219" t="str">
        <f t="shared" si="41"/>
        <v/>
      </c>
      <c r="N138" s="219" t="str">
        <f t="shared" si="42"/>
        <v/>
      </c>
    </row>
    <row r="139" spans="2:14" ht="28.5" customHeight="1" x14ac:dyDescent="0.2">
      <c r="B139" s="312" t="str">
        <f>IF(AND(B141="",B142="",B143="",B144="",B145=""),"","Process (complete stack information if applicable):")</f>
        <v/>
      </c>
      <c r="C139" s="312" t="str">
        <f>IF(AND(B141="",B142="",B143="",B144="",B145=""),"","Stack Height (ft):")</f>
        <v/>
      </c>
      <c r="D139" s="312" t="str">
        <f>IF(AND(B141="",B142="",B143="",B144="",B145=""),"","Stack Diameter (inches):")</f>
        <v/>
      </c>
      <c r="E139" s="312" t="str">
        <f>IF(AND(B141="",B142="",B143="",B144="",B145=""),"","Flow Rate (acfm):")</f>
        <v/>
      </c>
      <c r="F139" s="312" t="str">
        <f>IF(AND(B141="",B142="",B143="",B144="",B145=""),"","Temp (Deg F):")</f>
        <v/>
      </c>
      <c r="G139" s="45"/>
      <c r="H139" s="127" t="str">
        <f t="shared" si="40"/>
        <v/>
      </c>
      <c r="I139" s="127" t="str">
        <f t="shared" si="39"/>
        <v/>
      </c>
      <c r="J139" s="82"/>
      <c r="K139" s="61"/>
      <c r="L139" s="156"/>
      <c r="M139" s="219" t="str">
        <f t="shared" si="41"/>
        <v/>
      </c>
      <c r="N139" s="219" t="str">
        <f t="shared" si="42"/>
        <v/>
      </c>
    </row>
    <row r="140" spans="2:14" ht="14.25" customHeight="1" x14ac:dyDescent="0.2">
      <c r="B140" s="312"/>
      <c r="C140" s="312"/>
      <c r="D140" s="312"/>
      <c r="E140" s="312"/>
      <c r="F140" s="312"/>
      <c r="G140" s="45"/>
      <c r="H140" s="127" t="str">
        <f t="shared" si="40"/>
        <v/>
      </c>
      <c r="I140" s="127" t="str">
        <f t="shared" si="39"/>
        <v/>
      </c>
      <c r="J140" s="82"/>
      <c r="K140" s="61"/>
      <c r="L140" s="156"/>
      <c r="M140" s="219" t="str">
        <f t="shared" si="41"/>
        <v/>
      </c>
      <c r="N140" s="219" t="str">
        <f t="shared" si="42"/>
        <v/>
      </c>
    </row>
    <row r="141" spans="2:14" ht="14.25" customHeight="1" x14ac:dyDescent="0.2">
      <c r="B141" s="45" t="str">
        <f>IF(COUNTIF(J134:J143,"Cement Delivery to Silo")&gt;0,"EP-2 Cement Silo Stack:","")</f>
        <v/>
      </c>
      <c r="C141" s="221"/>
      <c r="D141" s="221"/>
      <c r="E141" s="221"/>
      <c r="F141" s="221"/>
      <c r="G141" s="45"/>
      <c r="H141" s="127" t="str">
        <f t="shared" si="40"/>
        <v/>
      </c>
      <c r="I141" s="127" t="str">
        <f t="shared" si="39"/>
        <v/>
      </c>
      <c r="J141" s="82"/>
      <c r="K141" s="61"/>
      <c r="L141" s="156"/>
      <c r="M141" s="219" t="str">
        <f t="shared" si="41"/>
        <v/>
      </c>
      <c r="N141" s="219" t="str">
        <f t="shared" si="42"/>
        <v/>
      </c>
    </row>
    <row r="142" spans="2:14" ht="14.25" customHeight="1" x14ac:dyDescent="0.2">
      <c r="B142" s="45" t="str">
        <f>IF(COUNTIF(J134:J143,"Cement Supplement Delivery to Silo")&gt;0,"EP-3 Cement Supplement Silo Stack:","")</f>
        <v/>
      </c>
      <c r="C142" s="221"/>
      <c r="D142" s="221"/>
      <c r="E142" s="221"/>
      <c r="F142" s="221"/>
      <c r="G142" s="45"/>
      <c r="H142" s="127" t="str">
        <f t="shared" si="40"/>
        <v/>
      </c>
      <c r="I142" s="127" t="str">
        <f t="shared" si="39"/>
        <v/>
      </c>
      <c r="J142" s="82"/>
      <c r="K142" s="61"/>
      <c r="L142" s="156"/>
      <c r="M142" s="219" t="str">
        <f t="shared" si="41"/>
        <v/>
      </c>
      <c r="N142" s="219" t="str">
        <f t="shared" si="42"/>
        <v/>
      </c>
    </row>
    <row r="143" spans="2:14" ht="14.25" customHeight="1" x14ac:dyDescent="0.2">
      <c r="B143" s="45" t="str">
        <f>IF(COUNTIF(J134:J143,"Weigh Hopper Loading")&gt;0,"EP-4 Weigh Hopper Loading Stack:","")</f>
        <v/>
      </c>
      <c r="C143" s="221"/>
      <c r="D143" s="221"/>
      <c r="E143" s="221"/>
      <c r="F143" s="221"/>
      <c r="G143" s="45"/>
      <c r="H143" s="127" t="str">
        <f t="shared" si="40"/>
        <v/>
      </c>
      <c r="I143" s="127" t="str">
        <f t="shared" si="39"/>
        <v/>
      </c>
      <c r="J143" s="82"/>
      <c r="K143" s="61"/>
      <c r="L143" s="156"/>
      <c r="M143" s="219" t="str">
        <f t="shared" si="41"/>
        <v/>
      </c>
      <c r="N143" s="219" t="str">
        <f t="shared" si="42"/>
        <v/>
      </c>
    </row>
    <row r="144" spans="2:14" ht="14.25" customHeight="1" x14ac:dyDescent="0.2">
      <c r="B144" s="45" t="str">
        <f>IF(COUNTIF(J134:J143,"Truck Mix Loading")&gt;0,"EP-5 Truck Mix Loading Stack:","")</f>
        <v/>
      </c>
      <c r="C144" s="221"/>
      <c r="D144" s="221"/>
      <c r="E144" s="221"/>
      <c r="F144" s="221"/>
      <c r="G144" s="45"/>
      <c r="H144" s="45"/>
      <c r="I144" s="45"/>
    </row>
    <row r="145" spans="2:14" ht="14.25" customHeight="1" x14ac:dyDescent="0.2">
      <c r="B145" s="45" t="str">
        <f>IF(COUNTIF(J134:J143,"Central Mix Loading")&gt;0,"EP-6 Central Mix Loading Stack:","")</f>
        <v/>
      </c>
      <c r="C145" s="221"/>
      <c r="D145" s="221"/>
      <c r="E145" s="221"/>
      <c r="F145" s="221"/>
      <c r="H145" s="74" t="str">
        <f>IF('Concrete Plant (CP-7)'!$D$4&gt;7,"Stock Pile Area","")</f>
        <v/>
      </c>
      <c r="I145" s="74"/>
      <c r="J145" s="75"/>
    </row>
    <row r="146" spans="2:14" ht="14.25" customHeight="1" x14ac:dyDescent="0.2">
      <c r="B146" s="73"/>
      <c r="C146" s="163"/>
      <c r="D146" s="163"/>
      <c r="E146" s="163"/>
      <c r="F146" s="176"/>
      <c r="G146" s="76"/>
      <c r="I146" s="51" t="str">
        <f>IF('Concrete Plant (CP-7)'!$D$4&gt;7,"Emission Unit #","")</f>
        <v/>
      </c>
      <c r="J146" s="80" t="str">
        <f>IF('Concrete Plant (CP-7)'!$D$4&gt;7,"Maximum Storage Area (acres)","")</f>
        <v/>
      </c>
      <c r="K146" s="81" t="str">
        <f>IF('Concrete Plant (CP-7)'!$D$4&gt;7,"Actual Storage Area (acres)","")</f>
        <v/>
      </c>
      <c r="L146" s="80" t="str">
        <f>IF('Concrete Plant (CP-7)'!$D$4&gt;7,"Actual Days in Existence (days)","")</f>
        <v/>
      </c>
      <c r="M146" s="146"/>
      <c r="N146" s="146"/>
    </row>
    <row r="147" spans="2:14" ht="14.25" customHeight="1" x14ac:dyDescent="0.2">
      <c r="B147" s="73"/>
      <c r="C147" s="163"/>
      <c r="D147" s="163"/>
      <c r="E147" s="163"/>
      <c r="F147" s="176"/>
      <c r="I147" s="65"/>
      <c r="J147" s="144"/>
      <c r="K147" s="66"/>
      <c r="L147" s="144"/>
      <c r="M147" s="146"/>
      <c r="N147" s="146"/>
    </row>
    <row r="148" spans="2:14" ht="14.25" customHeight="1" x14ac:dyDescent="0.2">
      <c r="B148" s="73"/>
      <c r="C148" s="163"/>
      <c r="D148" s="163"/>
      <c r="E148" s="163"/>
      <c r="F148" s="176"/>
    </row>
    <row r="149" spans="2:14" ht="29.25" customHeight="1" x14ac:dyDescent="0.25">
      <c r="B149" s="78" t="str">
        <f>IF('Concrete Plant (CP-7)'!$D$4&gt;8,"Batch Plant","")</f>
        <v/>
      </c>
      <c r="C149" s="71" t="str">
        <f>IF('Concrete Plant (CP-7)'!$D$4&gt;8,"Site 9","")</f>
        <v/>
      </c>
      <c r="D149" s="71"/>
      <c r="E149" s="71"/>
      <c r="F149" s="71"/>
      <c r="H149" s="310" t="str">
        <f>IF('Concrete Plant (CP-7)'!$D$4&gt;8,"Emission Point #","")</f>
        <v/>
      </c>
      <c r="I149" s="310" t="str">
        <f>IF('Concrete Plant (CP-7)'!$D$4&gt;8,"Emission     Unit #","")</f>
        <v/>
      </c>
      <c r="J149" s="310" t="str">
        <f>IF('Concrete Plant (CP-7)'!$D$4&gt;8,"Processes","")</f>
        <v/>
      </c>
      <c r="K149" s="311" t="str">
        <f>IF('Concrete Plant (CP-7)'!$D$4&gt;8,"Combined Maximum Hourly Design Rate for all Like Processes (cubic yard/hr)","")</f>
        <v/>
      </c>
      <c r="L149" s="310" t="str">
        <f>IF('Concrete Plant (CP-7)'!$D$4&gt;8,('Facility Information'!G5&amp;" Annual Throughput (cubic yards)"),"")</f>
        <v/>
      </c>
      <c r="M149" s="217"/>
      <c r="N149" s="217"/>
    </row>
    <row r="150" spans="2:14" ht="14.25" customHeight="1" x14ac:dyDescent="0.2">
      <c r="B150" s="79" t="str">
        <f>IF('Concrete Plant (CP-7)'!$D$4&gt;8,"Site Name:","")</f>
        <v/>
      </c>
      <c r="C150" s="349"/>
      <c r="D150" s="356"/>
      <c r="E150" s="357"/>
      <c r="F150" s="175"/>
      <c r="G150" s="45"/>
      <c r="H150" s="127" t="str">
        <f>IF(J150="cement delivery to silo","CP-1 EP-2",IF(J150="cement supplement delivery to silo","CP-1 EP-3",IF(J150="weigh hopper loading","CP-1 EP-4",IF(J150="truck mix loading","CP-1 EP-5",IF(J150="central mix loading","CP-1 EP-6",IF(J150="","","CP-1 EP-1"))))))</f>
        <v/>
      </c>
      <c r="I150" s="127" t="str">
        <f t="shared" ref="I150:I159" si="43">IF(J150="","",IF(J150="aggregate delivery to ground storage","CP-7 EU-1",IF(J150="sand delivery to ground storage","CP-7 EU-2",IF(J150="aggregate transfer to conveyor","CP-7 EU-3",IF(J150="sand transfer to conveyor","CP-7 EU-4",IF(J150="aggregate transfer to elevated storage","CP-7 EU-5",IF(J150="sand transfer to elevated storage","CP-7 EU-6",IF(J150="weigh hopper loading","CP-7 EU-7",IF(J150="central mix loading","CP-7 EU-8",IF(J150="truck mix loading","CP-7 EU-9",IF(J150="cement delivery to silo","CP-7 EU-10",IF(J150="cement supplement delivery to silo","CP-7 EU-11"))))))))))))</f>
        <v/>
      </c>
      <c r="J150" s="82"/>
      <c r="K150" s="61"/>
      <c r="L150" s="156"/>
      <c r="M150" s="219" t="str">
        <f>IF(J150="truck mix loading",IF($F$153="yes",L150*0.05/2000,L150/2000),"")</f>
        <v/>
      </c>
      <c r="N150" s="219" t="str">
        <f>IF(J150="central mix loading",IF($F$153="yes",L150*0.05/2000,L150/2000),"")</f>
        <v/>
      </c>
    </row>
    <row r="151" spans="2:14" ht="14.25" customHeight="1" x14ac:dyDescent="0.2">
      <c r="B151" s="79" t="str">
        <f>IF('Concrete Plant (CP-7)'!$D$4&gt;8,"County:","")</f>
        <v/>
      </c>
      <c r="C151" s="339"/>
      <c r="D151" s="342"/>
      <c r="E151" s="343"/>
      <c r="F151" s="175"/>
      <c r="G151" s="45"/>
      <c r="H151" s="127" t="str">
        <f t="shared" ref="H151:H159" si="44">IF(J151="cement delivery to silo","CP-1 EP-2",IF(J151="cement supplement delivery to silo","CP-1 EP-3",IF(J151="weigh hopper loading","CP-1 EP-4",IF(J151="truck mix loading","CP-1 EP-5",IF(J151="central mix loading","CP-1 EP-6",IF(J151="","","CP-1 EP-1"))))))</f>
        <v/>
      </c>
      <c r="I151" s="127" t="str">
        <f t="shared" si="43"/>
        <v/>
      </c>
      <c r="J151" s="82"/>
      <c r="K151" s="61"/>
      <c r="L151" s="156"/>
      <c r="M151" s="219" t="str">
        <f t="shared" ref="M151:M159" si="45">IF(J151="truck mix loading",IF($F$153="yes",L151*0.05/2000,L151/2000),"")</f>
        <v/>
      </c>
      <c r="N151" s="219" t="str">
        <f t="shared" ref="N151:N159" si="46">IF(J151="central mix loading",IF($F$153="yes",L151*0.05/2000,L151/2000),"")</f>
        <v/>
      </c>
    </row>
    <row r="152" spans="2:14" ht="14.25" customHeight="1" x14ac:dyDescent="0.2">
      <c r="B152" s="79" t="str">
        <f>IF('Concrete Plant (CP-7)'!$D$4&gt;8,"Batching Period (Dates):","")</f>
        <v/>
      </c>
      <c r="C152" s="352"/>
      <c r="D152" s="358"/>
      <c r="E152" s="359"/>
      <c r="F152" s="175"/>
      <c r="G152" s="45"/>
      <c r="H152" s="127" t="str">
        <f t="shared" si="44"/>
        <v/>
      </c>
      <c r="I152" s="127" t="str">
        <f t="shared" si="43"/>
        <v/>
      </c>
      <c r="J152" s="82"/>
      <c r="K152" s="61"/>
      <c r="L152" s="156"/>
      <c r="M152" s="219" t="str">
        <f t="shared" si="45"/>
        <v/>
      </c>
      <c r="N152" s="219" t="str">
        <f t="shared" si="46"/>
        <v/>
      </c>
    </row>
    <row r="153" spans="2:14" ht="14.25" customHeight="1" x14ac:dyDescent="0.2">
      <c r="B153" s="51" t="str">
        <f>IF(OR(COUNTIF(J150:J159,"Truck Mix Loading")&gt;0,(COUNTIF(J150:J159,"Central Mix Loading")&gt;0)),"Is the Central/Truck Mix Loading process controlled by a baghouse?","")</f>
        <v/>
      </c>
      <c r="C153" s="51"/>
      <c r="D153" s="51"/>
      <c r="E153" s="51"/>
      <c r="F153" s="221"/>
      <c r="G153" s="45"/>
      <c r="H153" s="127" t="str">
        <f t="shared" si="44"/>
        <v/>
      </c>
      <c r="I153" s="127" t="str">
        <f t="shared" si="43"/>
        <v/>
      </c>
      <c r="J153" s="82"/>
      <c r="K153" s="61"/>
      <c r="L153" s="156"/>
      <c r="M153" s="219" t="str">
        <f t="shared" si="45"/>
        <v/>
      </c>
      <c r="N153" s="219" t="str">
        <f t="shared" si="46"/>
        <v/>
      </c>
    </row>
    <row r="154" spans="2:14" ht="14.25" customHeight="1" x14ac:dyDescent="0.2">
      <c r="F154" s="177"/>
      <c r="G154" s="45"/>
      <c r="H154" s="127" t="str">
        <f t="shared" si="44"/>
        <v/>
      </c>
      <c r="I154" s="127" t="str">
        <f t="shared" si="43"/>
        <v/>
      </c>
      <c r="J154" s="82"/>
      <c r="K154" s="61"/>
      <c r="L154" s="156"/>
      <c r="M154" s="219" t="str">
        <f t="shared" si="45"/>
        <v/>
      </c>
      <c r="N154" s="219" t="str">
        <f t="shared" si="46"/>
        <v/>
      </c>
    </row>
    <row r="155" spans="2:14" ht="27.75" customHeight="1" x14ac:dyDescent="0.2">
      <c r="B155" s="312" t="str">
        <f>IF(AND(B157="",B158="",B159="",B160="",B161=""),"","Process (complete stack information if applicable):")</f>
        <v/>
      </c>
      <c r="C155" s="312" t="str">
        <f>IF(AND(B157="",B158="",B159="",B160="",B161=""),"","Stack Height (ft):")</f>
        <v/>
      </c>
      <c r="D155" s="312" t="str">
        <f>IF(AND(B157="",B158="",B159="",B160="",B161=""),"","Stack Diameter (inches):")</f>
        <v/>
      </c>
      <c r="E155" s="312" t="str">
        <f>IF(AND(B157="",B158="",B159="",B160="",B161=""),"","Flow Rate (acfm):")</f>
        <v/>
      </c>
      <c r="F155" s="312" t="str">
        <f>IF(AND(B157="",B158="",B159="",B160="",B161=""),"","Temp (Deg F):")</f>
        <v/>
      </c>
      <c r="G155" s="45"/>
      <c r="H155" s="127" t="str">
        <f t="shared" si="44"/>
        <v/>
      </c>
      <c r="I155" s="127" t="str">
        <f t="shared" si="43"/>
        <v/>
      </c>
      <c r="J155" s="82"/>
      <c r="K155" s="61"/>
      <c r="L155" s="156"/>
      <c r="M155" s="219" t="str">
        <f t="shared" si="45"/>
        <v/>
      </c>
      <c r="N155" s="219" t="str">
        <f t="shared" si="46"/>
        <v/>
      </c>
    </row>
    <row r="156" spans="2:14" ht="14.25" customHeight="1" x14ac:dyDescent="0.2">
      <c r="B156" s="312"/>
      <c r="C156" s="312"/>
      <c r="D156" s="312"/>
      <c r="E156" s="312"/>
      <c r="F156" s="312"/>
      <c r="G156" s="45"/>
      <c r="H156" s="127" t="str">
        <f t="shared" si="44"/>
        <v/>
      </c>
      <c r="I156" s="127" t="str">
        <f t="shared" si="43"/>
        <v/>
      </c>
      <c r="J156" s="82"/>
      <c r="K156" s="61"/>
      <c r="L156" s="156"/>
      <c r="M156" s="219" t="str">
        <f t="shared" si="45"/>
        <v/>
      </c>
      <c r="N156" s="219" t="str">
        <f t="shared" si="46"/>
        <v/>
      </c>
    </row>
    <row r="157" spans="2:14" ht="14.25" customHeight="1" x14ac:dyDescent="0.2">
      <c r="B157" s="45" t="str">
        <f>IF(COUNTIF(J150:J159,"Cement Delivery to Silo")&gt;0,"EP-2 Cement Silo Stack:","")</f>
        <v/>
      </c>
      <c r="C157" s="221"/>
      <c r="D157" s="221"/>
      <c r="E157" s="221"/>
      <c r="F157" s="221"/>
      <c r="G157" s="45"/>
      <c r="H157" s="127" t="str">
        <f t="shared" si="44"/>
        <v/>
      </c>
      <c r="I157" s="127" t="str">
        <f t="shared" si="43"/>
        <v/>
      </c>
      <c r="J157" s="82"/>
      <c r="K157" s="61"/>
      <c r="L157" s="156"/>
      <c r="M157" s="219" t="str">
        <f t="shared" si="45"/>
        <v/>
      </c>
      <c r="N157" s="219" t="str">
        <f t="shared" si="46"/>
        <v/>
      </c>
    </row>
    <row r="158" spans="2:14" ht="14.25" customHeight="1" x14ac:dyDescent="0.2">
      <c r="B158" s="45" t="str">
        <f>IF(COUNTIF(J150:J159,"Cement Supplement Delivery to Silo")&gt;0,"EP-3 Cement Supplement Silo Stack:","")</f>
        <v/>
      </c>
      <c r="C158" s="221"/>
      <c r="D158" s="221"/>
      <c r="E158" s="221"/>
      <c r="F158" s="221"/>
      <c r="G158" s="45"/>
      <c r="H158" s="127" t="str">
        <f t="shared" si="44"/>
        <v/>
      </c>
      <c r="I158" s="127" t="str">
        <f t="shared" si="43"/>
        <v/>
      </c>
      <c r="J158" s="82"/>
      <c r="K158" s="61"/>
      <c r="L158" s="156"/>
      <c r="M158" s="219" t="str">
        <f t="shared" si="45"/>
        <v/>
      </c>
      <c r="N158" s="219" t="str">
        <f t="shared" si="46"/>
        <v/>
      </c>
    </row>
    <row r="159" spans="2:14" ht="14.25" customHeight="1" x14ac:dyDescent="0.2">
      <c r="B159" s="45" t="str">
        <f>IF(COUNTIF(J150:J159,"Weigh Hopper Loading")&gt;0,"EP-4 Weigh Hopper Loading Stack:","")</f>
        <v/>
      </c>
      <c r="C159" s="221"/>
      <c r="D159" s="221"/>
      <c r="E159" s="221"/>
      <c r="F159" s="221"/>
      <c r="H159" s="127" t="str">
        <f t="shared" si="44"/>
        <v/>
      </c>
      <c r="I159" s="127" t="str">
        <f t="shared" si="43"/>
        <v/>
      </c>
      <c r="J159" s="82"/>
      <c r="K159" s="61"/>
      <c r="L159" s="156"/>
      <c r="M159" s="219" t="str">
        <f t="shared" si="45"/>
        <v/>
      </c>
      <c r="N159" s="219" t="str">
        <f t="shared" si="46"/>
        <v/>
      </c>
    </row>
    <row r="160" spans="2:14" ht="14.25" customHeight="1" x14ac:dyDescent="0.2">
      <c r="B160" s="45" t="str">
        <f>IF(COUNTIF(J150:J159,"Truck Mix Loading")&gt;0,"EP-5 Truck Mix Loading Stack:","")</f>
        <v/>
      </c>
      <c r="C160" s="221"/>
      <c r="D160" s="221"/>
      <c r="E160" s="221"/>
      <c r="F160" s="221"/>
      <c r="G160" s="76"/>
      <c r="H160" s="45"/>
      <c r="I160" s="45"/>
    </row>
    <row r="161" spans="2:14" ht="14.25" customHeight="1" x14ac:dyDescent="0.2">
      <c r="B161" s="45" t="str">
        <f>IF(COUNTIF(J150:J159,"Central Mix Loading")&gt;0,"EP-6 Central Mix Loading Stack:","")</f>
        <v/>
      </c>
      <c r="C161" s="221"/>
      <c r="D161" s="221"/>
      <c r="E161" s="221"/>
      <c r="F161" s="221"/>
      <c r="H161" s="74" t="str">
        <f>IF('Concrete Plant (CP-7)'!$D$4&gt;8,"Stock Pile Area","")</f>
        <v/>
      </c>
      <c r="I161" s="74"/>
      <c r="J161" s="75"/>
    </row>
    <row r="162" spans="2:14" ht="14.25" customHeight="1" x14ac:dyDescent="0.2">
      <c r="B162" s="73"/>
      <c r="C162" s="163"/>
      <c r="D162" s="163"/>
      <c r="E162" s="163"/>
      <c r="F162" s="176"/>
      <c r="I162" s="51" t="str">
        <f>IF('Concrete Plant (CP-7)'!$D$4&gt;8,"Emission Unit #","")</f>
        <v/>
      </c>
      <c r="J162" s="80" t="str">
        <f>IF('Concrete Plant (CP-7)'!$D$4&gt;8,"Maximum Storage Area (acres)","")</f>
        <v/>
      </c>
      <c r="K162" s="81" t="str">
        <f>IF('Concrete Plant (CP-7)'!$D$4&gt;8,"Actual Storage Area (acres)","")</f>
        <v/>
      </c>
      <c r="L162" s="80" t="str">
        <f>IF('Concrete Plant (CP-7)'!$D$4&gt;8,"Actual Days in Existence (days)","")</f>
        <v/>
      </c>
      <c r="M162" s="146"/>
      <c r="N162" s="146"/>
    </row>
    <row r="163" spans="2:14" ht="14.25" customHeight="1" x14ac:dyDescent="0.2">
      <c r="B163" s="73"/>
      <c r="C163" s="163"/>
      <c r="D163" s="163"/>
      <c r="E163" s="163"/>
      <c r="F163" s="176"/>
      <c r="I163" s="65"/>
      <c r="J163" s="144"/>
      <c r="K163" s="66"/>
      <c r="L163" s="144"/>
      <c r="M163" s="146"/>
      <c r="N163" s="146"/>
    </row>
    <row r="164" spans="2:14" ht="14.25" customHeight="1" x14ac:dyDescent="0.2">
      <c r="B164" s="73"/>
      <c r="C164" s="163"/>
      <c r="D164" s="163"/>
      <c r="E164" s="163"/>
      <c r="F164" s="176"/>
    </row>
    <row r="165" spans="2:14" ht="27.75" customHeight="1" x14ac:dyDescent="0.25">
      <c r="B165" s="78" t="str">
        <f>IF('Concrete Plant (CP-7)'!$D$4&gt;9,"Batch Plant","")</f>
        <v/>
      </c>
      <c r="C165" s="71" t="str">
        <f>IF('Concrete Plant (CP-7)'!$D$4&gt;9,"Site 10","")</f>
        <v/>
      </c>
      <c r="D165" s="71"/>
      <c r="E165" s="71"/>
      <c r="F165" s="71"/>
      <c r="H165" s="310" t="str">
        <f>IF('Concrete Plant (CP-7)'!$D$4&gt;9,"Emission Point #","")</f>
        <v/>
      </c>
      <c r="I165" s="310" t="str">
        <f>IF('Concrete Plant (CP-7)'!$D$4&gt;9,"Emission     Unit #","")</f>
        <v/>
      </c>
      <c r="J165" s="310" t="str">
        <f>IF('Concrete Plant (CP-7)'!$D$4&gt;9,"Processes","")</f>
        <v/>
      </c>
      <c r="K165" s="311" t="str">
        <f>IF('Concrete Plant (CP-7)'!$D$4&gt;9,"Combined Maximum Hourly Design Rate for all Like Processes (cubic yard/hr)","")</f>
        <v/>
      </c>
      <c r="L165" s="310" t="str">
        <f>IF('Concrete Plant (CP-7)'!$D$4&gt;9,('Facility Information'!G5&amp;" Annual Throughput (cubic yards)"),"")</f>
        <v/>
      </c>
      <c r="M165" s="217"/>
      <c r="N165" s="217"/>
    </row>
    <row r="166" spans="2:14" ht="14.25" customHeight="1" x14ac:dyDescent="0.2">
      <c r="B166" s="79" t="str">
        <f>IF('Concrete Plant (CP-7)'!$D$4&gt;9,"Site Name:","")</f>
        <v/>
      </c>
      <c r="C166" s="349"/>
      <c r="D166" s="356"/>
      <c r="E166" s="357"/>
      <c r="F166" s="175"/>
      <c r="H166" s="127" t="str">
        <f>IF(J166="cement delivery to silo","CP-1 EP-2",IF(J166="cement supplement delivery to silo","CP-1 EP-3",IF(J166="weigh hopper loading","CP-1 EP-4",IF(J166="truck mix loading","CP-1 EP-5",IF(J166="central mix loading","CP-1 EP-6",IF(J166="","","CP-1 EP-1"))))))</f>
        <v/>
      </c>
      <c r="I166" s="127" t="str">
        <f t="shared" ref="I166:I175" si="47">IF(J166="","",IF(J166="aggregate delivery to ground storage","CP-7 EU-1",IF(J166="sand delivery to ground storage","CP-7 EU-2",IF(J166="aggregate transfer to conveyor","CP-7 EU-3",IF(J166="sand transfer to conveyor","CP-7 EU-4",IF(J166="aggregate transfer to elevated storage","CP-7 EU-5",IF(J166="sand transfer to elevated storage","CP-7 EU-6",IF(J166="weigh hopper loading","CP-7 EU-7",IF(J166="central mix loading","CP-7 EU-8",IF(J166="truck mix loading","CP-7 EU-9",IF(J166="cement delivery to silo","CP-7 EU-10",IF(J166="cement supplement delivery to silo","CP-7 EU-11"))))))))))))</f>
        <v/>
      </c>
      <c r="J166" s="82"/>
      <c r="K166" s="61"/>
      <c r="L166" s="156"/>
      <c r="M166" s="219" t="str">
        <f>IF(J166="truck mix loading",IF($F$169="yes",L166*0.05/2000,L166/2000),"")</f>
        <v/>
      </c>
      <c r="N166" s="219" t="str">
        <f>IF(J166="central mix loading",IF($F$169="yes",L166*0.05/2000,L166/2000),"")</f>
        <v/>
      </c>
    </row>
    <row r="167" spans="2:14" ht="14.25" customHeight="1" x14ac:dyDescent="0.2">
      <c r="B167" s="79" t="str">
        <f>IF('Concrete Plant (CP-7)'!$D$4&gt;9,"County:","")</f>
        <v/>
      </c>
      <c r="C167" s="339"/>
      <c r="D167" s="342"/>
      <c r="E167" s="343"/>
      <c r="F167" s="175"/>
      <c r="H167" s="127" t="str">
        <f t="shared" ref="H167:H175" si="48">IF(J167="cement delivery to silo","CP-1 EP-2",IF(J167="cement supplement delivery to silo","CP-1 EP-3",IF(J167="weigh hopper loading","CP-1 EP-4",IF(J167="truck mix loading","CP-1 EP-5",IF(J167="central mix loading","CP-1 EP-6",IF(J167="","","CP-1 EP-1"))))))</f>
        <v/>
      </c>
      <c r="I167" s="127" t="str">
        <f t="shared" si="47"/>
        <v/>
      </c>
      <c r="J167" s="82"/>
      <c r="K167" s="61"/>
      <c r="L167" s="156"/>
      <c r="M167" s="219" t="str">
        <f t="shared" ref="M167:M175" si="49">IF(J167="truck mix loading",IF($F$169="yes",L167*0.05/2000,L167/2000),"")</f>
        <v/>
      </c>
      <c r="N167" s="219" t="str">
        <f t="shared" ref="N167:N175" si="50">IF(J167="central mix loading",IF($F$169="yes",L167*0.05/2000,L167/2000),"")</f>
        <v/>
      </c>
    </row>
    <row r="168" spans="2:14" ht="14.25" customHeight="1" x14ac:dyDescent="0.2">
      <c r="B168" s="79" t="str">
        <f>IF('Concrete Plant (CP-7)'!$D$4&gt;9,"Batching Period (Dates):","")</f>
        <v/>
      </c>
      <c r="C168" s="352"/>
      <c r="D168" s="358"/>
      <c r="E168" s="359"/>
      <c r="F168" s="175"/>
      <c r="H168" s="127" t="str">
        <f t="shared" si="48"/>
        <v/>
      </c>
      <c r="I168" s="127" t="str">
        <f t="shared" si="47"/>
        <v/>
      </c>
      <c r="J168" s="82"/>
      <c r="K168" s="61"/>
      <c r="L168" s="156"/>
      <c r="M168" s="219" t="str">
        <f t="shared" si="49"/>
        <v/>
      </c>
      <c r="N168" s="219" t="str">
        <f t="shared" si="50"/>
        <v/>
      </c>
    </row>
    <row r="169" spans="2:14" ht="14.25" customHeight="1" x14ac:dyDescent="0.2">
      <c r="B169" s="51" t="str">
        <f>IF(OR(COUNTIF(J166:J175,"Truck Mix Loading")&gt;0,(COUNTIF(J166:J175,"Central Mix Loading")&gt;0)),"Is the Central/Truck Mix Loading process controlled by a baghouse?","")</f>
        <v/>
      </c>
      <c r="C169" s="51"/>
      <c r="D169" s="51"/>
      <c r="E169" s="51"/>
      <c r="F169" s="221"/>
      <c r="H169" s="127" t="str">
        <f t="shared" si="48"/>
        <v/>
      </c>
      <c r="I169" s="127" t="str">
        <f t="shared" si="47"/>
        <v/>
      </c>
      <c r="J169" s="82"/>
      <c r="K169" s="61"/>
      <c r="L169" s="156"/>
      <c r="M169" s="219" t="str">
        <f t="shared" si="49"/>
        <v/>
      </c>
      <c r="N169" s="219" t="str">
        <f t="shared" si="50"/>
        <v/>
      </c>
    </row>
    <row r="170" spans="2:14" ht="14.25" customHeight="1" x14ac:dyDescent="0.2">
      <c r="F170" s="177"/>
      <c r="H170" s="127" t="str">
        <f t="shared" si="48"/>
        <v/>
      </c>
      <c r="I170" s="127" t="str">
        <f t="shared" si="47"/>
        <v/>
      </c>
      <c r="J170" s="82"/>
      <c r="K170" s="61"/>
      <c r="L170" s="156"/>
      <c r="M170" s="219" t="str">
        <f t="shared" si="49"/>
        <v/>
      </c>
      <c r="N170" s="219" t="str">
        <f t="shared" si="50"/>
        <v/>
      </c>
    </row>
    <row r="171" spans="2:14" ht="29.25" customHeight="1" x14ac:dyDescent="0.2">
      <c r="B171" s="312" t="str">
        <f>IF(AND(B173="",B174="",B175="",B176="",B177=""),"","Process (complete stack information if applicable):")</f>
        <v/>
      </c>
      <c r="C171" s="312" t="str">
        <f>IF(AND(B173="",B174="",B175="",B176="",B177=""),"","Stack Height (ft):")</f>
        <v/>
      </c>
      <c r="D171" s="312" t="str">
        <f>IF(AND(B173="",B174="",B175="",B176="",B177=""),"","Stack Diameter (inches):")</f>
        <v/>
      </c>
      <c r="E171" s="312" t="str">
        <f>IF(AND(B173="",B174="",B175="",B176="",B177=""),"","Flow Rate (acfm):")</f>
        <v/>
      </c>
      <c r="F171" s="312" t="str">
        <f>IF(AND(B173="",B174="",B175="",B176="",B177=""),"","Temp (Deg F):")</f>
        <v/>
      </c>
      <c r="H171" s="127" t="str">
        <f t="shared" si="48"/>
        <v/>
      </c>
      <c r="I171" s="127" t="str">
        <f t="shared" si="47"/>
        <v/>
      </c>
      <c r="J171" s="82"/>
      <c r="K171" s="61"/>
      <c r="L171" s="156"/>
      <c r="M171" s="219" t="str">
        <f t="shared" si="49"/>
        <v/>
      </c>
      <c r="N171" s="219" t="str">
        <f t="shared" si="50"/>
        <v/>
      </c>
    </row>
    <row r="172" spans="2:14" ht="14.25" customHeight="1" x14ac:dyDescent="0.2">
      <c r="B172" s="312"/>
      <c r="C172" s="312"/>
      <c r="D172" s="312"/>
      <c r="E172" s="312"/>
      <c r="F172" s="312"/>
      <c r="H172" s="127" t="str">
        <f t="shared" si="48"/>
        <v/>
      </c>
      <c r="I172" s="127" t="str">
        <f t="shared" si="47"/>
        <v/>
      </c>
      <c r="J172" s="82"/>
      <c r="K172" s="61"/>
      <c r="L172" s="156"/>
      <c r="M172" s="219" t="str">
        <f t="shared" si="49"/>
        <v/>
      </c>
      <c r="N172" s="219" t="str">
        <f t="shared" si="50"/>
        <v/>
      </c>
    </row>
    <row r="173" spans="2:14" ht="14.25" customHeight="1" x14ac:dyDescent="0.2">
      <c r="B173" s="45" t="str">
        <f>IF(COUNTIF(J166:J175,"Cement Delivery to Silo")&gt;0,"EP-2 Cement Silo Stack:","")</f>
        <v/>
      </c>
      <c r="C173" s="221"/>
      <c r="D173" s="221"/>
      <c r="E173" s="221"/>
      <c r="F173" s="221"/>
      <c r="H173" s="127" t="str">
        <f t="shared" si="48"/>
        <v/>
      </c>
      <c r="I173" s="127" t="str">
        <f t="shared" si="47"/>
        <v/>
      </c>
      <c r="J173" s="82"/>
      <c r="K173" s="61"/>
      <c r="L173" s="156"/>
      <c r="M173" s="219" t="str">
        <f t="shared" si="49"/>
        <v/>
      </c>
      <c r="N173" s="219" t="str">
        <f t="shared" si="50"/>
        <v/>
      </c>
    </row>
    <row r="174" spans="2:14" ht="14.25" customHeight="1" x14ac:dyDescent="0.2">
      <c r="B174" s="45" t="str">
        <f>IF(COUNTIF(J166:J175,"Cement Supplement Delivery to Silo")&gt;0,"EP-3 Cement Supplement Silo Stack:","")</f>
        <v/>
      </c>
      <c r="C174" s="221"/>
      <c r="D174" s="221"/>
      <c r="E174" s="221"/>
      <c r="F174" s="221"/>
      <c r="H174" s="127" t="str">
        <f t="shared" si="48"/>
        <v/>
      </c>
      <c r="I174" s="127" t="str">
        <f t="shared" si="47"/>
        <v/>
      </c>
      <c r="J174" s="82"/>
      <c r="K174" s="61"/>
      <c r="L174" s="156"/>
      <c r="M174" s="219" t="str">
        <f t="shared" si="49"/>
        <v/>
      </c>
      <c r="N174" s="219" t="str">
        <f t="shared" si="50"/>
        <v/>
      </c>
    </row>
    <row r="175" spans="2:14" ht="14.25" customHeight="1" x14ac:dyDescent="0.2">
      <c r="B175" s="45" t="str">
        <f>IF(COUNTIF(J166:J175,"Weigh Hopper Loading")&gt;0,"EP-4 Weigh Hopper Loading Stack:","")</f>
        <v/>
      </c>
      <c r="C175" s="221"/>
      <c r="D175" s="221"/>
      <c r="E175" s="221"/>
      <c r="F175" s="221"/>
      <c r="H175" s="127" t="str">
        <f t="shared" si="48"/>
        <v/>
      </c>
      <c r="I175" s="127" t="str">
        <f t="shared" si="47"/>
        <v/>
      </c>
      <c r="J175" s="82"/>
      <c r="K175" s="61"/>
      <c r="L175" s="156"/>
      <c r="M175" s="219" t="str">
        <f t="shared" si="49"/>
        <v/>
      </c>
      <c r="N175" s="219" t="str">
        <f t="shared" si="50"/>
        <v/>
      </c>
    </row>
    <row r="176" spans="2:14" ht="14.25" customHeight="1" x14ac:dyDescent="0.2">
      <c r="B176" s="45" t="str">
        <f>IF(COUNTIF(J166:J175,"Truck Mix Loading")&gt;0,"EP-5 Truck Mix Loading Stack:","")</f>
        <v/>
      </c>
      <c r="C176" s="221"/>
      <c r="D176" s="221"/>
      <c r="E176" s="221"/>
      <c r="F176" s="221"/>
      <c r="H176" s="45"/>
      <c r="I176" s="45"/>
    </row>
    <row r="177" spans="2:14" ht="14.25" customHeight="1" x14ac:dyDescent="0.2">
      <c r="B177" s="45" t="str">
        <f>IF(COUNTIF(J166:J175,"Central Mix Loading")&gt;0,"EP-6 Central Mix Loading Stack:","")</f>
        <v/>
      </c>
      <c r="C177" s="221"/>
      <c r="D177" s="221"/>
      <c r="E177" s="221"/>
      <c r="F177" s="221"/>
      <c r="H177" s="74" t="str">
        <f>IF('Concrete Plant (CP-7)'!$D$4&gt;9,"Stock Pile Area","")</f>
        <v/>
      </c>
      <c r="I177" s="74"/>
      <c r="J177" s="74"/>
      <c r="K177" s="76"/>
      <c r="L177" s="76"/>
      <c r="M177" s="71"/>
      <c r="N177" s="71"/>
    </row>
    <row r="178" spans="2:14" ht="14.25" customHeight="1" x14ac:dyDescent="0.2">
      <c r="B178" s="73"/>
      <c r="C178" s="163"/>
      <c r="D178" s="163"/>
      <c r="E178" s="163"/>
      <c r="F178" s="163"/>
      <c r="I178" s="51" t="str">
        <f>IF('Concrete Plant (CP-7)'!$D$4&gt;9,"Emission Unit #","")</f>
        <v/>
      </c>
      <c r="J178" s="140" t="str">
        <f>IF('Concrete Plant (CP-7)'!$D$4&gt;9,"Maximum Storage Area (acres)","")</f>
        <v/>
      </c>
      <c r="K178" s="81" t="str">
        <f>IF('Concrete Plant (CP-7)'!$D$4&gt;9,"Actual Storage Area (acres)","")</f>
        <v/>
      </c>
      <c r="L178" s="140" t="str">
        <f>IF('Concrete Plant (CP-7)'!$D$4&gt;9,"Actual Days in Existence (days)","")</f>
        <v/>
      </c>
      <c r="M178" s="146"/>
      <c r="N178" s="146"/>
    </row>
    <row r="179" spans="2:14" ht="14.25" customHeight="1" x14ac:dyDescent="0.2">
      <c r="B179" s="73"/>
      <c r="C179" s="163"/>
      <c r="D179" s="163"/>
      <c r="E179" s="163"/>
      <c r="F179" s="163"/>
      <c r="I179" s="65"/>
      <c r="J179" s="144"/>
      <c r="K179" s="66"/>
      <c r="L179" s="144"/>
      <c r="M179" s="146"/>
      <c r="N179" s="146"/>
    </row>
    <row r="180" spans="2:14" ht="14.25" customHeight="1" x14ac:dyDescent="0.2">
      <c r="B180" s="73"/>
      <c r="C180" s="163"/>
      <c r="D180" s="163"/>
      <c r="E180" s="163"/>
      <c r="F180" s="163"/>
    </row>
    <row r="181" spans="2:14" ht="14.25" customHeight="1" x14ac:dyDescent="0.2">
      <c r="M181" s="220">
        <f>SUM(M166:M175,M150:M159,M134:M143,M118:M127,M102:M111,M85:M94,M69:M78,M53:M62,M38:M47,M21:M30)</f>
        <v>0</v>
      </c>
      <c r="N181" s="220">
        <f>SUM(N166:N175,N150:N159,N134:N143,N118:N127,N102:N111,N85:N94,N69:N78,N53:N62,N38:N47,N21:N30)</f>
        <v>0</v>
      </c>
    </row>
  </sheetData>
  <sheetProtection algorithmName="SHA-512" hashValue="03iuAZYvQK013rEwb0/tLBi75r07TJktmG0ghsPWs2P7N0Mu/nZlzAfi2VG5DeX5PaWhtBlF311uznd/DO3ipw==" saltValue="5g40KnvJMwHz7nh5kySi1g==" spinCount="100000" sheet="1" objects="1" scenarios="1"/>
  <conditionalFormatting sqref="I49:L49 B38:B40 B53:B55 B69:B71 B85:B87 B102:B104 B118:B120 B134:B136 B150:B152 B166:B168">
    <cfRule type="notContainsBlanks" dxfId="887" priority="256" stopIfTrue="1">
      <formula>LEN(TRIM(B38))&gt;0</formula>
    </cfRule>
  </conditionalFormatting>
  <conditionalFormatting sqref="B37:F37">
    <cfRule type="notContainsBlanks" dxfId="886" priority="257" stopIfTrue="1">
      <formula>LEN(TRIM(B37))&gt;0</formula>
    </cfRule>
  </conditionalFormatting>
  <conditionalFormatting sqref="I65:L65">
    <cfRule type="notContainsBlanks" dxfId="885" priority="255" stopIfTrue="1">
      <formula>LEN(TRIM(I65))&gt;0</formula>
    </cfRule>
  </conditionalFormatting>
  <conditionalFormatting sqref="B52:F52">
    <cfRule type="notContainsBlanks" dxfId="884" priority="258" stopIfTrue="1">
      <formula>LEN(TRIM(B52))&gt;0</formula>
    </cfRule>
  </conditionalFormatting>
  <conditionalFormatting sqref="I81:L81">
    <cfRule type="notContainsBlanks" dxfId="883" priority="252" stopIfTrue="1">
      <formula>LEN(TRIM(I81))&gt;0</formula>
    </cfRule>
  </conditionalFormatting>
  <conditionalFormatting sqref="B68:F68">
    <cfRule type="notContainsBlanks" dxfId="882" priority="253" stopIfTrue="1">
      <formula>LEN(TRIM(B68))&gt;0</formula>
    </cfRule>
  </conditionalFormatting>
  <conditionalFormatting sqref="I97:L97">
    <cfRule type="notContainsBlanks" dxfId="881" priority="250" stopIfTrue="1">
      <formula>LEN(TRIM(I97))&gt;0</formula>
    </cfRule>
  </conditionalFormatting>
  <conditionalFormatting sqref="B84:F84">
    <cfRule type="notContainsBlanks" dxfId="880" priority="251" stopIfTrue="1">
      <formula>LEN(TRIM(B84))&gt;0</formula>
    </cfRule>
  </conditionalFormatting>
  <conditionalFormatting sqref="I114:L114">
    <cfRule type="notContainsBlanks" dxfId="879" priority="248" stopIfTrue="1">
      <formula>LEN(TRIM(I114))&gt;0</formula>
    </cfRule>
  </conditionalFormatting>
  <conditionalFormatting sqref="B101:F101">
    <cfRule type="notContainsBlanks" dxfId="878" priority="249" stopIfTrue="1">
      <formula>LEN(TRIM(B101))&gt;0</formula>
    </cfRule>
  </conditionalFormatting>
  <conditionalFormatting sqref="I130:L130">
    <cfRule type="notContainsBlanks" dxfId="877" priority="246" stopIfTrue="1">
      <formula>LEN(TRIM(I130))&gt;0</formula>
    </cfRule>
  </conditionalFormatting>
  <conditionalFormatting sqref="B117:F117">
    <cfRule type="notContainsBlanks" dxfId="876" priority="247" stopIfTrue="1">
      <formula>LEN(TRIM(B117))&gt;0</formula>
    </cfRule>
  </conditionalFormatting>
  <conditionalFormatting sqref="I146:L146">
    <cfRule type="notContainsBlanks" dxfId="875" priority="244" stopIfTrue="1">
      <formula>LEN(TRIM(I146))&gt;0</formula>
    </cfRule>
  </conditionalFormatting>
  <conditionalFormatting sqref="B133:F133">
    <cfRule type="notContainsBlanks" dxfId="874" priority="245" stopIfTrue="1">
      <formula>LEN(TRIM(B133))&gt;0</formula>
    </cfRule>
  </conditionalFormatting>
  <conditionalFormatting sqref="I162:L162">
    <cfRule type="notContainsBlanks" dxfId="873" priority="242" stopIfTrue="1">
      <formula>LEN(TRIM(I162))&gt;0</formula>
    </cfRule>
  </conditionalFormatting>
  <conditionalFormatting sqref="B149:F149">
    <cfRule type="notContainsBlanks" dxfId="872" priority="243" stopIfTrue="1">
      <formula>LEN(TRIM(B149))&gt;0</formula>
    </cfRule>
  </conditionalFormatting>
  <conditionalFormatting sqref="I178:L178">
    <cfRule type="notContainsBlanks" dxfId="871" priority="241" stopIfTrue="1">
      <formula>LEN(TRIM(I178))&gt;0</formula>
    </cfRule>
  </conditionalFormatting>
  <conditionalFormatting sqref="I65:L66 H52 H63:L64 K54:L60 J54:J62 B57:F57 G50:G60 J52:L53 B52:F55">
    <cfRule type="cellIs" dxfId="870" priority="254" stopIfTrue="1" operator="equal">
      <formula>$B$52="batch plant"</formula>
    </cfRule>
  </conditionalFormatting>
  <conditionalFormatting sqref="I81:L82 H68 H79:L80 K70:L76 J70:J78 G63:G74 J68:L69 B68:F71">
    <cfRule type="cellIs" dxfId="869" priority="259" stopIfTrue="1" operator="equal">
      <formula>$B$68="batch plant"</formula>
    </cfRule>
  </conditionalFormatting>
  <conditionalFormatting sqref="I97:L98 H84 H95:L96 K86:L92 J86:J94 G77:G88 J84:L85 B84:F87">
    <cfRule type="cellIs" dxfId="868" priority="260" stopIfTrue="1" operator="equal">
      <formula>$B$84="batch plant"</formula>
    </cfRule>
  </conditionalFormatting>
  <conditionalFormatting sqref="I114:L115 H112:L113 G91:G99 G101:H101 H99 K103:L109 J103:J111 G102:G103 B106:F106 J101:L102 B101:F104">
    <cfRule type="cellIs" dxfId="867" priority="261" stopIfTrue="1" operator="equal">
      <formula>$B$101="batch plant"</formula>
    </cfRule>
  </conditionalFormatting>
  <conditionalFormatting sqref="I130:L131 H117 G106:G117 H128:L129 K119:L125 J119:J127 J117:L118 B117:F120">
    <cfRule type="cellIs" dxfId="866" priority="262" stopIfTrue="1" operator="equal">
      <formula>$B$117="batch plant"</formula>
    </cfRule>
  </conditionalFormatting>
  <conditionalFormatting sqref="I146:L147 H133 G120:G132 H144:L145 K135:L141 J135:J143 J133:L134 B133:F136">
    <cfRule type="cellIs" dxfId="865" priority="263" stopIfTrue="1" operator="equal">
      <formula>$B$133="batch plant"</formula>
    </cfRule>
  </conditionalFormatting>
  <conditionalFormatting sqref="I162:L163 H149 G134:G147 H160:L161 K151:L157 J151:J159 J149:L150 B149:F152">
    <cfRule type="cellIs" dxfId="864" priority="264" stopIfTrue="1" operator="equal">
      <formula>$B$149="batch plant"</formula>
    </cfRule>
  </conditionalFormatting>
  <conditionalFormatting sqref="I37">
    <cfRule type="cellIs" dxfId="863" priority="240" stopIfTrue="1" operator="equal">
      <formula>$B$37="crusher plant"</formula>
    </cfRule>
  </conditionalFormatting>
  <conditionalFormatting sqref="I52">
    <cfRule type="cellIs" dxfId="862" priority="239" stopIfTrue="1" operator="equal">
      <formula>$B$37="crusher plant"</formula>
    </cfRule>
  </conditionalFormatting>
  <conditionalFormatting sqref="I68">
    <cfRule type="cellIs" dxfId="861" priority="238" stopIfTrue="1" operator="equal">
      <formula>$B$37="crusher plant"</formula>
    </cfRule>
  </conditionalFormatting>
  <conditionalFormatting sqref="I84">
    <cfRule type="cellIs" dxfId="860" priority="237" stopIfTrue="1" operator="equal">
      <formula>$B$37="crusher plant"</formula>
    </cfRule>
  </conditionalFormatting>
  <conditionalFormatting sqref="I101">
    <cfRule type="cellIs" dxfId="859" priority="236" stopIfTrue="1" operator="equal">
      <formula>$B$37="crusher plant"</formula>
    </cfRule>
  </conditionalFormatting>
  <conditionalFormatting sqref="I117">
    <cfRule type="cellIs" dxfId="858" priority="235" stopIfTrue="1" operator="equal">
      <formula>$B$37="crusher plant"</formula>
    </cfRule>
  </conditionalFormatting>
  <conditionalFormatting sqref="I133">
    <cfRule type="cellIs" dxfId="857" priority="234" stopIfTrue="1" operator="equal">
      <formula>$B$37="crusher plant"</formula>
    </cfRule>
  </conditionalFormatting>
  <conditionalFormatting sqref="I149">
    <cfRule type="cellIs" dxfId="856" priority="233" stopIfTrue="1" operator="equal">
      <formula>$B$37="crusher plant"</formula>
    </cfRule>
  </conditionalFormatting>
  <conditionalFormatting sqref="I165">
    <cfRule type="cellIs" dxfId="855" priority="232" stopIfTrue="1" operator="equal">
      <formula>$B$37="crusher plant"</formula>
    </cfRule>
  </conditionalFormatting>
  <conditionalFormatting sqref="I21:I30">
    <cfRule type="notContainsBlanks" dxfId="854" priority="231">
      <formula>LEN(TRIM(I21))&gt;0</formula>
    </cfRule>
  </conditionalFormatting>
  <conditionalFormatting sqref="I38:I47">
    <cfRule type="expression" dxfId="853" priority="230">
      <formula>$B$37="batch plant"</formula>
    </cfRule>
  </conditionalFormatting>
  <conditionalFormatting sqref="I53:I62">
    <cfRule type="expression" dxfId="852" priority="229">
      <formula>$B$52="batch plant"</formula>
    </cfRule>
  </conditionalFormatting>
  <conditionalFormatting sqref="I69:I78">
    <cfRule type="expression" dxfId="851" priority="228">
      <formula>$B$68="batch plant"</formula>
    </cfRule>
  </conditionalFormatting>
  <conditionalFormatting sqref="I85:I94">
    <cfRule type="expression" dxfId="850" priority="227">
      <formula>$B$84="batch plant"</formula>
    </cfRule>
  </conditionalFormatting>
  <conditionalFormatting sqref="I102:I111">
    <cfRule type="expression" dxfId="849" priority="226">
      <formula>$B$101="batch plant"</formula>
    </cfRule>
  </conditionalFormatting>
  <conditionalFormatting sqref="I118:I127">
    <cfRule type="expression" dxfId="848" priority="225">
      <formula>$B$117="batch plant"</formula>
    </cfRule>
  </conditionalFormatting>
  <conditionalFormatting sqref="I134:I143">
    <cfRule type="expression" dxfId="847" priority="224">
      <formula>$B$133="batch plant"</formula>
    </cfRule>
  </conditionalFormatting>
  <conditionalFormatting sqref="I150:I159">
    <cfRule type="expression" dxfId="846" priority="223">
      <formula>$B$149="batch plant"</formula>
    </cfRule>
  </conditionalFormatting>
  <conditionalFormatting sqref="I166:I175">
    <cfRule type="expression" dxfId="845" priority="222">
      <formula>$B$165="batch plant"</formula>
    </cfRule>
  </conditionalFormatting>
  <conditionalFormatting sqref="C74:F75">
    <cfRule type="notContainsBlanks" dxfId="844" priority="110">
      <formula>LEN(TRIM(C74))&gt;0</formula>
    </cfRule>
  </conditionalFormatting>
  <conditionalFormatting sqref="B74:B75">
    <cfRule type="notContainsBlanks" dxfId="843" priority="109">
      <formula>LEN(TRIM(B74))&gt;0</formula>
    </cfRule>
  </conditionalFormatting>
  <conditionalFormatting sqref="J38:L47 I50:L50 C38:F40">
    <cfRule type="cellIs" dxfId="842" priority="214" operator="equal">
      <formula>$B$37="batch plant"</formula>
    </cfRule>
  </conditionalFormatting>
  <conditionalFormatting sqref="K61:L62">
    <cfRule type="cellIs" dxfId="841" priority="213" stopIfTrue="1" operator="equal">
      <formula>$B$52="batch plant"</formula>
    </cfRule>
  </conditionalFormatting>
  <conditionalFormatting sqref="B77:B80">
    <cfRule type="notContainsBlanks" dxfId="840" priority="102">
      <formula>LEN(TRIM(B77))&gt;0</formula>
    </cfRule>
  </conditionalFormatting>
  <conditionalFormatting sqref="C90:F91">
    <cfRule type="notContainsBlanks" dxfId="839" priority="100">
      <formula>LEN(TRIM(C90))&gt;0</formula>
    </cfRule>
  </conditionalFormatting>
  <conditionalFormatting sqref="K77:L78">
    <cfRule type="cellIs" dxfId="838" priority="207" stopIfTrue="1" operator="equal">
      <formula>$B$68="batch plant"</formula>
    </cfRule>
  </conditionalFormatting>
  <conditionalFormatting sqref="K93:L94">
    <cfRule type="cellIs" dxfId="837" priority="201" stopIfTrue="1" operator="equal">
      <formula>$B$84="batch plant"</formula>
    </cfRule>
  </conditionalFormatting>
  <conditionalFormatting sqref="B92">
    <cfRule type="notContainsBlanks" dxfId="836" priority="91">
      <formula>LEN(TRIM(B92))&gt;0</formula>
    </cfRule>
  </conditionalFormatting>
  <conditionalFormatting sqref="C107:F108">
    <cfRule type="notContainsBlanks" dxfId="835" priority="90">
      <formula>LEN(TRIM(C107))&gt;0</formula>
    </cfRule>
  </conditionalFormatting>
  <conditionalFormatting sqref="B107:B108">
    <cfRule type="notContainsBlanks" dxfId="834" priority="89">
      <formula>LEN(TRIM(B107))&gt;0</formula>
    </cfRule>
  </conditionalFormatting>
  <conditionalFormatting sqref="K110:L111">
    <cfRule type="cellIs" dxfId="833" priority="195" stopIfTrue="1" operator="equal">
      <formula>$B$101="batch plant"</formula>
    </cfRule>
  </conditionalFormatting>
  <conditionalFormatting sqref="K126:L127">
    <cfRule type="cellIs" dxfId="832" priority="190" stopIfTrue="1" operator="equal">
      <formula>$B$117="batch plant"</formula>
    </cfRule>
  </conditionalFormatting>
  <conditionalFormatting sqref="C123:F124">
    <cfRule type="notContainsBlanks" dxfId="831" priority="80">
      <formula>LEN(TRIM(C123))&gt;0</formula>
    </cfRule>
  </conditionalFormatting>
  <conditionalFormatting sqref="K142:L143">
    <cfRule type="cellIs" dxfId="830" priority="182" stopIfTrue="1" operator="equal">
      <formula>$B$133="batch plant"</formula>
    </cfRule>
  </conditionalFormatting>
  <conditionalFormatting sqref="B126:B129">
    <cfRule type="notContainsBlanks" dxfId="829" priority="72">
      <formula>LEN(TRIM(B126))&gt;0</formula>
    </cfRule>
  </conditionalFormatting>
  <conditionalFormatting sqref="B125">
    <cfRule type="notContainsBlanks" dxfId="828" priority="71">
      <formula>LEN(TRIM(B125))&gt;0</formula>
    </cfRule>
  </conditionalFormatting>
  <conditionalFormatting sqref="C139:F140">
    <cfRule type="notContainsBlanks" dxfId="827" priority="70">
      <formula>LEN(TRIM(C139))&gt;0</formula>
    </cfRule>
  </conditionalFormatting>
  <conditionalFormatting sqref="K158:L159">
    <cfRule type="cellIs" dxfId="826" priority="176" stopIfTrue="1" operator="equal">
      <formula>$B$149="batch plant"</formula>
    </cfRule>
  </conditionalFormatting>
  <conditionalFormatting sqref="B141">
    <cfRule type="notContainsBlanks" dxfId="825" priority="61">
      <formula>LEN(TRIM(B141))&gt;0</formula>
    </cfRule>
  </conditionalFormatting>
  <conditionalFormatting sqref="C155:F156">
    <cfRule type="notContainsBlanks" dxfId="824" priority="60">
      <formula>LEN(TRIM(C155))&gt;0</formula>
    </cfRule>
  </conditionalFormatting>
  <conditionalFormatting sqref="B155:B156">
    <cfRule type="notContainsBlanks" dxfId="823" priority="59">
      <formula>LEN(TRIM(B155))&gt;0</formula>
    </cfRule>
  </conditionalFormatting>
  <conditionalFormatting sqref="B165:F165">
    <cfRule type="notContainsBlanks" dxfId="822" priority="266" stopIfTrue="1">
      <formula>LEN(TRIM(B165))&gt;0</formula>
    </cfRule>
  </conditionalFormatting>
  <conditionalFormatting sqref="B165:F165">
    <cfRule type="cellIs" dxfId="821" priority="165" stopIfTrue="1" operator="equal">
      <formula>$B$149="batch plant"</formula>
    </cfRule>
  </conditionalFormatting>
  <conditionalFormatting sqref="J166:L166 J175:L175 K167:L173 J167:J174 F166:F168">
    <cfRule type="cellIs" dxfId="820" priority="164" stopIfTrue="1" operator="equal">
      <formula>$B$165="batch plant"</formula>
    </cfRule>
  </conditionalFormatting>
  <conditionalFormatting sqref="K174:L174">
    <cfRule type="cellIs" dxfId="819" priority="163" stopIfTrue="1" operator="equal">
      <formula>$B$165="batch plant"</formula>
    </cfRule>
  </conditionalFormatting>
  <conditionalFormatting sqref="I179:L179">
    <cfRule type="cellIs" dxfId="818" priority="162" stopIfTrue="1" operator="equal">
      <formula>$B$165="batch plant"</formula>
    </cfRule>
  </conditionalFormatting>
  <conditionalFormatting sqref="C166:E168">
    <cfRule type="cellIs" dxfId="817" priority="161" stopIfTrue="1" operator="equal">
      <formula>$B$165="batch plant"</formula>
    </cfRule>
  </conditionalFormatting>
  <conditionalFormatting sqref="H21:H30">
    <cfRule type="notContainsBlanks" dxfId="816" priority="159">
      <formula>LEN(TRIM(H21))&gt;0</formula>
    </cfRule>
  </conditionalFormatting>
  <conditionalFormatting sqref="H38:H47">
    <cfRule type="expression" dxfId="815" priority="158">
      <formula>$B$37="batch plant"</formula>
    </cfRule>
  </conditionalFormatting>
  <conditionalFormatting sqref="H53:H62">
    <cfRule type="expression" dxfId="814" priority="157">
      <formula>$B$52="batch plant"</formula>
    </cfRule>
  </conditionalFormatting>
  <conditionalFormatting sqref="H69:H78">
    <cfRule type="expression" dxfId="813" priority="156">
      <formula>$B$68="batch plant"</formula>
    </cfRule>
  </conditionalFormatting>
  <conditionalFormatting sqref="H85:H94">
    <cfRule type="expression" dxfId="812" priority="155">
      <formula>$B$84="batch plant"</formula>
    </cfRule>
  </conditionalFormatting>
  <conditionalFormatting sqref="H102:H111">
    <cfRule type="expression" dxfId="811" priority="154">
      <formula>$B$101="batch plant"</formula>
    </cfRule>
  </conditionalFormatting>
  <conditionalFormatting sqref="H118:H127">
    <cfRule type="expression" dxfId="810" priority="153">
      <formula>$B$117="batch plant"</formula>
    </cfRule>
  </conditionalFormatting>
  <conditionalFormatting sqref="H134:H143">
    <cfRule type="expression" dxfId="809" priority="152">
      <formula>$B$133="batch plant"</formula>
    </cfRule>
  </conditionalFormatting>
  <conditionalFormatting sqref="H150:H159">
    <cfRule type="expression" dxfId="808" priority="151">
      <formula>$B$149="batch plant"</formula>
    </cfRule>
  </conditionalFormatting>
  <conditionalFormatting sqref="H166:H175">
    <cfRule type="expression" dxfId="807" priority="150">
      <formula>$B$165="batch plant"</formula>
    </cfRule>
  </conditionalFormatting>
  <conditionalFormatting sqref="B174:B177">
    <cfRule type="notContainsBlanks" dxfId="806" priority="42">
      <formula>LEN(TRIM(B174))&gt;0</formula>
    </cfRule>
  </conditionalFormatting>
  <conditionalFormatting sqref="B29:B32">
    <cfRule type="notContainsBlanks" dxfId="805" priority="136">
      <formula>LEN(TRIM(B29))&gt;0</formula>
    </cfRule>
  </conditionalFormatting>
  <conditionalFormatting sqref="B28">
    <cfRule type="notContainsBlanks" dxfId="804" priority="135">
      <formula>LEN(TRIM(B28))&gt;0</formula>
    </cfRule>
  </conditionalFormatting>
  <conditionalFormatting sqref="C28:F28">
    <cfRule type="cellIs" dxfId="803" priority="134" operator="equal">
      <formula>$B$28=""</formula>
    </cfRule>
  </conditionalFormatting>
  <conditionalFormatting sqref="C29:F29">
    <cfRule type="cellIs" dxfId="802" priority="133" operator="equal">
      <formula>$B$29=""</formula>
    </cfRule>
  </conditionalFormatting>
  <conditionalFormatting sqref="C31:F31">
    <cfRule type="cellIs" dxfId="801" priority="132" operator="equal">
      <formula>$B$31=""</formula>
    </cfRule>
  </conditionalFormatting>
  <conditionalFormatting sqref="C26:F27">
    <cfRule type="notContainsBlanks" dxfId="800" priority="137">
      <formula>LEN(TRIM(C26))&gt;0</formula>
    </cfRule>
  </conditionalFormatting>
  <conditionalFormatting sqref="B26:B27">
    <cfRule type="notContainsBlanks" dxfId="799" priority="131">
      <formula>LEN(TRIM(B26))&gt;0</formula>
    </cfRule>
  </conditionalFormatting>
  <conditionalFormatting sqref="C28:F32">
    <cfRule type="notContainsBlanks" dxfId="798" priority="130">
      <formula>LEN(TRIM(C28))&gt;0</formula>
    </cfRule>
  </conditionalFormatting>
  <conditionalFormatting sqref="C32:F32">
    <cfRule type="cellIs" dxfId="797" priority="138" operator="equal">
      <formula>$B$32=""</formula>
    </cfRule>
  </conditionalFormatting>
  <conditionalFormatting sqref="C30:F30">
    <cfRule type="cellIs" dxfId="796" priority="139" operator="equal">
      <formula>$B$30=""</formula>
    </cfRule>
  </conditionalFormatting>
  <conditionalFormatting sqref="B43:F44">
    <cfRule type="notContainsBlanks" dxfId="795" priority="129">
      <formula>LEN(TRIM(B43))&gt;0</formula>
    </cfRule>
  </conditionalFormatting>
  <conditionalFormatting sqref="C45:F45">
    <cfRule type="cellIs" dxfId="794" priority="128" operator="equal">
      <formula>$B$45=""</formula>
    </cfRule>
  </conditionalFormatting>
  <conditionalFormatting sqref="C46:F46">
    <cfRule type="cellIs" dxfId="793" priority="127" operator="equal">
      <formula>$B$46=""</formula>
    </cfRule>
  </conditionalFormatting>
  <conditionalFormatting sqref="C47:F47">
    <cfRule type="cellIs" dxfId="792" priority="126" operator="equal">
      <formula>$B$47=""</formula>
    </cfRule>
  </conditionalFormatting>
  <conditionalFormatting sqref="C48:F48">
    <cfRule type="cellIs" dxfId="791" priority="125" operator="equal">
      <formula>$B$48=""</formula>
    </cfRule>
  </conditionalFormatting>
  <conditionalFormatting sqref="C49:F49">
    <cfRule type="cellIs" dxfId="790" priority="124" operator="equal">
      <formula>$B$49=""</formula>
    </cfRule>
  </conditionalFormatting>
  <conditionalFormatting sqref="C45:F49">
    <cfRule type="notContainsBlanks" dxfId="789" priority="123">
      <formula>LEN(TRIM(C45))&gt;0</formula>
    </cfRule>
  </conditionalFormatting>
  <conditionalFormatting sqref="B46:B49">
    <cfRule type="notContainsBlanks" dxfId="788" priority="122">
      <formula>LEN(TRIM(B46))&gt;0</formula>
    </cfRule>
  </conditionalFormatting>
  <conditionalFormatting sqref="B45">
    <cfRule type="notContainsBlanks" dxfId="787" priority="121">
      <formula>LEN(TRIM(B45))&gt;0</formula>
    </cfRule>
  </conditionalFormatting>
  <conditionalFormatting sqref="B61:B64">
    <cfRule type="notContainsBlanks" dxfId="786" priority="112">
      <formula>LEN(TRIM(B61))&gt;0</formula>
    </cfRule>
  </conditionalFormatting>
  <conditionalFormatting sqref="B60">
    <cfRule type="notContainsBlanks" dxfId="785" priority="111">
      <formula>LEN(TRIM(B60))&gt;0</formula>
    </cfRule>
  </conditionalFormatting>
  <conditionalFormatting sqref="C58:F59">
    <cfRule type="notContainsBlanks" dxfId="784" priority="120">
      <formula>LEN(TRIM(C58))&gt;0</formula>
    </cfRule>
  </conditionalFormatting>
  <conditionalFormatting sqref="B58:B59">
    <cfRule type="notContainsBlanks" dxfId="783" priority="119">
      <formula>LEN(TRIM(B58))&gt;0</formula>
    </cfRule>
  </conditionalFormatting>
  <conditionalFormatting sqref="C60:F60">
    <cfRule type="cellIs" dxfId="782" priority="118" operator="equal">
      <formula>$B$60=""</formula>
    </cfRule>
  </conditionalFormatting>
  <conditionalFormatting sqref="C61:F61">
    <cfRule type="cellIs" dxfId="781" priority="117" operator="equal">
      <formula>$B$61=""</formula>
    </cfRule>
  </conditionalFormatting>
  <conditionalFormatting sqref="C62:F62">
    <cfRule type="cellIs" dxfId="780" priority="116" operator="equal">
      <formula>$B$62=""</formula>
    </cfRule>
  </conditionalFormatting>
  <conditionalFormatting sqref="C63:F63">
    <cfRule type="cellIs" dxfId="779" priority="115" operator="equal">
      <formula>$B$63=""</formula>
    </cfRule>
  </conditionalFormatting>
  <conditionalFormatting sqref="C64:F64">
    <cfRule type="cellIs" dxfId="778" priority="114" operator="equal">
      <formula>$B$64=""</formula>
    </cfRule>
  </conditionalFormatting>
  <conditionalFormatting sqref="C60:F64">
    <cfRule type="notContainsBlanks" dxfId="777" priority="113">
      <formula>LEN(TRIM(C60))&gt;0</formula>
    </cfRule>
  </conditionalFormatting>
  <conditionalFormatting sqref="B76">
    <cfRule type="notContainsBlanks" dxfId="776" priority="101">
      <formula>LEN(TRIM(B76))&gt;0</formula>
    </cfRule>
  </conditionalFormatting>
  <conditionalFormatting sqref="C76:F76">
    <cfRule type="cellIs" dxfId="775" priority="108" operator="equal">
      <formula>$B$76=""</formula>
    </cfRule>
  </conditionalFormatting>
  <conditionalFormatting sqref="C77:F77">
    <cfRule type="cellIs" dxfId="774" priority="107" operator="equal">
      <formula>$B$77=""</formula>
    </cfRule>
  </conditionalFormatting>
  <conditionalFormatting sqref="C78:F78">
    <cfRule type="cellIs" dxfId="773" priority="106" operator="equal">
      <formula>$B$78=""</formula>
    </cfRule>
  </conditionalFormatting>
  <conditionalFormatting sqref="C79:F79">
    <cfRule type="cellIs" dxfId="772" priority="105" operator="equal">
      <formula>$B$79=""</formula>
    </cfRule>
  </conditionalFormatting>
  <conditionalFormatting sqref="C80:F80">
    <cfRule type="cellIs" dxfId="771" priority="104" operator="equal">
      <formula>$B$80=""</formula>
    </cfRule>
  </conditionalFormatting>
  <conditionalFormatting sqref="C76:F80">
    <cfRule type="notContainsBlanks" dxfId="770" priority="103">
      <formula>LEN(TRIM(C76))&gt;0</formula>
    </cfRule>
  </conditionalFormatting>
  <conditionalFormatting sqref="B90:B91">
    <cfRule type="notContainsBlanks" dxfId="769" priority="99">
      <formula>LEN(TRIM(B90))&gt;0</formula>
    </cfRule>
  </conditionalFormatting>
  <conditionalFormatting sqref="C92:F92">
    <cfRule type="cellIs" dxfId="768" priority="98" operator="equal">
      <formula>$B$92=""</formula>
    </cfRule>
  </conditionalFormatting>
  <conditionalFormatting sqref="C93:F93">
    <cfRule type="cellIs" dxfId="767" priority="97" operator="equal">
      <formula>$B$93=""</formula>
    </cfRule>
  </conditionalFormatting>
  <conditionalFormatting sqref="C94:F94">
    <cfRule type="cellIs" dxfId="766" priority="96" operator="equal">
      <formula>$B$94=""</formula>
    </cfRule>
  </conditionalFormatting>
  <conditionalFormatting sqref="C95:F95">
    <cfRule type="cellIs" dxfId="765" priority="95" operator="equal">
      <formula>$B$95=""</formula>
    </cfRule>
  </conditionalFormatting>
  <conditionalFormatting sqref="C96:F96">
    <cfRule type="cellIs" dxfId="764" priority="94" operator="equal">
      <formula>$B$96=""</formula>
    </cfRule>
  </conditionalFormatting>
  <conditionalFormatting sqref="C92:F96">
    <cfRule type="notContainsBlanks" dxfId="763" priority="93">
      <formula>LEN(TRIM(C92))&gt;0</formula>
    </cfRule>
  </conditionalFormatting>
  <conditionalFormatting sqref="B93:B96">
    <cfRule type="notContainsBlanks" dxfId="762" priority="92">
      <formula>LEN(TRIM(B93))&gt;0</formula>
    </cfRule>
  </conditionalFormatting>
  <conditionalFormatting sqref="B110:B113">
    <cfRule type="notContainsBlanks" dxfId="761" priority="82">
      <formula>LEN(TRIM(B110))&gt;0</formula>
    </cfRule>
  </conditionalFormatting>
  <conditionalFormatting sqref="B109">
    <cfRule type="notContainsBlanks" dxfId="760" priority="81">
      <formula>LEN(TRIM(B109))&gt;0</formula>
    </cfRule>
  </conditionalFormatting>
  <conditionalFormatting sqref="C109:F109">
    <cfRule type="cellIs" dxfId="759" priority="88" operator="equal">
      <formula>$B$109=""</formula>
    </cfRule>
  </conditionalFormatting>
  <conditionalFormatting sqref="C110:F110">
    <cfRule type="cellIs" dxfId="758" priority="87" operator="equal">
      <formula>$B$110=""</formula>
    </cfRule>
  </conditionalFormatting>
  <conditionalFormatting sqref="C111:F111">
    <cfRule type="cellIs" dxfId="757" priority="86" operator="equal">
      <formula>$B$111=""</formula>
    </cfRule>
  </conditionalFormatting>
  <conditionalFormatting sqref="C112:F112">
    <cfRule type="cellIs" dxfId="756" priority="85" operator="equal">
      <formula>$B$112=""</formula>
    </cfRule>
  </conditionalFormatting>
  <conditionalFormatting sqref="C113:F113">
    <cfRule type="cellIs" dxfId="755" priority="84" operator="equal">
      <formula>$B$113=""</formula>
    </cfRule>
  </conditionalFormatting>
  <conditionalFormatting sqref="C109:F113">
    <cfRule type="notContainsBlanks" dxfId="754" priority="83">
      <formula>LEN(TRIM(C109))&gt;0</formula>
    </cfRule>
  </conditionalFormatting>
  <conditionalFormatting sqref="B123:B124">
    <cfRule type="notContainsBlanks" dxfId="753" priority="79">
      <formula>LEN(TRIM(B123))&gt;0</formula>
    </cfRule>
  </conditionalFormatting>
  <conditionalFormatting sqref="C125:F125">
    <cfRule type="cellIs" dxfId="752" priority="78" operator="equal">
      <formula>$B$125=""</formula>
    </cfRule>
  </conditionalFormatting>
  <conditionalFormatting sqref="C126:F126">
    <cfRule type="cellIs" dxfId="751" priority="77" operator="equal">
      <formula>$B$126=""</formula>
    </cfRule>
  </conditionalFormatting>
  <conditionalFormatting sqref="C127:F127">
    <cfRule type="cellIs" dxfId="750" priority="76" operator="equal">
      <formula>$B$127=""</formula>
    </cfRule>
  </conditionalFormatting>
  <conditionalFormatting sqref="C128:F128">
    <cfRule type="cellIs" dxfId="749" priority="75" operator="equal">
      <formula>$B$128=""</formula>
    </cfRule>
  </conditionalFormatting>
  <conditionalFormatting sqref="C129:F129">
    <cfRule type="cellIs" dxfId="748" priority="74" operator="equal">
      <formula>$B$129=""</formula>
    </cfRule>
  </conditionalFormatting>
  <conditionalFormatting sqref="C125:F129">
    <cfRule type="notContainsBlanks" dxfId="747" priority="73">
      <formula>LEN(TRIM(C125))&gt;0</formula>
    </cfRule>
  </conditionalFormatting>
  <conditionalFormatting sqref="B139:B140">
    <cfRule type="notContainsBlanks" dxfId="746" priority="69">
      <formula>LEN(TRIM(B139))&gt;0</formula>
    </cfRule>
  </conditionalFormatting>
  <conditionalFormatting sqref="C141:F141">
    <cfRule type="cellIs" dxfId="745" priority="68" operator="equal">
      <formula>$B$141=""</formula>
    </cfRule>
  </conditionalFormatting>
  <conditionalFormatting sqref="C142:F142">
    <cfRule type="cellIs" dxfId="744" priority="67" operator="equal">
      <formula>$B$142=""</formula>
    </cfRule>
  </conditionalFormatting>
  <conditionalFormatting sqref="C143:F143">
    <cfRule type="cellIs" dxfId="743" priority="66" operator="equal">
      <formula>$B$143=""</formula>
    </cfRule>
  </conditionalFormatting>
  <conditionalFormatting sqref="C144:F144">
    <cfRule type="cellIs" dxfId="742" priority="65" operator="equal">
      <formula>$B$144=""</formula>
    </cfRule>
  </conditionalFormatting>
  <conditionalFormatting sqref="C145:F145">
    <cfRule type="cellIs" dxfId="741" priority="64" operator="equal">
      <formula>$B$145=""</formula>
    </cfRule>
  </conditionalFormatting>
  <conditionalFormatting sqref="C141:F145">
    <cfRule type="notContainsBlanks" dxfId="740" priority="63">
      <formula>LEN(TRIM(C141))&gt;0</formula>
    </cfRule>
  </conditionalFormatting>
  <conditionalFormatting sqref="B142:B145">
    <cfRule type="notContainsBlanks" dxfId="739" priority="62">
      <formula>LEN(TRIM(B142))&gt;0</formula>
    </cfRule>
  </conditionalFormatting>
  <conditionalFormatting sqref="C157:F157">
    <cfRule type="cellIs" dxfId="738" priority="58" operator="equal">
      <formula>$B$157=""</formula>
    </cfRule>
  </conditionalFormatting>
  <conditionalFormatting sqref="C158:F158">
    <cfRule type="cellIs" dxfId="737" priority="57" operator="equal">
      <formula>$B$158=""</formula>
    </cfRule>
  </conditionalFormatting>
  <conditionalFormatting sqref="C159:F159">
    <cfRule type="cellIs" dxfId="736" priority="56" operator="equal">
      <formula>$B$159=""</formula>
    </cfRule>
  </conditionalFormatting>
  <conditionalFormatting sqref="C160:F160">
    <cfRule type="cellIs" dxfId="735" priority="55" operator="equal">
      <formula>$B$160=""</formula>
    </cfRule>
  </conditionalFormatting>
  <conditionalFormatting sqref="C161:F161">
    <cfRule type="cellIs" dxfId="734" priority="54" operator="equal">
      <formula>$B$161=""</formula>
    </cfRule>
  </conditionalFormatting>
  <conditionalFormatting sqref="C157:F161">
    <cfRule type="notContainsBlanks" dxfId="733" priority="53">
      <formula>LEN(TRIM(C157))&gt;0</formula>
    </cfRule>
  </conditionalFormatting>
  <conditionalFormatting sqref="B158:B161">
    <cfRule type="notContainsBlanks" dxfId="732" priority="52">
      <formula>LEN(TRIM(B158))&gt;0</formula>
    </cfRule>
  </conditionalFormatting>
  <conditionalFormatting sqref="B157">
    <cfRule type="notContainsBlanks" dxfId="731" priority="51">
      <formula>LEN(TRIM(B157))&gt;0</formula>
    </cfRule>
  </conditionalFormatting>
  <conditionalFormatting sqref="C171:F172">
    <cfRule type="notContainsBlanks" dxfId="730" priority="50">
      <formula>LEN(TRIM(C171))&gt;0</formula>
    </cfRule>
  </conditionalFormatting>
  <conditionalFormatting sqref="B171:B172">
    <cfRule type="notContainsBlanks" dxfId="729" priority="49">
      <formula>LEN(TRIM(B171))&gt;0</formula>
    </cfRule>
  </conditionalFormatting>
  <conditionalFormatting sqref="C173:F173">
    <cfRule type="cellIs" dxfId="728" priority="48" operator="equal">
      <formula>$B$173=""</formula>
    </cfRule>
  </conditionalFormatting>
  <conditionalFormatting sqref="C174:F174">
    <cfRule type="cellIs" dxfId="727" priority="47" operator="equal">
      <formula>$B$174=""</formula>
    </cfRule>
  </conditionalFormatting>
  <conditionalFormatting sqref="C175:F175">
    <cfRule type="cellIs" dxfId="726" priority="46" operator="equal">
      <formula>$B$175=""</formula>
    </cfRule>
  </conditionalFormatting>
  <conditionalFormatting sqref="C176:F176">
    <cfRule type="cellIs" dxfId="725" priority="45" operator="equal">
      <formula>$B$176=""</formula>
    </cfRule>
  </conditionalFormatting>
  <conditionalFormatting sqref="C177:F177">
    <cfRule type="cellIs" dxfId="724" priority="44" operator="equal">
      <formula>$B$177=""</formula>
    </cfRule>
  </conditionalFormatting>
  <conditionalFormatting sqref="C173:F177">
    <cfRule type="notContainsBlanks" dxfId="723" priority="43">
      <formula>LEN(TRIM(C173))&gt;0</formula>
    </cfRule>
  </conditionalFormatting>
  <conditionalFormatting sqref="B173">
    <cfRule type="notContainsBlanks" dxfId="722" priority="41">
      <formula>LEN(TRIM(B173))&gt;0</formula>
    </cfRule>
  </conditionalFormatting>
  <conditionalFormatting sqref="F24">
    <cfRule type="cellIs" dxfId="721" priority="38" operator="equal">
      <formula>$B$24=""</formula>
    </cfRule>
  </conditionalFormatting>
  <conditionalFormatting sqref="B24:E24">
    <cfRule type="notContainsBlanks" dxfId="720" priority="267">
      <formula>LEN(TRIM(B24))&gt;0</formula>
    </cfRule>
  </conditionalFormatting>
  <conditionalFormatting sqref="F41">
    <cfRule type="cellIs" dxfId="719" priority="35" operator="equal">
      <formula>$B$41=""</formula>
    </cfRule>
  </conditionalFormatting>
  <conditionalFormatting sqref="B41:E41">
    <cfRule type="notContainsBlanks" dxfId="718" priority="37">
      <formula>LEN(TRIM(B41))&gt;0</formula>
    </cfRule>
  </conditionalFormatting>
  <conditionalFormatting sqref="F56">
    <cfRule type="cellIs" dxfId="717" priority="32" operator="equal">
      <formula>$B$56=""</formula>
    </cfRule>
  </conditionalFormatting>
  <conditionalFormatting sqref="B56:E56">
    <cfRule type="notContainsBlanks" dxfId="716" priority="34">
      <formula>LEN(TRIM(B56))&gt;0</formula>
    </cfRule>
  </conditionalFormatting>
  <conditionalFormatting sqref="F72">
    <cfRule type="cellIs" dxfId="715" priority="29" operator="equal">
      <formula>$B$72=""</formula>
    </cfRule>
  </conditionalFormatting>
  <conditionalFormatting sqref="B72:E72">
    <cfRule type="notContainsBlanks" dxfId="714" priority="31">
      <formula>LEN(TRIM(B72))&gt;0</formula>
    </cfRule>
  </conditionalFormatting>
  <conditionalFormatting sqref="F88">
    <cfRule type="cellIs" dxfId="713" priority="26" operator="equal">
      <formula>$B$88=""</formula>
    </cfRule>
  </conditionalFormatting>
  <conditionalFormatting sqref="B88:E88">
    <cfRule type="notContainsBlanks" dxfId="712" priority="28">
      <formula>LEN(TRIM(B88))&gt;0</formula>
    </cfRule>
  </conditionalFormatting>
  <conditionalFormatting sqref="F105">
    <cfRule type="cellIs" dxfId="711" priority="23" operator="equal">
      <formula>$B$105=""</formula>
    </cfRule>
  </conditionalFormatting>
  <conditionalFormatting sqref="B105:E105">
    <cfRule type="notContainsBlanks" dxfId="710" priority="25">
      <formula>LEN(TRIM(B105))&gt;0</formula>
    </cfRule>
  </conditionalFormatting>
  <conditionalFormatting sqref="F121">
    <cfRule type="cellIs" dxfId="709" priority="20" operator="equal">
      <formula>$B$121=""</formula>
    </cfRule>
  </conditionalFormatting>
  <conditionalFormatting sqref="B121:E121">
    <cfRule type="notContainsBlanks" dxfId="708" priority="22">
      <formula>LEN(TRIM(B121))&gt;0</formula>
    </cfRule>
  </conditionalFormatting>
  <conditionalFormatting sqref="F137">
    <cfRule type="cellIs" dxfId="707" priority="17" operator="equal">
      <formula>$B$137=""</formula>
    </cfRule>
  </conditionalFormatting>
  <conditionalFormatting sqref="B137:E137">
    <cfRule type="notContainsBlanks" dxfId="706" priority="19">
      <formula>LEN(TRIM(B137))&gt;0</formula>
    </cfRule>
  </conditionalFormatting>
  <conditionalFormatting sqref="F153">
    <cfRule type="cellIs" dxfId="705" priority="14" operator="equal">
      <formula>$B$153=""</formula>
    </cfRule>
  </conditionalFormatting>
  <conditionalFormatting sqref="B153:E153">
    <cfRule type="notContainsBlanks" dxfId="704" priority="16">
      <formula>LEN(TRIM(B153))&gt;0</formula>
    </cfRule>
  </conditionalFormatting>
  <conditionalFormatting sqref="F169">
    <cfRule type="cellIs" dxfId="703" priority="11" operator="equal">
      <formula>$B$169=""</formula>
    </cfRule>
  </conditionalFormatting>
  <conditionalFormatting sqref="B169:E169">
    <cfRule type="notContainsBlanks" dxfId="702" priority="13">
      <formula>LEN(TRIM(B169))&gt;0</formula>
    </cfRule>
  </conditionalFormatting>
  <dataValidations count="3">
    <dataValidation type="list" allowBlank="1" showInputMessage="1" showErrorMessage="1" sqref="J21:J30 J38:J47 J53:J62 J69:J78 J85:J94 J102:J111 J118:J127 J134:J143 J150:J159 J166:J175" xr:uid="{00000000-0002-0000-0700-000000000000}">
      <formula1>ConcreteProcesses</formula1>
    </dataValidation>
    <dataValidation type="whole" allowBlank="1" showInputMessage="1" showErrorMessage="1" sqref="C18:F18 D4 G5" xr:uid="{00000000-0002-0000-0700-000001000000}">
      <formula1>0</formula1>
      <formula2>100</formula2>
    </dataValidation>
    <dataValidation type="list" allowBlank="1" showInputMessage="1" showErrorMessage="1" sqref="F24 F41 F56 F72 F88 F105 F121 F137 F153 F169" xr:uid="{00000000-0002-0000-0700-000002000000}">
      <formula1>CHECK</formula1>
    </dataValidation>
  </dataValidations>
  <pageMargins left="0.25" right="0.25" top="0.75" bottom="0.75" header="0.3" footer="0.3"/>
  <pageSetup scale="65" fitToHeight="0" orientation="landscape" verticalDpi="300" r:id="rId1"/>
  <legacyDrawing r:id="rId2"/>
  <extLst>
    <ext xmlns:x14="http://schemas.microsoft.com/office/spreadsheetml/2009/9/main" uri="{78C0D931-6437-407d-A8EE-F0AAD7539E65}">
      <x14:conditionalFormattings>
        <x14:conditionalFormatting xmlns:xm="http://schemas.microsoft.com/office/excel/2006/main">
          <x14:cfRule type="notContainsBlanks" priority="40" id="{A65FAE22-C79E-40A9-836F-74C17091906B}">
            <xm:f>LEN(TRIM('Concrete Plant (CP-3)'!F24))&gt;0</xm:f>
            <x14:dxf>
              <fill>
                <patternFill>
                  <bgColor rgb="FFFFFF99"/>
                </patternFill>
              </fill>
              <border>
                <left style="thin">
                  <color auto="1"/>
                </left>
                <right style="thin">
                  <color auto="1"/>
                </right>
                <top style="thin">
                  <color auto="1"/>
                </top>
                <bottom style="thin">
                  <color auto="1"/>
                </bottom>
                <vertical/>
                <horizontal/>
              </border>
            </x14:dxf>
          </x14:cfRule>
          <xm:sqref>F169 F137 F105 F121 F41 F24 F153</xm:sqref>
        </x14:conditionalFormatting>
        <x14:conditionalFormatting xmlns:xm="http://schemas.microsoft.com/office/excel/2006/main">
          <x14:cfRule type="notContainsBlanks" priority="4" stopIfTrue="1" id="{38AD8202-67D7-405A-9387-4C7F1302AFFA}">
            <xm:f>LEN(TRIM('Concrete Plant (CP-1)'!M64))&gt;0</xm:f>
            <x14:dxf>
              <border>
                <left style="thin">
                  <color indexed="64"/>
                </left>
                <right style="thin">
                  <color indexed="64"/>
                </right>
                <top style="thin">
                  <color indexed="64"/>
                </top>
                <bottom style="thin">
                  <color indexed="64"/>
                </bottom>
              </border>
            </x14:dxf>
          </x14:cfRule>
          <xm:sqref>M178:N178 M65:N65 M81:N81 M97:N97</xm:sqref>
        </x14:conditionalFormatting>
        <x14:conditionalFormatting xmlns:xm="http://schemas.microsoft.com/office/excel/2006/main">
          <x14:cfRule type="cellIs" priority="3" stopIfTrue="1" operator="equal" id="{CDC533F7-6E3D-4A02-B2E4-EE7E7C6B77C9}">
            <xm:f>'Concrete Plant (CP-1)'!$B$51="batch plant"</xm:f>
            <x14:dxf>
              <fill>
                <patternFill patternType="none">
                  <bgColor indexed="65"/>
                </patternFill>
              </fill>
              <border>
                <left/>
                <right/>
                <top/>
                <bottom/>
              </border>
            </x14:dxf>
          </x14:cfRule>
          <xm:sqref>M63:N66 M52:N52</xm:sqref>
        </x14:conditionalFormatting>
        <x14:conditionalFormatting xmlns:xm="http://schemas.microsoft.com/office/excel/2006/main">
          <x14:cfRule type="cellIs" priority="5" stopIfTrue="1" operator="equal" id="{0734A5C3-589F-4B4A-AE9E-9D3530A9F2F0}">
            <xm:f>'Concrete Plant (CP-1)'!$B$67="batch plant"</xm:f>
            <x14:dxf>
              <fill>
                <patternFill patternType="none">
                  <bgColor indexed="65"/>
                </patternFill>
              </fill>
              <border>
                <left/>
                <right/>
                <top/>
                <bottom/>
              </border>
            </x14:dxf>
          </x14:cfRule>
          <xm:sqref>M79:N82 M68:N68</xm:sqref>
        </x14:conditionalFormatting>
        <x14:conditionalFormatting xmlns:xm="http://schemas.microsoft.com/office/excel/2006/main">
          <x14:cfRule type="cellIs" priority="6" stopIfTrue="1" operator="equal" id="{CDE4D921-E319-4033-98EB-90475EBBD64C}">
            <xm:f>'Concrete Plant (CP-1)'!$B$83="batch plant"</xm:f>
            <x14:dxf>
              <fill>
                <patternFill patternType="none">
                  <bgColor indexed="65"/>
                </patternFill>
              </fill>
              <border>
                <left/>
                <right/>
                <top/>
                <bottom/>
              </border>
            </x14:dxf>
          </x14:cfRule>
          <xm:sqref>M95:N98 M84:N84</xm:sqref>
        </x14:conditionalFormatting>
        <x14:conditionalFormatting xmlns:xm="http://schemas.microsoft.com/office/excel/2006/main">
          <x14:cfRule type="cellIs" priority="7" stopIfTrue="1" operator="equal" id="{6B1E0DD4-65C6-4233-89F9-320AC7D1EB37}">
            <xm:f>'Concrete Plant (CP-1)'!$B$99="batch plant"</xm:f>
            <x14:dxf>
              <fill>
                <patternFill patternType="none">
                  <bgColor indexed="65"/>
                </patternFill>
              </fill>
              <border>
                <left/>
                <right/>
                <top/>
                <bottom/>
              </border>
            </x14:dxf>
          </x14:cfRule>
          <xm:sqref>M112:N115 M101:N101</xm:sqref>
        </x14:conditionalFormatting>
        <x14:conditionalFormatting xmlns:xm="http://schemas.microsoft.com/office/excel/2006/main">
          <x14:cfRule type="cellIs" priority="8" stopIfTrue="1" operator="equal" id="{B879FDC8-569C-44B4-BAD2-5D6504A22B9D}">
            <xm:f>'Concrete Plant (CP-1)'!$B$115="batch plant"</xm:f>
            <x14:dxf>
              <fill>
                <patternFill patternType="none">
                  <bgColor indexed="65"/>
                </patternFill>
              </fill>
              <border>
                <left/>
                <right/>
                <top/>
                <bottom/>
              </border>
            </x14:dxf>
          </x14:cfRule>
          <xm:sqref>M128:N131 M117:N117</xm:sqref>
        </x14:conditionalFormatting>
        <x14:conditionalFormatting xmlns:xm="http://schemas.microsoft.com/office/excel/2006/main">
          <x14:cfRule type="cellIs" priority="9" stopIfTrue="1" operator="equal" id="{74DF1706-FACE-4052-9AB5-2886F16B8C2A}">
            <xm:f>'Concrete Plant (CP-1)'!$B$131="batch plant"</xm:f>
            <x14:dxf>
              <fill>
                <patternFill patternType="none">
                  <bgColor indexed="65"/>
                </patternFill>
              </fill>
              <border>
                <left/>
                <right/>
                <top/>
                <bottom/>
              </border>
            </x14:dxf>
          </x14:cfRule>
          <xm:sqref>M144:N147 M133:N133</xm:sqref>
        </x14:conditionalFormatting>
        <x14:conditionalFormatting xmlns:xm="http://schemas.microsoft.com/office/excel/2006/main">
          <x14:cfRule type="cellIs" priority="10" stopIfTrue="1" operator="equal" id="{7FF2DFEC-A8E4-4816-B1F9-5335610F1078}">
            <xm:f>'Concrete Plant (CP-1)'!$B$147="batch plant"</xm:f>
            <x14:dxf>
              <fill>
                <patternFill patternType="none">
                  <bgColor indexed="65"/>
                </patternFill>
              </fill>
              <border>
                <left/>
                <right/>
                <top/>
                <bottom/>
              </border>
            </x14:dxf>
          </x14:cfRule>
          <xm:sqref>M160:N163 M149:N149</xm:sqref>
        </x14:conditionalFormatting>
        <x14:conditionalFormatting xmlns:xm="http://schemas.microsoft.com/office/excel/2006/main">
          <x14:cfRule type="cellIs" priority="1" stopIfTrue="1" operator="equal" id="{78DF7261-ECFA-4B82-B8F8-D1ED55AE5ECA}">
            <xm:f>'Concrete Plant (CP-1)'!$B$164="batch plant"</xm:f>
            <x14:dxf>
              <fill>
                <patternFill patternType="none">
                  <bgColor indexed="65"/>
                </patternFill>
              </fill>
              <border>
                <left/>
                <right/>
                <top/>
                <bottom/>
              </border>
            </x14:dxf>
          </x14:cfRule>
          <xm:sqref>M179:N179</xm:sqref>
        </x14:conditionalFormatting>
        <x14:conditionalFormatting xmlns:xm="http://schemas.microsoft.com/office/excel/2006/main">
          <x14:cfRule type="notContainsBlanks" priority="1280" stopIfTrue="1" id="{38AD8202-67D7-405A-9387-4C7F1302AFFA}">
            <xm:f>LEN(TRIM('Concrete Plant (CP-1)'!#REF!))&gt;0</xm:f>
            <x14:dxf>
              <border>
                <left style="thin">
                  <color indexed="64"/>
                </left>
                <right style="thin">
                  <color indexed="64"/>
                </right>
                <top style="thin">
                  <color indexed="64"/>
                </top>
                <bottom style="thin">
                  <color indexed="64"/>
                </bottom>
              </border>
            </x14:dxf>
          </x14:cfRule>
          <xm:sqref>M50:N50</xm:sqref>
        </x14:conditionalFormatting>
        <x14:conditionalFormatting xmlns:xm="http://schemas.microsoft.com/office/excel/2006/main">
          <x14:cfRule type="notContainsBlanks" priority="6532" id="{A65FAE22-C79E-40A9-836F-74C17091906B}">
            <xm:f>LEN(TRIM('Concrete Plant (CP-3)'!F57))&gt;0</xm:f>
            <x14:dxf>
              <fill>
                <patternFill>
                  <bgColor rgb="FFFFFF99"/>
                </patternFill>
              </fill>
              <border>
                <left style="thin">
                  <color auto="1"/>
                </left>
                <right style="thin">
                  <color auto="1"/>
                </right>
                <top style="thin">
                  <color auto="1"/>
                </top>
                <bottom style="thin">
                  <color auto="1"/>
                </bottom>
                <vertical/>
                <horizontal/>
              </border>
            </x14:dxf>
          </x14:cfRule>
          <xm:sqref>F56 F72 F88</xm:sqref>
        </x14:conditionalFormatting>
        <x14:conditionalFormatting xmlns:xm="http://schemas.microsoft.com/office/excel/2006/main">
          <x14:cfRule type="notContainsBlanks" priority="7565" stopIfTrue="1" id="{38AD8202-67D7-405A-9387-4C7F1302AFFA}">
            <xm:f>LEN(TRIM('Concrete Plant (CP-1)'!M112))&gt;0</xm:f>
            <x14:dxf>
              <border>
                <left style="thin">
                  <color indexed="64"/>
                </left>
                <right style="thin">
                  <color indexed="64"/>
                </right>
                <top style="thin">
                  <color indexed="64"/>
                </top>
                <bottom style="thin">
                  <color indexed="64"/>
                </bottom>
              </border>
            </x14:dxf>
          </x14:cfRule>
          <xm:sqref>M162:N162 M146:N146 M114:N114 M130:N130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W181"/>
  <sheetViews>
    <sheetView topLeftCell="B1" workbookViewId="0">
      <selection activeCell="B1" sqref="B1"/>
    </sheetView>
  </sheetViews>
  <sheetFormatPr defaultColWidth="8.85546875" defaultRowHeight="14.25" customHeight="1" x14ac:dyDescent="0.2"/>
  <cols>
    <col min="1" max="1" width="9.140625" style="67" hidden="1" customWidth="1"/>
    <col min="2" max="2" width="31.85546875" style="67" customWidth="1"/>
    <col min="3" max="3" width="9.42578125" style="67" customWidth="1"/>
    <col min="4" max="4" width="11.28515625" style="67" customWidth="1"/>
    <col min="5" max="5" width="9.42578125" style="67" customWidth="1"/>
    <col min="6" max="6" width="11.140625" style="67" customWidth="1"/>
    <col min="7" max="7" width="2.85546875" style="67" customWidth="1"/>
    <col min="8" max="8" width="13.85546875" style="67" customWidth="1"/>
    <col min="9" max="9" width="14" style="67" customWidth="1"/>
    <col min="10" max="10" width="31.140625" style="67" customWidth="1"/>
    <col min="11" max="11" width="37.7109375" style="67" customWidth="1"/>
    <col min="12" max="12" width="27.42578125" style="67" customWidth="1"/>
    <col min="13" max="13" width="6.28515625" style="177" hidden="1" customWidth="1"/>
    <col min="14" max="14" width="7.42578125" style="177" hidden="1" customWidth="1"/>
    <col min="15" max="15" width="7" style="67" customWidth="1"/>
    <col min="16" max="16" width="31.28515625" style="67" customWidth="1"/>
    <col min="17" max="17" width="18.140625" style="67" customWidth="1"/>
    <col min="18" max="18" width="16.85546875" style="67" customWidth="1"/>
    <col min="19" max="19" width="18.140625" style="67" hidden="1" customWidth="1"/>
    <col min="20" max="21" width="16.42578125" style="67" hidden="1" customWidth="1"/>
    <col min="22" max="22" width="16.28515625" style="67" customWidth="1"/>
    <col min="23" max="23" width="0" style="67" hidden="1" customWidth="1"/>
    <col min="24" max="16384" width="8.85546875" style="67"/>
  </cols>
  <sheetData>
    <row r="1" spans="2:21" ht="14.25" customHeight="1" x14ac:dyDescent="0.2">
      <c r="B1" s="322" t="s">
        <v>218</v>
      </c>
      <c r="C1" s="322"/>
      <c r="D1" s="313"/>
      <c r="E1" s="313"/>
      <c r="F1" s="169"/>
    </row>
    <row r="2" spans="2:21" ht="14.25" customHeight="1" x14ac:dyDescent="0.25">
      <c r="B2" s="325" t="s">
        <v>37</v>
      </c>
      <c r="C2" s="326"/>
      <c r="D2" s="326"/>
      <c r="E2" s="326"/>
      <c r="F2" s="178"/>
      <c r="J2" s="31"/>
      <c r="L2" s="323" t="s">
        <v>144</v>
      </c>
      <c r="M2" s="216"/>
      <c r="N2" s="216"/>
      <c r="P2" s="68" t="s">
        <v>255</v>
      </c>
      <c r="Q2" s="68"/>
      <c r="R2" s="68"/>
      <c r="S2" s="68"/>
    </row>
    <row r="3" spans="2:21" ht="21.75" customHeight="1" x14ac:dyDescent="0.2">
      <c r="P3" s="317" t="s">
        <v>0</v>
      </c>
      <c r="Q3" s="309" t="s">
        <v>242</v>
      </c>
      <c r="R3" s="309" t="s">
        <v>243</v>
      </c>
    </row>
    <row r="4" spans="2:21" ht="14.25" customHeight="1" x14ac:dyDescent="0.2">
      <c r="B4" s="180" t="str">
        <f>"Number of Sites this Plant operated at in "&amp;'Facility Information'!G5&amp;":"</f>
        <v>Number of Sites this Plant operated at in :</v>
      </c>
      <c r="C4" s="181"/>
      <c r="D4" s="184"/>
      <c r="F4" s="179"/>
      <c r="G4" s="71"/>
      <c r="H4" s="179"/>
      <c r="I4" s="146"/>
      <c r="P4" s="90" t="s">
        <v>191</v>
      </c>
      <c r="Q4" s="110">
        <f ca="1">MAX((IFERROR(OFFSET($J$20,MATCH("Aggregate Delivery to Ground Storage",$J$21:$J$30,0),1),0)),((IFERROR((OFFSET($J$37,MATCH("Aggregate Delivery to Ground Storage",$J$38:$J$47,0),1)),0))),((IFERROR((OFFSET($J$52,MATCH("Aggregate Delivery to Ground Storage",$J$53:$J$62,0),1)),0))),((IFERROR((OFFSET($J$68,MATCH("Aggregate Delivery to Ground Storage",$J$69:$J$78,0),1)),0))),((IFERROR((OFFSET($J$84,MATCH("Aggregate Delivery to Ground Storage",$J$85:$J$94,0),1)),0))),((IFERROR((OFFSET($J$101,MATCH("Aggregate Delivery to Ground Storage",$J$102:$J$111,0),1)),0))),((IFERROR((OFFSET($J$117,MATCH("Aggregate Delivery to Ground Storage",$J$118:$J$127,0),1)),0))),((IFERROR((OFFSET($J$133,MATCH("Aggregate Delivery to Ground Storage",$J$134:$J$143,0),1)),0))),((IFERROR((OFFSET($J$149,MATCH("Aggregate Delivery to Ground Storage",$J$150:$J$159,0),1)),0))),((IFERROR((OFFSET($J$165,MATCH("Aggregate Delivery to Ground Storage",$J$166:$J$175,0),1)),0))),)</f>
        <v>0</v>
      </c>
      <c r="R4" s="110">
        <f ca="1">SUM((IFERROR(OFFSET($J$20,MATCH("Aggregate Delivery to Ground Storage",$J$21:$J$30,0),2),0)),((IFERROR((OFFSET($J$37,MATCH("Aggregate Delivery to Ground Storage",$J$38:$J$47,0),2)),0))),((IFERROR((OFFSET($J$52,MATCH("Aggregate Delivery to Ground Storage",$J$53:$J$62,0),2)),0))),((IFERROR((OFFSET($J$68,MATCH("Aggregate Delivery to Ground Storage",$J$69:$J$78,0),2)),0))),((IFERROR((OFFSET($J$84,MATCH("Aggregate Delivery to Ground Storage",$J$85:$J$94,0),2)),0))),((IFERROR((OFFSET($J$101,MATCH("Aggregate Delivery to Ground Storage",$J$102:$J$111,0),2)),0))),((IFERROR((OFFSET($J$117,MATCH("Aggregate Delivery to Ground Storage",$J$118:$J$127,0),2)),0))),((IFERROR((OFFSET($J$133,MATCH("Aggregate Delivery to Ground Storage",$J$134:$J$143,0),2)),0))),((IFERROR((OFFSET($J$149,MATCH("Aggregate Delivery to Ground Storage",$J$150:$J$159,0),2)),0))),((IFERROR((OFFSET($J$165,MATCH("Aggregate Delivery to Ground Storage",$J$166:$J$175,0),2)),0))),)</f>
        <v>0</v>
      </c>
      <c r="S4" s="386" t="s">
        <v>252</v>
      </c>
      <c r="T4" s="386"/>
      <c r="U4" s="386"/>
    </row>
    <row r="5" spans="2:21" ht="14.25" customHeight="1" x14ac:dyDescent="0.2">
      <c r="B5" s="83"/>
      <c r="C5" s="83"/>
      <c r="D5" s="83"/>
      <c r="E5" s="83"/>
      <c r="F5" s="83"/>
      <c r="G5" s="146"/>
      <c r="H5" s="146"/>
      <c r="I5" s="146"/>
      <c r="P5" s="90" t="s">
        <v>192</v>
      </c>
      <c r="Q5" s="110">
        <f ca="1">MAX((IFERROR(OFFSET($J$20,MATCH("Sand Delivery to Ground Storage",$J$21:$J$30,0),1),0)),((IFERROR((OFFSET($J$37,MATCH("Sand Delivery to Ground Storage",$J$38:$J$47,0),1)),0))),((IFERROR((OFFSET($J$52,MATCH("Sand Delivery to Ground Storage",$J$53:$J$62,0),1)),0))),((IFERROR((OFFSET($J$68,MATCH("Sand Delivery to Ground Storage",$J$69:$J$78,0),1)),0))),((IFERROR((OFFSET($J$84,MATCH("Sand Delivery to Ground Storage",$J$85:$J$94,0),1)),0))),((IFERROR((OFFSET($J$101,MATCH("Sand Delivery to Ground Storage",$J$102:$J$111,0),1)),0))),((IFERROR((OFFSET($J$117,MATCH("Sand Delivery to Ground Storage",$J$118:$J$127,0),1)),0))),((IFERROR((OFFSET($J$133,MATCH("Sand Delivery to Ground Storage",$J$134:$J$143,0),1)),0))),((IFERROR((OFFSET($J$149,MATCH("Sand Delivery to Ground Storage",$J$150:$J$159,0),1)),0))),((IFERROR((OFFSET($J$165,MATCH("Sand Delivery to Ground Storage",$J$166:$J$175,0),1)),0))),)</f>
        <v>0</v>
      </c>
      <c r="R5" s="110">
        <f ca="1">SUM((IFERROR(OFFSET($J$20,MATCH("Sand Delivery to Ground Storage",$J$21:$J$30,0),2),0)),((IFERROR((OFFSET($J$37,MATCH("Sand Delivery to Ground Storage",$J$38:$J$47,0),2)),0))),((IFERROR((OFFSET($J$52,MATCH("Sand Delivery to Ground Storage",$J$53:$J$62,0),2)),0))),((IFERROR((OFFSET($J$68,MATCH("Sand Delivery to Ground Storage",$J$69:$J$78,0),2)),0))),((IFERROR((OFFSET($J$84,MATCH("Sand Delivery to Ground Storage",$J$85:$J$94,0),2)),0))),((IFERROR((OFFSET($J$101,MATCH("Sand Delivery to Ground Storage",$J$102:$J$111,0),2)),0))),((IFERROR((OFFSET($J$117,MATCH("Sand Delivery to Ground Storage",$J$118:$J$127,0),2)),0))),((IFERROR((OFFSET($J$133,MATCH("Sand Delivery to Ground Storage",$J$134:$J$143,0),2)),0))),((IFERROR((OFFSET($J$149,MATCH("Sand Delivery to Ground Storage",$J$150:$J$159,0),2)),0))),((IFERROR((OFFSET($J$165,MATCH("Sand Delivery to Ground Storage",$J$166:$J$175,0),2)),0))),)</f>
        <v>0</v>
      </c>
      <c r="S5" s="386"/>
      <c r="T5" s="386"/>
      <c r="U5" s="386"/>
    </row>
    <row r="6" spans="2:21" ht="14.25" customHeight="1" x14ac:dyDescent="0.2">
      <c r="B6" s="327" t="s">
        <v>156</v>
      </c>
      <c r="C6" s="328"/>
      <c r="D6" s="338"/>
      <c r="E6" s="125"/>
      <c r="F6" s="125"/>
      <c r="G6" s="45"/>
      <c r="H6" s="45"/>
      <c r="I6" s="45"/>
      <c r="J6" s="45"/>
      <c r="K6" s="45"/>
      <c r="L6" s="45"/>
      <c r="M6" s="182"/>
      <c r="N6" s="182"/>
      <c r="P6" s="90" t="s">
        <v>193</v>
      </c>
      <c r="Q6" s="110">
        <f ca="1">MAX((IFERROR(OFFSET($J$20,MATCH("Aggregate Transfer to Conveyor",$J$21:$J$30,0),1),0)),((IFERROR((OFFSET($J$37,MATCH("Aggregate Transfer to Conveyor",$J$38:$J$47,0),1)),0))),((IFERROR((OFFSET($J$52,MATCH("Aggregate Transfer to Conveyor",$J$53:$J$62,0),1)),0))),((IFERROR((OFFSET($J$68,MATCH("Aggregate Transfer to Conveyor",$J$69:$J$78,0),1)),0))),((IFERROR((OFFSET($J$84,MATCH("Aggregate Transfer to Conveyor",$J$85:$J$94,0),1)),0))),((IFERROR((OFFSET($J$101,MATCH("Aggregate Transfer to Conveyor",$J$102:$J$111,0),1)),0))),((IFERROR((OFFSET($J$117,MATCH("Aggregate Transfer to Conveyor",$J$118:$J$127,0),1)),0))),((IFERROR((OFFSET($J$133,MATCH("Aggregate Transfer to Conveyor",$J$134:$J$143,0),1)),0))),((IFERROR((OFFSET($J$149,MATCH("Aggregate Transfer to Conveyor",$J$150:$J$159,0),1)),0))),((IFERROR((OFFSET($J$165,MATCH("Aggregate Transfer to Conveyor",$J$166:$J$175,0),1)),0))),)</f>
        <v>0</v>
      </c>
      <c r="R6" s="110">
        <f ca="1">SUM((IFERROR(OFFSET($J$20,MATCH("Aggregate Transfer to Conveyor",$J$21:$J$30,0),2),0)),((IFERROR((OFFSET($J$37,MATCH("Aggregate Transfer to Conveyor",$J$38:$J$47,0),2)),0))),((IFERROR((OFFSET($J$52,MATCH("Aggregate Transfer to Conveyor",$J$53:$J$62,0),2)),0))),((IFERROR((OFFSET($J$68,MATCH("Aggregate Transfer to Conveyor",$J$69:$J$78,0),2)),0))),((IFERROR((OFFSET($J$84,MATCH("Aggregate Transfer to Conveyor",$J$85:$J$94,0),2)),0))),((IFERROR((OFFSET($J$101,MATCH("Aggregate Transfer to Conveyor",$J$102:$J$111,0),2)),0))),((IFERROR((OFFSET($J$117,MATCH("Aggregate Transfer to Conveyor",$J$118:$J$127,0),2)),0))),((IFERROR((OFFSET($J$133,MATCH("Aggregate Transfer to Conveyor",$J$134:$J$143,0),2)),0))),((IFERROR((OFFSET($J$149,MATCH("Aggregate Transfer to Conveyor",$J$150:$J$159,0),2)),0))),((IFERROR((OFFSET($J$165,MATCH("Aggregate Transfer to Conveyor",$J$166:$J$175,0),2)),0))),)</f>
        <v>0</v>
      </c>
    </row>
    <row r="7" spans="2:21" ht="14.25" customHeight="1" x14ac:dyDescent="0.2">
      <c r="B7" s="52"/>
      <c r="C7" s="50"/>
      <c r="D7" s="50"/>
      <c r="E7" s="50"/>
      <c r="F7" s="50"/>
      <c r="G7" s="45"/>
      <c r="H7" s="45"/>
      <c r="I7" s="45"/>
      <c r="J7" s="45"/>
      <c r="K7" s="45"/>
      <c r="L7" s="45"/>
      <c r="M7" s="182"/>
      <c r="N7" s="182"/>
      <c r="P7" s="90" t="s">
        <v>194</v>
      </c>
      <c r="Q7" s="110">
        <f ca="1">MAX((IFERROR(OFFSET($J$20,MATCH("Sand Transfer to Conveyor",$J$21:$J$30,0),1),0)),((IFERROR((OFFSET($J$37,MATCH("Sand Transfer to Conveyor",$J$38:$J$47,0),1)),0))),((IFERROR((OFFSET($J$52,MATCH("Sand Transfer to Conveyor",$J$53:$J$62,0),1)),0))),((IFERROR((OFFSET($J$68,MATCH("Sand Transfer to Conveyor",$J$69:$J$78,0),1)),0))),((IFERROR((OFFSET($J$84,MATCH("Sand Transfer to Conveyor",$J$85:$J$94,0),1)),0))),((IFERROR((OFFSET($J$101,MATCH("Sand Transfer to Conveyor",$J$102:$J$111,0),1)),0))),((IFERROR((OFFSET($J$117,MATCH("Sand Transfer to Conveyor",$J$118:$J$127,0),1)),0))),((IFERROR((OFFSET($J$133,MATCH("Sand Transfer to Conveyor",$J$134:$J$143,0),1)),0))),((IFERROR((OFFSET($J$149,MATCH("Sand Transfer to Conveyor",$J$150:$J$159,0),1)),0))),((IFERROR((OFFSET($J$165,MATCH("Sand Transfer to Conveyor",$J$166:$J$175,0),1)),0))),)</f>
        <v>0</v>
      </c>
      <c r="R7" s="110">
        <f ca="1">SUM((IFERROR(OFFSET($J$20,MATCH("Sand Transfer to Conveyor",$J$21:$J$30,0),2),0)),((IFERROR((OFFSET($J$37,MATCH("Sand Transfer to Conveyor",$J$38:$J$47,0),2)),0))),((IFERROR((OFFSET($J$52,MATCH("Sand Transfer to Conveyor",$J$53:$J$62,0),2)),0))),((IFERROR((OFFSET($J$68,MATCH("Sand Transfer to Conveyor",$J$69:$J$78,0),2)),0))),((IFERROR((OFFSET($J$84,MATCH("Sand Transfer to Conveyor",$J$85:$J$94,0),2)),0))),((IFERROR((OFFSET($J$101,MATCH("Sand Transfer to Conveyor",$J$102:$J$111,0),2)),0))),((IFERROR((OFFSET($J$117,MATCH("Sand Transfer to Conveyor",$J$118:$J$127,0),2)),0))),((IFERROR((OFFSET($J$133,MATCH("Sand Transfer to Conveyor",$J$134:$J$143,0),2)),0))),((IFERROR((OFFSET($J$149,MATCH("Sand Transfer to Conveyor",$J$150:$J$159,0),2)),0))),((IFERROR((OFFSET($J$165,MATCH("Sand Transfer to Conveyor",$J$166:$J$175,0),2)),0))),)</f>
        <v>0</v>
      </c>
    </row>
    <row r="8" spans="2:21" ht="14.25" customHeight="1" x14ac:dyDescent="0.2">
      <c r="B8" s="52" t="s">
        <v>149</v>
      </c>
      <c r="C8" s="45"/>
      <c r="D8" s="45"/>
      <c r="E8" s="45"/>
      <c r="F8" s="182"/>
      <c r="G8" s="50"/>
      <c r="H8" s="56" t="s">
        <v>150</v>
      </c>
      <c r="I8" s="56"/>
      <c r="J8" s="50"/>
      <c r="K8" s="50"/>
      <c r="P8" s="90" t="s">
        <v>195</v>
      </c>
      <c r="Q8" s="110">
        <f ca="1">MAX((IFERROR(OFFSET($J$20,MATCH("Aggregate Transfer to Elevated Storage",$J$21:$J$30,0),1),0)),((IFERROR((OFFSET($J$37,MATCH("Aggregate Transfer to Elevated Storage",$J$38:$J$47,0),1)),0))),((IFERROR((OFFSET($J$52,MATCH("Aggregate Transfer to Elevated Storage",$J$53:$J$62,0),1)),0))),((IFERROR((OFFSET($J$68,MATCH("Aggregate Transfer to Elevated Storage",$J$69:$J$78,0),1)),0))),((IFERROR((OFFSET($J$84,MATCH("Aggregate Transfer to Elevated Storage",$J$85:$J$94,0),1)),0))),((IFERROR((OFFSET($J$101,MATCH("Aggregate Transfer to Elevated Storage",$J$102:$J$111,0),1)),0))),((IFERROR((OFFSET($J$117,MATCH("Aggregate Transfer to Elevated Storage",$J$118:$J$127,0),1)),0))),((IFERROR((OFFSET($J$133,MATCH("Aggregate Transfer to Elevated Storage",$J$134:$J$143,0),1)),0))),((IFERROR((OFFSET($J$149,MATCH("Aggregate Transfer to Elevated Storage",$J$150:$J$159,0),1)),0))),((IFERROR((OFFSET($J$165,MATCH("Aggregate Transfer to Elevated Storage",$J$166:$J$175,0),1)),0))),)</f>
        <v>0</v>
      </c>
      <c r="R8" s="110">
        <f ca="1">SUM((IFERROR(OFFSET($J$20,MATCH("Aggregate Transfer to Elevated Storage",$J$21:$J$30,0),2),0)),((IFERROR((OFFSET($J$37,MATCH("Aggregate Transfer to Elevated Storage",$J$38:$J$47,0),2)),0))),((IFERROR((OFFSET($J$52,MATCH("Aggregate Transfer to Elevated Storage",$J$53:$J$62,0),2)),0))),((IFERROR((OFFSET($J$68,MATCH("Aggregate Transfer to Elevated Storage",$J$69:$J$78,0),2)),0))),((IFERROR((OFFSET($J$84,MATCH("Aggregate Transfer to Elevated Storage",$J$85:$J$94,0),2)),0))),((IFERROR((OFFSET($J$101,MATCH("Aggregate Transfer to Elevated Storage",$J$102:$J$111,0),2)),0))),((IFERROR((OFFSET($J$117,MATCH("Aggregate Transfer to Elevated Storage",$J$118:$J$127,0),2)),0))),((IFERROR((OFFSET($J$133,MATCH("Aggregate Transfer to Elevated Storage",$J$134:$J$143,0),2)),0))),((IFERROR((OFFSET($J$149,MATCH("Aggregate Transfer to Elevated Storage",$J$150:$J$159,0),2)),0))),((IFERROR((OFFSET($J$165,MATCH("Aggregate Transfer to Elevated Storage",$J$166:$J$175,0),2)),0))),)</f>
        <v>0</v>
      </c>
    </row>
    <row r="9" spans="2:21" ht="14.25" customHeight="1" x14ac:dyDescent="0.2">
      <c r="B9" s="389" t="s">
        <v>204</v>
      </c>
      <c r="C9" s="390"/>
      <c r="D9" s="402"/>
      <c r="E9" s="362"/>
      <c r="F9" s="174"/>
      <c r="H9" s="57" t="s">
        <v>141</v>
      </c>
      <c r="I9" s="60" t="s">
        <v>139</v>
      </c>
      <c r="J9" s="60" t="s">
        <v>140</v>
      </c>
      <c r="P9" s="90" t="s">
        <v>196</v>
      </c>
      <c r="Q9" s="110">
        <f ca="1">MAX((IFERROR(OFFSET($J$20,MATCH("Sand Transfer to Elevated Storage",$J$21:$J$30,0),1),0)),((IFERROR((OFFSET($J$37,MATCH("Sand Transfer to Elevated Storage",$J$38:$J$47,0),1)),0))),((IFERROR((OFFSET($J$52,MATCH("Sand Transfer to Elevated Storage",$J$53:$J$62,0),1)),0))),((IFERROR((OFFSET($J$68,MATCH("Sand Transfer to Elevated Storage",$J$69:$J$78,0),1)),0))),((IFERROR((OFFSET($J$84,MATCH("Sand Transfer to Elevated Storage",$J$85:$J$94,0),1)),0))),((IFERROR((OFFSET($J$101,MATCH("Sand Transfer to Elevated Storage",$J$102:$J$111,0),1)),0))),((IFERROR((OFFSET($J$117,MATCH("Sand Transfer to Elevated Storage",$J$118:$J$127,0),1)),0))),((IFERROR((OFFSET($J$133,MATCH("Sand Transfer to Elevated Storage",$J$134:$J$143,0),1)),0))),((IFERROR((OFFSET($J$149,MATCH("Sand Transfer to Elevated Storage",$J$150:$J$159,0),1)),0))),((IFERROR((OFFSET($J$165,MATCH("Sand Transfer to Elevated Storage",$J$166:$J$175,0),1)),0))),)</f>
        <v>0</v>
      </c>
      <c r="R9" s="110">
        <f ca="1">SUM((IFERROR(OFFSET($J$20,MATCH("Sand Transfer to Elevated Storage",$J$21:$J$30,0),2),0)),((IFERROR((OFFSET($J$37,MATCH("Sand Transfer to Elevated Storage",$J$38:$J$47,0),2)),0))),((IFERROR((OFFSET($J$52,MATCH("Sand Transfer to Elevated Storage",$J$53:$J$62,0),2)),0))),((IFERROR((OFFSET($J$68,MATCH("Sand Transfer to Elevated Storage",$J$69:$J$78,0),2)),0))),((IFERROR((OFFSET($J$84,MATCH("Sand Transfer to Elevated Storage",$J$85:$J$94,0),2)),0))),((IFERROR((OFFSET($J$101,MATCH("Sand Transfer to Elevated Storage",$J$102:$J$111,0),2)),0))),((IFERROR((OFFSET($J$117,MATCH("Sand Transfer to Elevated Storage",$J$118:$J$127,0),2)),0))),((IFERROR((OFFSET($J$133,MATCH("Sand Transfer to Elevated Storage",$J$134:$J$143,0),2)),0))),((IFERROR((OFFSET($J$149,MATCH("Sand Transfer to Elevated Storage",$J$150:$J$159,0),2)),0))),((IFERROR((OFFSET($J$165,MATCH("Sand Transfer to Elevated Storage",$J$166:$J$175,0),2)),0))),)</f>
        <v>0</v>
      </c>
    </row>
    <row r="10" spans="2:21" ht="14.25" customHeight="1" x14ac:dyDescent="0.2">
      <c r="B10" s="335" t="s">
        <v>205</v>
      </c>
      <c r="C10" s="393"/>
      <c r="D10" s="400"/>
      <c r="E10" s="337"/>
      <c r="F10" s="174"/>
      <c r="H10" s="59" t="s">
        <v>110</v>
      </c>
      <c r="I10" s="144"/>
      <c r="J10" s="144"/>
      <c r="P10" s="90" t="s">
        <v>203</v>
      </c>
      <c r="Q10" s="110">
        <f ca="1">MAX((IFERROR(OFFSET($J$20,MATCH("Weigh Hopper Loading",$J$21:$J$30,0),1),0)),((IFERROR((OFFSET($J$37,MATCH("Weigh Hopper Loading",$J$38:$J$47,0),1)),0))),((IFERROR((OFFSET($J$52,MATCH("Weigh Hopper Loading",$J$53:$J$62,0),1)),0))),((IFERROR((OFFSET($J$68,MATCH("Weigh Hopper Loading",$J$69:$J$78,0),1)),0))),((IFERROR((OFFSET($J$84,MATCH("Weigh Hopper Loading",$J$85:$J$94,0),1)),0))),((IFERROR((OFFSET($J$101,MATCH("Weigh Hopper Loading",$J$102:$J$111,0),1)),0))),((IFERROR((OFFSET($J$117,MATCH("Weigh Hopper Loading",$J$118:$J$127,0),1)),0))),((IFERROR((OFFSET($J$133,MATCH("Weigh Hopper Loading",$J$134:$J$143,0),1)),0))),((IFERROR((OFFSET($J$149,MATCH("Weigh Hopper Loading",$J$150:$J$159,0),1)),0))),((IFERROR((OFFSET($J$165,MATCH("Weigh Hopper Loading",$J$166:$J$175,0),1)),0))),)</f>
        <v>0</v>
      </c>
      <c r="R10" s="110">
        <f ca="1">SUM((IFERROR(OFFSET($J$20,MATCH("Weigh Hopper Loading",$J$21:$J$30,0),2),0)),((IFERROR((OFFSET($J$37,MATCH("Weigh Hopper Loading",$J$38:$J$47,0),2)),0))),((IFERROR((OFFSET($J$52,MATCH("Weigh Hopper Loading",$J$53:$J$62,0),2)),0))),((IFERROR((OFFSET($J$68,MATCH("Weigh Hopper Loading",$J$69:$J$78,0),2)),0))),((IFERROR((OFFSET($J$84,MATCH("Weigh Hopper Loading",$J$85:$J$94,0),2)),0))),((IFERROR((OFFSET($J$101,MATCH("Weigh Hopper Loading",$J$102:$J$111,0),2)),0))),((IFERROR((OFFSET($J$117,MATCH("Weigh Hopper Loading",$J$118:$J$127,0),2)),0))),((IFERROR((OFFSET($J$133,MATCH("Weigh Hopper Loading",$J$134:$J$143,0),2)),0))),((IFERROR((OFFSET($J$149,MATCH("Weigh Hopper Loading",$J$150:$J$159,0),2)),0))),((IFERROR((OFFSET($J$165,MATCH("Weigh Hopper Loading",$J$166:$J$175,0),2)),0))),)</f>
        <v>0</v>
      </c>
    </row>
    <row r="11" spans="2:21" ht="14.25" customHeight="1" x14ac:dyDescent="0.2">
      <c r="B11" s="391" t="s">
        <v>146</v>
      </c>
      <c r="C11" s="392"/>
      <c r="D11" s="403"/>
      <c r="E11" s="363"/>
      <c r="F11" s="174"/>
      <c r="H11" s="58" t="s">
        <v>17</v>
      </c>
      <c r="I11" s="144"/>
      <c r="J11" s="144"/>
      <c r="P11" s="90" t="s">
        <v>197</v>
      </c>
      <c r="Q11" s="110">
        <f ca="1">MAX((IFERROR(OFFSET($J$20,MATCH("Central Mix Loading",$J$21:$J$30,0),1),0)),((IFERROR((OFFSET($J$37,MATCH("Central Mix Loading",$J$38:$J$47,0),1)),0))),((IFERROR((OFFSET($J$52,MATCH("Central Mix Loading",$J$53:$J$62,0),1)),0))),((IFERROR((OFFSET($J$68,MATCH("Central Mix Loading",$J$69:$J$78,0),1)),0))),((IFERROR((OFFSET($J$84,MATCH("Central Mix Loading",$J$85:$J$94,0),1)),0))),((IFERROR((OFFSET($J$101,MATCH("Central Mix Loading",$J$102:$J$111,0),1)),0))),((IFERROR((OFFSET($J$117,MATCH("Central Mix Loading",$J$118:$J$127,0),1)),0))),((IFERROR((OFFSET($J$133,MATCH("Central Mix Loading",$J$134:$J$143,0),1)),0))),((IFERROR((OFFSET($J$149,MATCH("Central Mix Loading",$J$150:$J$159,0),1)),0))),((IFERROR((OFFSET($J$165,MATCH("Central Mix Loading",$J$166:$J$175,0),1)),0))),)</f>
        <v>0</v>
      </c>
      <c r="R11" s="110">
        <f ca="1">SUM((IFERROR(OFFSET($J$20,MATCH("Central Mix Loading",$J$21:$J$30,0),2),0)),((IFERROR((OFFSET($J$37,MATCH("Central Mix Loading",$J$38:$J$47,0),2)),0))),((IFERROR((OFFSET($J$52,MATCH("Central Mix Loading",$J$53:$J$62,0),2)),0))),((IFERROR((OFFSET($J$68,MATCH("Central Mix Loading",$J$69:$J$78,0),2)),0))),((IFERROR((OFFSET($J$84,MATCH("Central Mix Loading",$J$85:$J$94,0),2)),0))),((IFERROR((OFFSET($J$101,MATCH("Central Mix Loading",$J$102:$J$111,0),2)),0))),((IFERROR((OFFSET($J$117,MATCH("Central Mix Loading",$J$118:$J$127,0),2)),0))),((IFERROR((OFFSET($J$133,MATCH("Central Mix Loading",$J$134:$J$143,0),2)),0))),((IFERROR((OFFSET($J$149,MATCH("Central Mix Loading",$J$150:$J$159,0),2)),0))),((IFERROR((OFFSET($J$165,MATCH("Central Mix Loading",$J$166:$J$175,0),2)),0))),)</f>
        <v>0</v>
      </c>
    </row>
    <row r="12" spans="2:21" ht="14.25" customHeight="1" x14ac:dyDescent="0.25">
      <c r="B12" s="320" t="s">
        <v>269</v>
      </c>
      <c r="C12" s="319"/>
      <c r="D12" s="319"/>
      <c r="E12" s="319"/>
      <c r="F12" s="170"/>
      <c r="G12" s="30"/>
      <c r="H12" s="58" t="s">
        <v>3</v>
      </c>
      <c r="I12" s="144"/>
      <c r="J12" s="144"/>
      <c r="P12" s="90" t="s">
        <v>198</v>
      </c>
      <c r="Q12" s="110">
        <f ca="1">MAX((IFERROR(OFFSET($J$20,MATCH("Truck Mix Loading",$J$21:$J$30,0),1),0)),((IFERROR((OFFSET($J$37,MATCH("Truck Mix Loading",$J$38:$J$47,0),1)),0))),((IFERROR((OFFSET($J$52,MATCH("Truck Mix Loading",$J$53:$J$62,0),1)),0))),((IFERROR((OFFSET($J$68,MATCH("Truck Mix Loading",$J$69:$J$78,0),1)),0))),((IFERROR((OFFSET($J$84,MATCH("Truck Mix Loading",$J$85:$J$94,0),1)),0))),((IFERROR((OFFSET($J$101,MATCH("Truck Mix Loading",$J$102:$J$111,0),1)),0))),((IFERROR((OFFSET($J$117,MATCH("Truck Mix Loading",$J$118:$J$127,0),1)),0))),((IFERROR((OFFSET($J$133,MATCH("Truck Mix Loading",$J$134:$J$143,0),1)),0))),((IFERROR((OFFSET($J$149,MATCH("Truck Mix Loading",$J$150:$J$159,0),1)),0))),((IFERROR((OFFSET($J$165,MATCH("Truck Mix Loading",$J$166:$J$175,0),1)),0))),)</f>
        <v>0</v>
      </c>
      <c r="R12" s="110">
        <f ca="1">SUM((IFERROR(OFFSET($J$20,MATCH("Truck Mix Loading",$J$21:$J$30,0),2),0)),((IFERROR((OFFSET($J$37,MATCH("Truck Mix Loading",$J$38:$J$47,0),2)),0))),((IFERROR((OFFSET($J$52,MATCH("Truck Mix Loading",$J$53:$J$62,0),2)),0))),((IFERROR((OFFSET($J$68,MATCH("Truck Mix Loading",$J$69:$J$78,0),2)),0))),((IFERROR((OFFSET($J$84,MATCH("Truck Mix Loading",$J$85:$J$94,0),2)),0))),((IFERROR((OFFSET($J$101,MATCH("Truck Mix Loading",$J$102:$J$111,0),2)),0))),((IFERROR((OFFSET($J$117,MATCH("Truck Mix Loading",$J$118:$J$127,0),2)),0))),((IFERROR((OFFSET($J$133,MATCH("Truck Mix Loading",$J$134:$J$143,0),2)),0))),((IFERROR((OFFSET($J$149,MATCH("Truck Mix Loading",$J$150:$J$159,0),2)),0))),((IFERROR((OFFSET($J$165,MATCH("Truck Mix Loading",$J$166:$J$175,0),2)),0))),)</f>
        <v>0</v>
      </c>
    </row>
    <row r="13" spans="2:21" ht="14.25" customHeight="1" x14ac:dyDescent="0.25">
      <c r="B13" s="320" t="s">
        <v>271</v>
      </c>
      <c r="C13" s="319"/>
      <c r="D13" s="319"/>
      <c r="E13" s="319"/>
      <c r="F13" s="170"/>
      <c r="G13" s="30"/>
      <c r="H13" s="58" t="s">
        <v>27</v>
      </c>
      <c r="I13" s="144"/>
      <c r="J13" s="144"/>
      <c r="P13" s="90" t="s">
        <v>199</v>
      </c>
      <c r="Q13" s="110">
        <f ca="1">MAX((IFERROR(OFFSET($J$20,MATCH("Cement Delivery to Silo",$J$21:$J$30,0),1),0)),((IFERROR((OFFSET($J$37,MATCH("Cement Delivery to Silo",$J$38:$J$47,0),1)),0))),((IFERROR((OFFSET($J$52,MATCH("Cement Delivery to Silo",$J$53:$J$62,0),1)),0))),((IFERROR((OFFSET($J$68,MATCH("Cement Delivery to Silo",$J$69:$J$78,0),1)),0))),((IFERROR((OFFSET($J$84,MATCH("Cement Delivery to Silo",$J$85:$J$94,0),1)),0))),((IFERROR((OFFSET($J$101,MATCH("Cement Delivery to Silo",$J$102:$J$111,0),1)),0))),((IFERROR((OFFSET($J$117,MATCH("Cement Delivery to Silo",$J$118:$J$127,0),1)),0))),((IFERROR((OFFSET($J$133,MATCH("Cement Delivery to Silo",$J$134:$J$143,0),1)),0))),((IFERROR((OFFSET($J$149,MATCH("Cement Delivery to Silo",$J$150:$J$159,0),1)),0))),((IFERROR((OFFSET($J$165,MATCH("Cement Delivery to Silo",$J$166:$J$175,0),1)),0))),)</f>
        <v>0</v>
      </c>
      <c r="R13" s="110">
        <f ca="1">SUM((IFERROR(OFFSET($J$20,MATCH("Cement Delivery to Silo",$J$21:$J$30,0),2),0)),((IFERROR((OFFSET($J$37,MATCH("Cement Delivery to Silo",$J$38:$J$47,0),2)),0))),((IFERROR((OFFSET($J$52,MATCH("Cement Delivery to Silo",$J$53:$J$62,0),2)),0))),((IFERROR((OFFSET($J$68,MATCH("Cement Delivery to Silo",$J$69:$J$78,0),2)),0))),((IFERROR((OFFSET($J$84,MATCH("Cement Delivery to Silo",$J$85:$J$94,0),2)),0))),((IFERROR((OFFSET($J$101,MATCH("Cement Delivery to Silo",$J$102:$J$111,0),2)),0))),((IFERROR((OFFSET($J$117,MATCH("Cement Delivery to Silo",$J$118:$J$127,0),2)),0))),((IFERROR((OFFSET($J$133,MATCH("Cement Delivery to Silo",$J$134:$J$143,0),2)),0))),((IFERROR((OFFSET($J$149,MATCH("Cement Delivery to Silo",$J$150:$J$159,0),2)),0))),((IFERROR((OFFSET($J$165,MATCH("Cement Delivery to Silo",$J$166:$J$175,0),2)),0))),)</f>
        <v>0</v>
      </c>
    </row>
    <row r="14" spans="2:21" ht="14.25" customHeight="1" x14ac:dyDescent="0.25">
      <c r="B14" s="171" t="s">
        <v>270</v>
      </c>
      <c r="C14" s="319"/>
      <c r="D14" s="319"/>
      <c r="E14" s="319"/>
      <c r="F14" s="170"/>
      <c r="G14" s="30"/>
      <c r="H14" s="58" t="s">
        <v>5</v>
      </c>
      <c r="I14" s="144"/>
      <c r="J14" s="144"/>
      <c r="P14" s="90" t="s">
        <v>200</v>
      </c>
      <c r="Q14" s="110">
        <f ca="1">MAX((IFERROR(OFFSET($J$20,MATCH("Cement Supplement Delivery to Silo",$J$21:$J$30,0),1),0)),((IFERROR((OFFSET($J$37,MATCH("Cement Supplement Delivery to Silo",$J$38:$J$47,0),1)),0))),((IFERROR((OFFSET($J$52,MATCH("Cement Supplement Delivery to Silo",$J$53:$J$62,0),1)),0))),((IFERROR((OFFSET($J$68,MATCH("Cement Supplement Delivery to Silo",$J$69:$J$78,0),1)),0))),((IFERROR((OFFSET($J$84,MATCH("Cement Supplement Delivery to Silo",$J$85:$J$94,0),1)),0))),((IFERROR((OFFSET($J$101,MATCH("Cement Supplement Delivery to Silo",$J$102:$J$111,0),1)),0))),((IFERROR((OFFSET($J$117,MATCH("Cement Supplement Delivery to Silo",$J$118:$J$127,0),1)),0))),((IFERROR((OFFSET($J$133,MATCH("Cement Supplement Delivery to Silo",$J$134:$J$143,0),1)),0))),((IFERROR((OFFSET($J$149,MATCH("Cement Supplement Delivery to Silo",$J$150:$J$159,0),1)),0))),((IFERROR((OFFSET($J$165,MATCH("Cement Supplement Delivery to Silo",$J$166:$J$175,0),1)),0))),)</f>
        <v>0</v>
      </c>
      <c r="R14" s="110">
        <f ca="1">SUM((IFERROR(OFFSET($J$20,MATCH("Cement Supplement Delivery to Silo",$J$21:$J$30,0),2),0)),((IFERROR((OFFSET($J$37,MATCH("Cement Supplement Delivery to Silo",$J$38:$J$47,0),2)),0))),((IFERROR((OFFSET($J$52,MATCH("Cement Supplement Delivery to Silo",$J$53:$J$62,0),2)),0))),((IFERROR((OFFSET($J$68,MATCH("Cement Supplement Delivery to Silo",$J$69:$J$78,0),2)),0))),((IFERROR((OFFSET($J$84,MATCH("Cement Supplement Delivery to Silo",$J$85:$J$94,0),2)),0))),((IFERROR((OFFSET($J$101,MATCH("Cement Supplement Delivery to Silo",$J$102:$J$111,0),2)),0))),((IFERROR((OFFSET($J$117,MATCH("Cement Supplement Delivery to Silo",$J$118:$J$127,0),2)),0))),((IFERROR((OFFSET($J$133,MATCH("Cement Supplement Delivery to Silo",$J$134:$J$143,0),2)),0))),((IFERROR((OFFSET($J$149,MATCH("Cement Supplement Delivery to Silo",$J$150:$J$159,0),2)),0))),((IFERROR((OFFSET($J$165,MATCH("Cement Supplement Delivery to Silo",$J$166:$J$175,0),2)),0))),)</f>
        <v>0</v>
      </c>
    </row>
    <row r="15" spans="2:21" ht="14.25" customHeight="1" x14ac:dyDescent="0.25">
      <c r="B15" s="12"/>
      <c r="C15" s="12"/>
      <c r="D15" s="12"/>
      <c r="E15" s="12"/>
      <c r="F15" s="12"/>
      <c r="G15" s="12"/>
      <c r="H15" s="58" t="s">
        <v>6</v>
      </c>
      <c r="I15" s="144"/>
      <c r="J15" s="144"/>
    </row>
    <row r="16" spans="2:21" ht="15" customHeight="1" thickBot="1" x14ac:dyDescent="0.3">
      <c r="B16" s="85"/>
      <c r="C16" s="85"/>
      <c r="D16" s="85"/>
      <c r="E16" s="85"/>
      <c r="F16" s="85"/>
      <c r="G16" s="85"/>
      <c r="H16" s="86"/>
      <c r="I16" s="86"/>
      <c r="J16" s="124"/>
      <c r="K16" s="124"/>
      <c r="L16" s="87"/>
      <c r="M16" s="71"/>
      <c r="N16" s="71"/>
      <c r="P16" s="68"/>
      <c r="Q16" s="188" t="s">
        <v>155</v>
      </c>
      <c r="R16" s="189" t="s">
        <v>154</v>
      </c>
      <c r="S16" s="88"/>
    </row>
    <row r="17" spans="1:23" ht="14.25" customHeight="1" x14ac:dyDescent="0.25">
      <c r="B17" s="12"/>
      <c r="C17" s="12"/>
      <c r="D17" s="12"/>
      <c r="E17" s="12"/>
      <c r="F17" s="12"/>
      <c r="G17" s="12"/>
      <c r="H17" s="84"/>
      <c r="I17" s="84"/>
      <c r="J17" s="50"/>
      <c r="K17" s="50"/>
      <c r="P17" s="90" t="s">
        <v>40</v>
      </c>
      <c r="Q17" s="143">
        <f>SUM(J34,J50,J66,J82,J98,J115,J131,J147,J163,J179)</f>
        <v>0</v>
      </c>
      <c r="R17" s="143">
        <f>SUM(K34*L34,K50*L50,K66*L66,K82*L82,K98*L98,K115*L115,K131*L131,K147*L147,K163*L163,K179*L179)</f>
        <v>0</v>
      </c>
      <c r="S17" s="68"/>
    </row>
    <row r="18" spans="1:23" ht="7.5" customHeight="1" x14ac:dyDescent="0.2">
      <c r="A18" s="71"/>
      <c r="B18" s="345"/>
      <c r="C18" s="50"/>
      <c r="D18" s="50"/>
      <c r="E18" s="50"/>
      <c r="F18" s="50"/>
    </row>
    <row r="19" spans="1:23" ht="14.25" customHeight="1" x14ac:dyDescent="0.2">
      <c r="D19" s="71"/>
      <c r="E19" s="71"/>
      <c r="F19" s="71"/>
      <c r="M19" s="217"/>
      <c r="N19" s="217"/>
      <c r="P19" s="45" t="s">
        <v>254</v>
      </c>
    </row>
    <row r="20" spans="1:23" ht="27" customHeight="1" x14ac:dyDescent="0.25">
      <c r="B20" s="69" t="s">
        <v>201</v>
      </c>
      <c r="C20" s="70" t="s">
        <v>145</v>
      </c>
      <c r="G20" s="45"/>
      <c r="H20" s="310" t="s">
        <v>1</v>
      </c>
      <c r="I20" s="310" t="s">
        <v>181</v>
      </c>
      <c r="J20" s="310" t="s">
        <v>142</v>
      </c>
      <c r="K20" s="311" t="s">
        <v>241</v>
      </c>
      <c r="L20" s="310" t="str">
        <f>('Facility Information'!G5&amp;" Annual Throughput (cubic yards)")</f>
        <v xml:space="preserve"> Annual Throughput (cubic yards)</v>
      </c>
      <c r="M20" s="218" t="s">
        <v>250</v>
      </c>
      <c r="N20" s="218" t="s">
        <v>251</v>
      </c>
      <c r="P20" s="89" t="s">
        <v>110</v>
      </c>
      <c r="Q20" s="308" t="s">
        <v>242</v>
      </c>
      <c r="R20" s="308" t="s">
        <v>240</v>
      </c>
      <c r="S20" s="308" t="s">
        <v>147</v>
      </c>
      <c r="T20" s="308" t="s">
        <v>130</v>
      </c>
      <c r="U20" s="308" t="s">
        <v>14</v>
      </c>
      <c r="V20" s="308" t="s">
        <v>148</v>
      </c>
    </row>
    <row r="21" spans="1:23" ht="14.25" customHeight="1" x14ac:dyDescent="0.2">
      <c r="A21" s="67" t="s">
        <v>38</v>
      </c>
      <c r="B21" s="186" t="s">
        <v>89</v>
      </c>
      <c r="C21" s="349"/>
      <c r="D21" s="356"/>
      <c r="E21" s="357"/>
      <c r="F21" s="175"/>
      <c r="G21" s="45"/>
      <c r="H21" s="126" t="str">
        <f>IF(J21="cement delivery to silo","CP-1 EP-2",IF(J21="cement supplement delivery to silo","CP-1 EP-3",IF(J21="weigh hopper loading","CP-1 EP-4",IF(J21="truck mix loading","CP-1 EP-5",IF(J21="central mix loading","CP-1 EP-6",IF(J21="","","CP-1 EP-1"))))))</f>
        <v/>
      </c>
      <c r="I21" s="126" t="str">
        <f t="shared" ref="I21:I30" si="0">IF(J21="","",IF(J21="aggregate delivery to ground storage","CP-8 EU-1",IF(J21="sand delivery to ground storage","CP-8 EU-2",IF(J21="aggregate transfer to conveyor","CP-8 EU-3",IF(J21="sand transfer to conveyor","CP-8 EU-4",IF(J21="aggregate transfer to elevated storage","CP-8 EU-5",IF(J21="sand transfer to elevated storage","CP-8 EU-6",IF(J21="weigh hopper loading","CP-8 EU-7",IF(J21="central mix loading","CP-8 EU-8",IF(J21="truck mix loading","CP-8 EU-9",IF(J21="cement delivery to silo","CP-8 EU-10",IF(J21="cement supplement delivery to silo","CP-8 EU-11"))))))))))))</f>
        <v/>
      </c>
      <c r="J21" s="82"/>
      <c r="K21" s="61"/>
      <c r="L21" s="156"/>
      <c r="M21" s="219" t="str">
        <f>IF(J21="truck mix loading",IF($F$24="yes",L21*0.05/2000,L21/2000),"")</f>
        <v/>
      </c>
      <c r="N21" s="219" t="str">
        <f>IF(J21="central mix loading",IF($F$24="yes",L21*0.05/2000,L21/2000),"")</f>
        <v/>
      </c>
      <c r="P21" s="90" t="s">
        <v>191</v>
      </c>
      <c r="Q21" s="105">
        <f t="shared" ref="Q21:Q31" ca="1" si="1">Q4</f>
        <v>0</v>
      </c>
      <c r="R21" s="111">
        <f ca="1">IF(Q21=0,0,LOOKUP(P21,'Emission Factors'!$A$5:$A$16,'Emission Factors'!$D$5:$D$16))</f>
        <v>0</v>
      </c>
      <c r="S21" s="105">
        <f t="shared" ref="S21:S29" ca="1" si="2">Q21*R21</f>
        <v>0</v>
      </c>
      <c r="T21" s="105" t="str">
        <f ca="1">IF(Q21=0,"",IF($I$10&gt;0,$I$10,""))</f>
        <v/>
      </c>
      <c r="U21" s="105">
        <f ca="1">IF($J$10&gt;0,$J$10,IF($D$9&gt;0,$D$9*R21/2000,IF($D$10&gt;0,$D$10*365*R21/2000,IF($D$11&gt;0,$D$11*365*R21*Q21/2000,IF(T21="",S21*8760/2000,T21*8760/2000)))))</f>
        <v>0</v>
      </c>
      <c r="V21" s="113">
        <f t="shared" ref="V21:V27" ca="1" si="3">(R4*R21/2000)</f>
        <v>0</v>
      </c>
    </row>
    <row r="22" spans="1:23" ht="14.25" customHeight="1" x14ac:dyDescent="0.2">
      <c r="A22" s="67" t="s">
        <v>39</v>
      </c>
      <c r="B22" s="186" t="s">
        <v>90</v>
      </c>
      <c r="C22" s="339"/>
      <c r="D22" s="342"/>
      <c r="E22" s="343"/>
      <c r="F22" s="175"/>
      <c r="G22" s="45"/>
      <c r="H22" s="126" t="str">
        <f t="shared" ref="H22:H30" si="4">IF(J22="cement delivery to silo","CP-1 EP-2",IF(J22="cement supplement delivery to silo","CP-1 EP-3",IF(J22="weigh hopper loading","CP-1 EP-4",IF(J22="truck mix loading","CP-1 EP-5",IF(J22="central mix loading","CP-1 EP-6",IF(J22="","","CP-1 EP-1"))))))</f>
        <v/>
      </c>
      <c r="I22" s="126" t="str">
        <f t="shared" si="0"/>
        <v/>
      </c>
      <c r="J22" s="82"/>
      <c r="K22" s="61"/>
      <c r="L22" s="156"/>
      <c r="M22" s="219" t="str">
        <f t="shared" ref="M22:M30" si="5">IF(J22="truck mix loading",IF($F$24="yes",L22*0.05/2000,L22/2000),"")</f>
        <v/>
      </c>
      <c r="N22" s="219" t="str">
        <f t="shared" ref="N22:N30" si="6">IF(J22="central mix loading",IF($F$24="yes",L22*0.05/2000,L22/2000),"")</f>
        <v/>
      </c>
      <c r="P22" s="90" t="s">
        <v>192</v>
      </c>
      <c r="Q22" s="105">
        <f t="shared" ca="1" si="1"/>
        <v>0</v>
      </c>
      <c r="R22" s="111">
        <f ca="1">IF(Q22=0,0,LOOKUP(P22,'Emission Factors'!$A$5:$A$16,'Emission Factors'!$D$5:$D$16))</f>
        <v>0</v>
      </c>
      <c r="S22" s="105">
        <f t="shared" ca="1" si="2"/>
        <v>0</v>
      </c>
      <c r="T22" s="105" t="str">
        <f t="shared" ref="T22:T27" ca="1" si="7">IF(Q22=0,"",IF($I$10&gt;0,$I$10,""))</f>
        <v/>
      </c>
      <c r="U22" s="105">
        <f t="shared" ref="U22:U27" ca="1" si="8">IF($J$10&gt;0,"",IF($D$9&gt;0,$D$9*R22/2000,IF($D$10&gt;0,$D$10*365*R22/2000,IF($D$11&gt;0,$D$11*365*R22*Q22/2000,IF(T22="",S22*8760/2000,T22*8760/2000)))))</f>
        <v>0</v>
      </c>
      <c r="V22" s="113">
        <f t="shared" ca="1" si="3"/>
        <v>0</v>
      </c>
    </row>
    <row r="23" spans="1:23" ht="14.25" customHeight="1" x14ac:dyDescent="0.2">
      <c r="B23" s="186" t="s">
        <v>202</v>
      </c>
      <c r="C23" s="352"/>
      <c r="D23" s="358"/>
      <c r="E23" s="359"/>
      <c r="F23" s="175"/>
      <c r="G23" s="45"/>
      <c r="H23" s="126" t="str">
        <f t="shared" si="4"/>
        <v/>
      </c>
      <c r="I23" s="126" t="str">
        <f t="shared" si="0"/>
        <v/>
      </c>
      <c r="J23" s="82"/>
      <c r="K23" s="61"/>
      <c r="L23" s="156"/>
      <c r="M23" s="219" t="str">
        <f t="shared" si="5"/>
        <v/>
      </c>
      <c r="N23" s="219" t="str">
        <f t="shared" si="6"/>
        <v/>
      </c>
      <c r="P23" s="90" t="s">
        <v>193</v>
      </c>
      <c r="Q23" s="105">
        <f t="shared" ca="1" si="1"/>
        <v>0</v>
      </c>
      <c r="R23" s="111">
        <f ca="1">IF(Q23=0,0,LOOKUP(P23,'Emission Factors'!$A$5:$A$16,'Emission Factors'!$D$5:$D$16))</f>
        <v>0</v>
      </c>
      <c r="S23" s="105">
        <f t="shared" ca="1" si="2"/>
        <v>0</v>
      </c>
      <c r="T23" s="105" t="str">
        <f t="shared" ca="1" si="7"/>
        <v/>
      </c>
      <c r="U23" s="105">
        <f t="shared" ca="1" si="8"/>
        <v>0</v>
      </c>
      <c r="V23" s="113">
        <f t="shared" ca="1" si="3"/>
        <v>0</v>
      </c>
    </row>
    <row r="24" spans="1:23" ht="14.25" customHeight="1" x14ac:dyDescent="0.25">
      <c r="A24" s="6" t="s">
        <v>191</v>
      </c>
      <c r="B24" s="51" t="str">
        <f>IF(OR(COUNTIF(J21:J30,"Truck Mix Loading")&gt;0,(COUNTIF(J21:J30,"Central Mix Loading")&gt;0)),"Is the Central/Truck Mix Loading process controlled by a baghouse?","")</f>
        <v/>
      </c>
      <c r="C24" s="51"/>
      <c r="D24" s="51"/>
      <c r="E24" s="51"/>
      <c r="F24" s="221"/>
      <c r="G24" s="45"/>
      <c r="H24" s="126" t="str">
        <f t="shared" si="4"/>
        <v/>
      </c>
      <c r="I24" s="126" t="str">
        <f t="shared" si="0"/>
        <v/>
      </c>
      <c r="J24" s="82"/>
      <c r="K24" s="61"/>
      <c r="L24" s="156"/>
      <c r="M24" s="219" t="str">
        <f t="shared" si="5"/>
        <v/>
      </c>
      <c r="N24" s="219" t="str">
        <f t="shared" si="6"/>
        <v/>
      </c>
      <c r="P24" s="90" t="s">
        <v>194</v>
      </c>
      <c r="Q24" s="105">
        <f t="shared" ca="1" si="1"/>
        <v>0</v>
      </c>
      <c r="R24" s="111">
        <f ca="1">IF(Q24=0,0,LOOKUP(P24,'Emission Factors'!$A$5:$A$16,'Emission Factors'!$D$5:$D$16))</f>
        <v>0</v>
      </c>
      <c r="S24" s="105">
        <f t="shared" ca="1" si="2"/>
        <v>0</v>
      </c>
      <c r="T24" s="105" t="str">
        <f t="shared" ca="1" si="7"/>
        <v/>
      </c>
      <c r="U24" s="105">
        <f t="shared" ca="1" si="8"/>
        <v>0</v>
      </c>
      <c r="V24" s="113">
        <f t="shared" ca="1" si="3"/>
        <v>0</v>
      </c>
    </row>
    <row r="25" spans="1:23" ht="14.25" customHeight="1" x14ac:dyDescent="0.25">
      <c r="A25" s="6" t="s">
        <v>192</v>
      </c>
      <c r="B25" s="45"/>
      <c r="C25" s="45"/>
      <c r="D25" s="45"/>
      <c r="E25" s="45"/>
      <c r="F25" s="182"/>
      <c r="G25" s="45"/>
      <c r="H25" s="126" t="str">
        <f t="shared" si="4"/>
        <v/>
      </c>
      <c r="I25" s="126" t="str">
        <f t="shared" si="0"/>
        <v/>
      </c>
      <c r="J25" s="82"/>
      <c r="K25" s="61"/>
      <c r="L25" s="156"/>
      <c r="M25" s="219" t="str">
        <f t="shared" si="5"/>
        <v/>
      </c>
      <c r="N25" s="219" t="str">
        <f t="shared" si="6"/>
        <v/>
      </c>
      <c r="P25" s="90" t="s">
        <v>195</v>
      </c>
      <c r="Q25" s="105">
        <f t="shared" ca="1" si="1"/>
        <v>0</v>
      </c>
      <c r="R25" s="111">
        <f ca="1">IF(Q25=0,0,LOOKUP(P25,'Emission Factors'!$A$5:$A$16,'Emission Factors'!$D$5:$D$16))</f>
        <v>0</v>
      </c>
      <c r="S25" s="105">
        <f t="shared" ca="1" si="2"/>
        <v>0</v>
      </c>
      <c r="T25" s="105" t="str">
        <f t="shared" ca="1" si="7"/>
        <v/>
      </c>
      <c r="U25" s="105">
        <f t="shared" ca="1" si="8"/>
        <v>0</v>
      </c>
      <c r="V25" s="113">
        <f t="shared" ca="1" si="3"/>
        <v>0</v>
      </c>
    </row>
    <row r="26" spans="1:23" ht="27.75" customHeight="1" x14ac:dyDescent="0.25">
      <c r="A26" s="6" t="s">
        <v>193</v>
      </c>
      <c r="B26" s="312" t="str">
        <f>IF(AND(B28="",B29="",B32="",B31="",B30=""),"","Process (complete stack information if applicable):")</f>
        <v/>
      </c>
      <c r="C26" s="312" t="str">
        <f>IF(AND(B28="",B29="",B32="",B31="",B30=""),"","Stack Height (ft):")</f>
        <v/>
      </c>
      <c r="D26" s="312" t="str">
        <f>IF(AND(B28="",B29="",B32="",B31="",B30=""),"","Stack Diameter (inches):")</f>
        <v/>
      </c>
      <c r="E26" s="312" t="str">
        <f>IF(AND(B28="",B29="",B32="",B31="",B30=""),"","Flow Rate (acfm):")</f>
        <v/>
      </c>
      <c r="F26" s="312" t="str">
        <f>IF(AND(B28="",B29="",B32="",B31="",B30=""),"","Temp (Deg F):")</f>
        <v/>
      </c>
      <c r="G26" s="45"/>
      <c r="H26" s="126" t="str">
        <f t="shared" si="4"/>
        <v/>
      </c>
      <c r="I26" s="126" t="str">
        <f t="shared" si="0"/>
        <v/>
      </c>
      <c r="J26" s="82"/>
      <c r="K26" s="61"/>
      <c r="L26" s="156"/>
      <c r="M26" s="219" t="str">
        <f t="shared" si="5"/>
        <v/>
      </c>
      <c r="N26" s="219" t="str">
        <f t="shared" si="6"/>
        <v/>
      </c>
      <c r="P26" s="90" t="s">
        <v>196</v>
      </c>
      <c r="Q26" s="105">
        <f t="shared" ca="1" si="1"/>
        <v>0</v>
      </c>
      <c r="R26" s="111">
        <f ca="1">IF(Q26=0,0,LOOKUP(P26,'Emission Factors'!$A$5:$A$16,'Emission Factors'!$D$5:$D$16))</f>
        <v>0</v>
      </c>
      <c r="S26" s="105">
        <f t="shared" ca="1" si="2"/>
        <v>0</v>
      </c>
      <c r="T26" s="105" t="str">
        <f t="shared" ca="1" si="7"/>
        <v/>
      </c>
      <c r="U26" s="105">
        <f t="shared" ca="1" si="8"/>
        <v>0</v>
      </c>
      <c r="V26" s="113">
        <f t="shared" ca="1" si="3"/>
        <v>0</v>
      </c>
    </row>
    <row r="27" spans="1:23" ht="14.25" customHeight="1" x14ac:dyDescent="0.25">
      <c r="A27" s="6" t="s">
        <v>194</v>
      </c>
      <c r="B27" s="312"/>
      <c r="C27" s="312"/>
      <c r="D27" s="312"/>
      <c r="E27" s="312"/>
      <c r="F27" s="312"/>
      <c r="G27" s="45"/>
      <c r="H27" s="126" t="str">
        <f t="shared" si="4"/>
        <v/>
      </c>
      <c r="I27" s="126" t="str">
        <f t="shared" si="0"/>
        <v/>
      </c>
      <c r="J27" s="82"/>
      <c r="K27" s="61"/>
      <c r="L27" s="156"/>
      <c r="M27" s="219" t="str">
        <f t="shared" si="5"/>
        <v/>
      </c>
      <c r="N27" s="219" t="str">
        <f t="shared" si="6"/>
        <v/>
      </c>
      <c r="P27" s="90" t="s">
        <v>203</v>
      </c>
      <c r="Q27" s="105">
        <f t="shared" ca="1" si="1"/>
        <v>0</v>
      </c>
      <c r="R27" s="111">
        <f ca="1">IF(Q27=0,0,LOOKUP(P27,'Emission Factors'!$A$5:$A$16,'Emission Factors'!$D$5:$D$16))</f>
        <v>0</v>
      </c>
      <c r="S27" s="105">
        <f t="shared" ca="1" si="2"/>
        <v>0</v>
      </c>
      <c r="T27" s="105" t="str">
        <f t="shared" ca="1" si="7"/>
        <v/>
      </c>
      <c r="U27" s="105">
        <f t="shared" ca="1" si="8"/>
        <v>0</v>
      </c>
      <c r="V27" s="113">
        <f t="shared" ca="1" si="3"/>
        <v>0</v>
      </c>
    </row>
    <row r="28" spans="1:23" ht="14.25" customHeight="1" x14ac:dyDescent="0.25">
      <c r="A28" s="6" t="s">
        <v>195</v>
      </c>
      <c r="B28" s="45" t="str">
        <f>IF(COUNTIF(J21:J30,"Cement Delivery to Silo")&gt;0,"EP-2 Cement Silo Stack:","")</f>
        <v/>
      </c>
      <c r="C28" s="221"/>
      <c r="D28" s="221"/>
      <c r="E28" s="221"/>
      <c r="F28" s="221"/>
      <c r="G28" s="45"/>
      <c r="H28" s="126" t="str">
        <f t="shared" si="4"/>
        <v/>
      </c>
      <c r="I28" s="126" t="str">
        <f t="shared" si="0"/>
        <v/>
      </c>
      <c r="J28" s="82"/>
      <c r="K28" s="61"/>
      <c r="L28" s="156"/>
      <c r="M28" s="219" t="str">
        <f t="shared" si="5"/>
        <v/>
      </c>
      <c r="N28" s="219" t="str">
        <f t="shared" si="6"/>
        <v/>
      </c>
      <c r="P28" s="90" t="s">
        <v>197</v>
      </c>
      <c r="Q28" s="105">
        <f t="shared" ca="1" si="1"/>
        <v>0</v>
      </c>
      <c r="R28" s="111">
        <f ca="1">IF(Q28=0,0,LOOKUP(P28,'Emission Factors'!$A$5:$A$16,'Emission Factors'!$D$5:$D$16))</f>
        <v>0</v>
      </c>
      <c r="S28" s="105">
        <f t="shared" ca="1" si="2"/>
        <v>0</v>
      </c>
      <c r="T28" s="105" t="str">
        <f ca="1">IF(Q28=0,"",IF($I$10&gt;0,$I$10,IF(COUNTIF($F$24:$F$169,"no")&gt;0,"",S28*(1-0.95))))</f>
        <v/>
      </c>
      <c r="U28" s="105">
        <f ca="1">IF($J$10&gt;0,"",IF($D$9&gt;0,$D$9*R28*((100-$W$30)/100)/2000,IF($D$10&gt;0,$D$10*365*R28*((100-$W$30)/100)/2000,IF($D$11&gt;0,$D$11*365*R28*((100-$W$30)/100)*Q28/2000,IF(T28="",S28*8760/2000,T28*8760/2000)))))</f>
        <v>0</v>
      </c>
      <c r="V28" s="113">
        <f ca="1">(R28*N181)</f>
        <v>0</v>
      </c>
    </row>
    <row r="29" spans="1:23" ht="14.25" customHeight="1" x14ac:dyDescent="0.25">
      <c r="A29" s="138" t="s">
        <v>196</v>
      </c>
      <c r="B29" s="45" t="str">
        <f>IF(COUNTIF(J21:J30,"Cement Supplement Delivery to Silo")&gt;0,"EP-3 Cement Supplement Silo Stack:","")</f>
        <v/>
      </c>
      <c r="C29" s="221"/>
      <c r="D29" s="221"/>
      <c r="E29" s="221"/>
      <c r="F29" s="221"/>
      <c r="G29" s="45"/>
      <c r="H29" s="126" t="str">
        <f t="shared" si="4"/>
        <v/>
      </c>
      <c r="I29" s="126" t="str">
        <f t="shared" si="0"/>
        <v/>
      </c>
      <c r="J29" s="82"/>
      <c r="K29" s="61"/>
      <c r="L29" s="156"/>
      <c r="M29" s="219" t="str">
        <f t="shared" si="5"/>
        <v/>
      </c>
      <c r="N29" s="219" t="str">
        <f t="shared" si="6"/>
        <v/>
      </c>
      <c r="P29" s="90" t="s">
        <v>198</v>
      </c>
      <c r="Q29" s="105">
        <f t="shared" ca="1" si="1"/>
        <v>0</v>
      </c>
      <c r="R29" s="111">
        <f ca="1">IF(Q29=0,0,LOOKUP(P29,'Emission Factors'!$A$5:$A$16,'Emission Factors'!$D$5:$D$16))</f>
        <v>0</v>
      </c>
      <c r="S29" s="105">
        <f t="shared" ca="1" si="2"/>
        <v>0</v>
      </c>
      <c r="T29" s="105" t="str">
        <f ca="1">IF(Q29=0,"",IF($I$10&gt;0,$I$10,IF(COUNTIF($F$24:$F$169,"no")&gt;0,"",S29*(1-0.95))))</f>
        <v/>
      </c>
      <c r="U29" s="105">
        <f ca="1">IF($J$10&gt;0,"",IF($D$9&gt;0,$D$9*R29*((100-$W$30)/100)/2000,IF($D$10&gt;0,$D$10*365*R29*((100-$W$30)/100)/2000,IF($D$11&gt;0,$D$11*365*R29*((100-$W$30)/100)*Q29/2000,IF(T29="",S29*8760/2000,T29*8760/2000)))))</f>
        <v>0</v>
      </c>
      <c r="V29" s="113">
        <f ca="1">(R29*M181)</f>
        <v>0</v>
      </c>
    </row>
    <row r="30" spans="1:23" ht="14.25" customHeight="1" x14ac:dyDescent="0.25">
      <c r="A30" s="138" t="s">
        <v>203</v>
      </c>
      <c r="B30" s="45" t="str">
        <f>IF(COUNTIF(J21:J30,"Weigh Hopper Loading")&gt;0,"EP-4 Weigh Hopper Loading Stack:","")</f>
        <v/>
      </c>
      <c r="C30" s="221"/>
      <c r="D30" s="221"/>
      <c r="E30" s="221"/>
      <c r="F30" s="221"/>
      <c r="H30" s="126" t="str">
        <f t="shared" si="4"/>
        <v/>
      </c>
      <c r="I30" s="126" t="str">
        <f t="shared" si="0"/>
        <v/>
      </c>
      <c r="J30" s="82"/>
      <c r="K30" s="61"/>
      <c r="L30" s="156"/>
      <c r="M30" s="219" t="str">
        <f t="shared" si="5"/>
        <v/>
      </c>
      <c r="N30" s="219" t="str">
        <f t="shared" si="6"/>
        <v/>
      </c>
      <c r="P30" s="90" t="s">
        <v>199</v>
      </c>
      <c r="Q30" s="105">
        <f t="shared" ca="1" si="1"/>
        <v>0</v>
      </c>
      <c r="R30" s="111">
        <f ca="1">IF(Q30=0,0,LOOKUP(P30,'Emission Factors'!$A$5:$A$16,'Emission Factors'!$D$5:$D$16))</f>
        <v>0</v>
      </c>
      <c r="S30" s="148"/>
      <c r="T30" s="105">
        <f ca="1">IF(Q30=0,0,IF($I$10&gt;0,$I$10,Q30*R30))</f>
        <v>0</v>
      </c>
      <c r="U30" s="105">
        <f ca="1">IF($J$10&gt;0,"",IF($D$9&gt;0,$D$9*R30/2000,IF($D$10&gt;0,$D$10*365*R30/2000,IF($D$11&gt;0,$D$11*365*R30*Q30/2000,IF($I$10&gt;0,0,T30*8760/2000)))))</f>
        <v>0</v>
      </c>
      <c r="V30" s="113">
        <f ca="1">(R13*R30/2000)</f>
        <v>0</v>
      </c>
      <c r="W30" s="67">
        <f>IF(COUNTIF($F$24:$F$169,"no")&gt;0,0,95)</f>
        <v>95</v>
      </c>
    </row>
    <row r="31" spans="1:23" ht="14.25" customHeight="1" x14ac:dyDescent="0.25">
      <c r="A31" s="138" t="s">
        <v>197</v>
      </c>
      <c r="B31" s="45" t="str">
        <f>IF(COUNTIF(J21:J30,"Truck Mix Loading")&gt;0,"EP-5 Truck Mix Loading Stack:","")</f>
        <v/>
      </c>
      <c r="C31" s="221"/>
      <c r="D31" s="221"/>
      <c r="E31" s="221"/>
      <c r="F31" s="221"/>
      <c r="G31" s="76"/>
      <c r="H31" s="45"/>
      <c r="I31" s="45"/>
      <c r="P31" s="90" t="s">
        <v>200</v>
      </c>
      <c r="Q31" s="105">
        <f t="shared" ca="1" si="1"/>
        <v>0</v>
      </c>
      <c r="R31" s="111">
        <f ca="1">IF(Q31=0,0,LOOKUP(P31,'Emission Factors'!$A$5:$A$16,'Emission Factors'!$D$5:$D$16))</f>
        <v>0</v>
      </c>
      <c r="S31" s="148"/>
      <c r="T31" s="105">
        <f ca="1">IF(Q31=0,0,IF($I$10&gt;0,$I$10,Q31*R31))</f>
        <v>0</v>
      </c>
      <c r="U31" s="105">
        <f ca="1">IF($J$10&gt;0,"",IF($D$9&gt;0,$D$9*R31/2000,IF($D$10&gt;0,$D$10*365*R31/2000,IF($D$11&gt;0,$D$11*365*R31*Q31/2000,IF($I$10&gt;0,0,T31*8760/2000)))))</f>
        <v>0</v>
      </c>
      <c r="V31" s="113">
        <f ca="1">(R14*R31/2000)</f>
        <v>0</v>
      </c>
    </row>
    <row r="32" spans="1:23" ht="14.25" customHeight="1" x14ac:dyDescent="0.25">
      <c r="A32" s="138" t="s">
        <v>198</v>
      </c>
      <c r="B32" s="45" t="str">
        <f>IF(COUNTIF(J21:J30,"Central Mix Loading")&gt;0,"EP-6 Central Mix Loading Stack:","")</f>
        <v/>
      </c>
      <c r="C32" s="221"/>
      <c r="D32" s="221"/>
      <c r="E32" s="221"/>
      <c r="F32" s="221"/>
      <c r="H32" s="74" t="s">
        <v>85</v>
      </c>
      <c r="I32" s="74"/>
      <c r="J32" s="75"/>
    </row>
    <row r="33" spans="1:23" ht="14.25" customHeight="1" x14ac:dyDescent="0.25">
      <c r="A33" s="138" t="s">
        <v>199</v>
      </c>
      <c r="B33" s="73"/>
      <c r="C33" s="163"/>
      <c r="D33" s="163"/>
      <c r="E33" s="163"/>
      <c r="F33" s="176"/>
      <c r="I33" s="77" t="s">
        <v>61</v>
      </c>
      <c r="J33" s="43" t="s">
        <v>86</v>
      </c>
      <c r="K33" s="142" t="s">
        <v>87</v>
      </c>
      <c r="L33" s="43" t="s">
        <v>88</v>
      </c>
      <c r="M33" s="146"/>
      <c r="N33" s="146"/>
    </row>
    <row r="34" spans="1:23" ht="14.25" customHeight="1" x14ac:dyDescent="0.25">
      <c r="A34" s="138" t="s">
        <v>200</v>
      </c>
      <c r="B34" s="73"/>
      <c r="C34" s="163"/>
      <c r="D34" s="163"/>
      <c r="E34" s="163"/>
      <c r="F34" s="176"/>
      <c r="I34" s="63"/>
      <c r="J34" s="144"/>
      <c r="K34" s="64"/>
      <c r="L34" s="144"/>
      <c r="M34" s="146"/>
      <c r="N34" s="146"/>
      <c r="P34" s="89" t="s">
        <v>17</v>
      </c>
      <c r="Q34" s="107"/>
      <c r="R34" s="112"/>
      <c r="S34" s="108"/>
      <c r="T34" s="108"/>
      <c r="U34" s="108"/>
      <c r="V34" s="114"/>
    </row>
    <row r="35" spans="1:23" ht="14.25" customHeight="1" x14ac:dyDescent="0.2">
      <c r="B35" s="73"/>
      <c r="C35" s="163"/>
      <c r="D35" s="163"/>
      <c r="E35" s="163"/>
      <c r="F35" s="176"/>
      <c r="P35" s="90" t="s">
        <v>191</v>
      </c>
      <c r="Q35" s="105">
        <f t="shared" ref="Q35:Q45" ca="1" si="9">Q4</f>
        <v>0</v>
      </c>
      <c r="R35" s="111">
        <f ca="1">IF(Q35=0,0,LOOKUP(P35,'Emission Factors'!$A$5:$A$16,'Emission Factors'!$H$5:$H$16))</f>
        <v>0</v>
      </c>
      <c r="S35" s="105">
        <f t="shared" ref="S35:S37" ca="1" si="10">Q35*R35</f>
        <v>0</v>
      </c>
      <c r="T35" s="105" t="str">
        <f ca="1">IF(Q35=0,"",IF($I$11&gt;0,$I$11,""))</f>
        <v/>
      </c>
      <c r="U35" s="105">
        <f ca="1">IF($J$11&gt;0,$J$11,IF($D$9&gt;0,$D$9*R35/2000,IF($D$10&gt;0,$D$10*365*R35/2000,IF($D$11&gt;0,$D$11*365*R35*Q35/2000,IF(T35="",S35*8760/2000,T35*8760/2000)))))</f>
        <v>0</v>
      </c>
      <c r="V35" s="113">
        <f t="shared" ref="V35:V41" ca="1" si="11">(R4*R35/2000)</f>
        <v>0</v>
      </c>
    </row>
    <row r="36" spans="1:23" ht="14.25" customHeight="1" x14ac:dyDescent="0.2">
      <c r="B36" s="45"/>
      <c r="F36" s="177"/>
      <c r="G36" s="45"/>
      <c r="P36" s="90" t="s">
        <v>192</v>
      </c>
      <c r="Q36" s="105">
        <f t="shared" ca="1" si="9"/>
        <v>0</v>
      </c>
      <c r="R36" s="111">
        <f ca="1">IF(Q36=0,0,LOOKUP(P36,'Emission Factors'!$A$5:$A$16,'Emission Factors'!$H$5:$H$16))</f>
        <v>0</v>
      </c>
      <c r="S36" s="109">
        <f t="shared" ca="1" si="10"/>
        <v>0</v>
      </c>
      <c r="T36" s="105" t="str">
        <f t="shared" ref="T36:T37" ca="1" si="12">IF(Q36=0,"",IF($I$11&gt;0,$I$11,""))</f>
        <v/>
      </c>
      <c r="U36" s="105">
        <f t="shared" ref="U36:U37" ca="1" si="13">IF($J$11&gt;0,"",IF($D$9&gt;0,$D$9*R36/2000,IF($D$10&gt;0,$D$10*365*R36/2000,IF($D$11&gt;0,$D$11*365*R36*Q36/2000,IF(T36="",S36*8760/2000,T36*8760/2000)))))</f>
        <v>0</v>
      </c>
      <c r="V36" s="113">
        <f t="shared" ca="1" si="11"/>
        <v>0</v>
      </c>
    </row>
    <row r="37" spans="1:23" ht="27.75" customHeight="1" x14ac:dyDescent="0.25">
      <c r="B37" s="78" t="str">
        <f>IF('Concrete Plant (CP-8)'!$D$4&gt;1,"Batch Plant","")</f>
        <v/>
      </c>
      <c r="C37" s="71" t="str">
        <f>IF('Concrete Plant (CP-8)'!$D$4&gt;1,"Site 2","")</f>
        <v/>
      </c>
      <c r="D37" s="71"/>
      <c r="E37" s="71"/>
      <c r="F37" s="71"/>
      <c r="G37" s="45"/>
      <c r="H37" s="310" t="str">
        <f>IF('Concrete Plant (CP-8)'!$D$4&gt;1,"Emission Point #","")</f>
        <v/>
      </c>
      <c r="I37" s="310" t="str">
        <f>IF('Concrete Plant (CP-8)'!$D$4&gt;1,"Emission     Unit #","")</f>
        <v/>
      </c>
      <c r="J37" s="310" t="str">
        <f>IF('Concrete Plant (CP-8)'!$D$4&gt;1,"Processes","")</f>
        <v/>
      </c>
      <c r="K37" s="311" t="str">
        <f>IF('Concrete Plant (CP-8)'!$D$4&gt;1,"Combined Maximum Hourly Design Rate for all Like Processes (cubic yard/hr)","")</f>
        <v/>
      </c>
      <c r="L37" s="310" t="str">
        <f>IF('Concrete Plant (CP-8)'!$D$4&gt;1,('Facility Information'!G5&amp;" Annual Throughput (cubic yards)"),"")</f>
        <v/>
      </c>
      <c r="M37" s="217"/>
      <c r="N37" s="217"/>
      <c r="P37" s="90" t="s">
        <v>193</v>
      </c>
      <c r="Q37" s="105">
        <f t="shared" ca="1" si="9"/>
        <v>0</v>
      </c>
      <c r="R37" s="111">
        <f ca="1">IF(Q37=0,0,LOOKUP(P37,'Emission Factors'!$A$5:$A$16,'Emission Factors'!$H$5:$H$16))</f>
        <v>0</v>
      </c>
      <c r="S37" s="105">
        <f t="shared" ca="1" si="10"/>
        <v>0</v>
      </c>
      <c r="T37" s="105" t="str">
        <f t="shared" ca="1" si="12"/>
        <v/>
      </c>
      <c r="U37" s="105">
        <f t="shared" ca="1" si="13"/>
        <v>0</v>
      </c>
      <c r="V37" s="113">
        <f t="shared" ca="1" si="11"/>
        <v>0</v>
      </c>
    </row>
    <row r="38" spans="1:23" ht="14.25" customHeight="1" x14ac:dyDescent="0.2">
      <c r="B38" s="79" t="str">
        <f>IF('Concrete Plant (CP-8)'!$D$4&gt;1,"Site Name:","")</f>
        <v/>
      </c>
      <c r="C38" s="349"/>
      <c r="D38" s="356"/>
      <c r="E38" s="357"/>
      <c r="F38" s="175"/>
      <c r="G38" s="45"/>
      <c r="H38" s="127" t="str">
        <f>IF(J38="cement delivery to silo","CP-1 EP-2",IF(J38="cement supplement delivery to silo","CP-1 EP-3",IF(J38="weigh hopper loading","CP-1 EP-4",IF(J38="truck mix loading","CP-1 EP-5",IF(J38="central mix loading","CP-1 EP-6",IF(J38="","","CP-1 EP-1"))))))</f>
        <v/>
      </c>
      <c r="I38" s="127" t="str">
        <f t="shared" ref="I38:I47" si="14">IF(J38="","",IF(J38="aggregate delivery to ground storage","CP-8 EU-1",IF(J38="sand delivery to ground storage","CP-8 EU-2",IF(J38="aggregate transfer to conveyor","CP-8 EU-3",IF(J38="sand transfer to conveyor","CP-8 EU-4",IF(J38="aggregate transfer to elevated storage","CP-8 EU-5",IF(J38="sand transfer to elevated storage","CP-8 EU-6",IF(J38="weigh hopper loading","CP-8 EU-7",IF(J38="central mix loading","CP-8 EU-8",IF(J38="truck mix loading","CP-8 EU-9",IF(J38="cement delivery to silo","CP-8 EU-10",IF(J38="cement supplement delivery to silo","CP-8 EU-11"))))))))))))</f>
        <v/>
      </c>
      <c r="J38" s="82"/>
      <c r="K38" s="61"/>
      <c r="L38" s="156"/>
      <c r="M38" s="219" t="str">
        <f>IF(J38="truck mix loading",IF($F$41="yes",L38*0.05/2000,L38/2000),"")</f>
        <v/>
      </c>
      <c r="N38" s="219" t="str">
        <f>IF(J38="central mix loading",IF($F$41="yes",L38*0.05/2000,L38/2000),"")</f>
        <v/>
      </c>
      <c r="P38" s="90" t="s">
        <v>194</v>
      </c>
      <c r="Q38" s="105">
        <f t="shared" ca="1" si="9"/>
        <v>0</v>
      </c>
      <c r="R38" s="111">
        <f ca="1">IF(Q38=0,0,LOOKUP(P38,'Emission Factors'!$A$5:$A$16,'Emission Factors'!$H$5:$H$16))</f>
        <v>0</v>
      </c>
      <c r="S38" s="105">
        <f t="shared" ref="S38:S43" ca="1" si="15">Q38*R38</f>
        <v>0</v>
      </c>
      <c r="T38" s="105" t="str">
        <f ca="1">IF(Q38=0,"",IF($I$11&gt;0,$I$11,""))</f>
        <v/>
      </c>
      <c r="U38" s="105">
        <f ca="1">IF($J$11&gt;0,"",IF($D$9&gt;0,$D$9*R38/2000,IF($D$10&gt;0,$D$10*365*R38/2000,IF($D$11&gt;0,$D$11*365*R38*Q38/2000,IF(T38="",S38*8760/2000,T38*8760/2000)))))</f>
        <v>0</v>
      </c>
      <c r="V38" s="113">
        <f t="shared" ca="1" si="11"/>
        <v>0</v>
      </c>
    </row>
    <row r="39" spans="1:23" ht="14.25" customHeight="1" x14ac:dyDescent="0.2">
      <c r="B39" s="79" t="str">
        <f>IF('Concrete Plant (CP-8)'!$D$4&gt;1,"County:","")</f>
        <v/>
      </c>
      <c r="C39" s="339"/>
      <c r="D39" s="342"/>
      <c r="E39" s="343"/>
      <c r="F39" s="175"/>
      <c r="G39" s="45"/>
      <c r="H39" s="127" t="str">
        <f t="shared" ref="H39:H47" si="16">IF(J39="cement delivery to silo","CP-1 EP-2",IF(J39="cement supplement delivery to silo","CP-1 EP-3",IF(J39="weigh hopper loading","CP-1 EP-4",IF(J39="truck mix loading","CP-1 EP-5",IF(J39="central mix loading","CP-1 EP-6",IF(J39="","","CP-1 EP-1"))))))</f>
        <v/>
      </c>
      <c r="I39" s="127" t="str">
        <f t="shared" si="14"/>
        <v/>
      </c>
      <c r="J39" s="82"/>
      <c r="K39" s="61"/>
      <c r="L39" s="156"/>
      <c r="M39" s="219" t="str">
        <f t="shared" ref="M39:M47" si="17">IF(J39="truck mix loading",IF($F$41="yes",L39*0.05/2000,L39/2000),"")</f>
        <v/>
      </c>
      <c r="N39" s="219" t="str">
        <f t="shared" ref="N39:N47" si="18">IF(J39="central mix loading",IF($F$41="yes",L39*0.05/2000,L39/2000),"")</f>
        <v/>
      </c>
      <c r="P39" s="90" t="s">
        <v>195</v>
      </c>
      <c r="Q39" s="105">
        <f t="shared" ca="1" si="9"/>
        <v>0</v>
      </c>
      <c r="R39" s="111">
        <f ca="1">IF(Q39=0,0,LOOKUP(P39,'Emission Factors'!$A$5:$A$16,'Emission Factors'!$H$5:$H$16))</f>
        <v>0</v>
      </c>
      <c r="S39" s="105">
        <f t="shared" ca="1" si="15"/>
        <v>0</v>
      </c>
      <c r="T39" s="105" t="str">
        <f ca="1">IF(Q39=0,"",IF($I$11&gt;0,$I$11,""))</f>
        <v/>
      </c>
      <c r="U39" s="105">
        <f ca="1">IF($J$11&gt;0,"",IF($D$9&gt;0,$D$9*R39/2000,IF($D$10&gt;0,$D$10*365*R39/2000,IF($D$11&gt;0,$D$11*365*R39*Q39/2000,IF(T39="",S39*8760/2000,T39*8760/2000)))))</f>
        <v>0</v>
      </c>
      <c r="V39" s="113">
        <f t="shared" ca="1" si="11"/>
        <v>0</v>
      </c>
    </row>
    <row r="40" spans="1:23" ht="14.25" customHeight="1" x14ac:dyDescent="0.2">
      <c r="B40" s="79" t="str">
        <f>IF('Concrete Plant (CP-8)'!$D$4&gt;1,"Batching Period (Dates):","")</f>
        <v/>
      </c>
      <c r="C40" s="352"/>
      <c r="D40" s="358"/>
      <c r="E40" s="359"/>
      <c r="F40" s="175"/>
      <c r="G40" s="45"/>
      <c r="H40" s="127" t="str">
        <f t="shared" si="16"/>
        <v/>
      </c>
      <c r="I40" s="127" t="str">
        <f t="shared" si="14"/>
        <v/>
      </c>
      <c r="J40" s="82"/>
      <c r="K40" s="61"/>
      <c r="L40" s="156"/>
      <c r="M40" s="219" t="str">
        <f t="shared" si="17"/>
        <v/>
      </c>
      <c r="N40" s="219" t="str">
        <f t="shared" si="18"/>
        <v/>
      </c>
      <c r="P40" s="90" t="s">
        <v>196</v>
      </c>
      <c r="Q40" s="105">
        <f t="shared" ca="1" si="9"/>
        <v>0</v>
      </c>
      <c r="R40" s="111">
        <f ca="1">IF(Q40=0,0,LOOKUP(P40,'Emission Factors'!$A$5:$A$16,'Emission Factors'!$H$5:$H$16))</f>
        <v>0</v>
      </c>
      <c r="S40" s="105">
        <f t="shared" ca="1" si="15"/>
        <v>0</v>
      </c>
      <c r="T40" s="105" t="str">
        <f ca="1">IF(Q40=0,"",IF($I$11&gt;0,$I$11,""))</f>
        <v/>
      </c>
      <c r="U40" s="105">
        <f ca="1">IF($J$11&gt;0,"",IF($D$9&gt;0,$D$9*R40/2000,IF($D$10&gt;0,$D$10*365*R40/2000,IF($D$11&gt;0,$D$11*365*R40*Q40/2000,IF(T40="",S40*8760/2000,T40*8760/2000)))))</f>
        <v>0</v>
      </c>
      <c r="V40" s="113">
        <f t="shared" ca="1" si="11"/>
        <v>0</v>
      </c>
    </row>
    <row r="41" spans="1:23" ht="14.25" customHeight="1" x14ac:dyDescent="0.2">
      <c r="B41" s="51" t="str">
        <f>IF(OR(COUNTIF(J38:J47,"Truck Mix Loading")&gt;0,(COUNTIF(J38:J47,"Central Mix Loading")&gt;0)),"Is the Central/Truck Mix Loading process controlled by a baghouse?","")</f>
        <v/>
      </c>
      <c r="C41" s="51"/>
      <c r="D41" s="51"/>
      <c r="E41" s="51"/>
      <c r="F41" s="221"/>
      <c r="G41" s="45"/>
      <c r="H41" s="127" t="str">
        <f t="shared" si="16"/>
        <v/>
      </c>
      <c r="I41" s="127" t="str">
        <f t="shared" si="14"/>
        <v/>
      </c>
      <c r="J41" s="82"/>
      <c r="K41" s="61"/>
      <c r="L41" s="156"/>
      <c r="M41" s="219" t="str">
        <f t="shared" si="17"/>
        <v/>
      </c>
      <c r="N41" s="219" t="str">
        <f t="shared" si="18"/>
        <v/>
      </c>
      <c r="P41" s="90" t="s">
        <v>203</v>
      </c>
      <c r="Q41" s="105">
        <f t="shared" ca="1" si="9"/>
        <v>0</v>
      </c>
      <c r="R41" s="111">
        <f ca="1">IF(Q41=0,0,LOOKUP(P41,'Emission Factors'!$A$5:$A$16,'Emission Factors'!$H$5:$H$16))</f>
        <v>0</v>
      </c>
      <c r="S41" s="105">
        <f t="shared" ca="1" si="15"/>
        <v>0</v>
      </c>
      <c r="T41" s="105" t="str">
        <f ca="1">IF(Q41=0,"",IF($I$11&gt;0,$I$11,""))</f>
        <v/>
      </c>
      <c r="U41" s="105">
        <f ca="1">IF($J$11&gt;0,"",IF($D$9&gt;0,$D$9*R41/2000,IF($D$10&gt;0,$D$10*365*R41/2000,IF($D$11&gt;0,$D$11*365*R41*Q41/2000,IF(T41="",S41*8760/2000,T41*8760/2000)))))</f>
        <v>0</v>
      </c>
      <c r="V41" s="113">
        <f t="shared" ca="1" si="11"/>
        <v>0</v>
      </c>
      <c r="W41" s="67">
        <f>IF(COUNTIF($F$24:$F$169,"no")&gt;0,0,95)</f>
        <v>95</v>
      </c>
    </row>
    <row r="42" spans="1:23" ht="14.25" customHeight="1" x14ac:dyDescent="0.2">
      <c r="F42" s="177"/>
      <c r="G42" s="45"/>
      <c r="H42" s="127" t="str">
        <f t="shared" si="16"/>
        <v/>
      </c>
      <c r="I42" s="127" t="str">
        <f t="shared" si="14"/>
        <v/>
      </c>
      <c r="J42" s="82"/>
      <c r="K42" s="61"/>
      <c r="L42" s="156"/>
      <c r="M42" s="219" t="str">
        <f t="shared" si="17"/>
        <v/>
      </c>
      <c r="N42" s="219" t="str">
        <f t="shared" si="18"/>
        <v/>
      </c>
      <c r="P42" s="90" t="s">
        <v>197</v>
      </c>
      <c r="Q42" s="105">
        <f t="shared" ca="1" si="9"/>
        <v>0</v>
      </c>
      <c r="R42" s="111">
        <f ca="1">IF(Q42=0,0,LOOKUP(P42,'Emission Factors'!$A$5:$A$16,'Emission Factors'!$H$5:$H$16))</f>
        <v>0</v>
      </c>
      <c r="S42" s="105">
        <f t="shared" ca="1" si="15"/>
        <v>0</v>
      </c>
      <c r="T42" s="105" t="str">
        <f ca="1">IF(Q42=0,"",IF($I$11&gt;0,$I$11,IF(COUNTIF($F$24:$F$169,"no")&gt;0,"",S42*(1-0.95))))</f>
        <v/>
      </c>
      <c r="U42" s="105">
        <f ca="1">IF($J$11&gt;0,"",IF($D$9&gt;0,$D$9*R42*((100-$W$30)/100)/2000,IF($D$10&gt;0,$D$10*365*R42*((100-$W$30)/100)/2000,IF($D$11&gt;0,$D$11*365*R42*((100-$W$30)/100)*Q42/2000,IF(T42="",S42*8760/2000,T42*8760/2000)))))</f>
        <v>0</v>
      </c>
      <c r="V42" s="113">
        <f ca="1">(N181*R42)</f>
        <v>0</v>
      </c>
    </row>
    <row r="43" spans="1:23" ht="28.5" customHeight="1" x14ac:dyDescent="0.2">
      <c r="B43" s="312" t="str">
        <f>IF(AND(B45="",B46="",B47="",B48="",B49=""),"","Process (complete stack information if applicable):")</f>
        <v/>
      </c>
      <c r="C43" s="312" t="str">
        <f>IF(AND(B45="",B46="",B47="",B48="",B49=""),"","Stack Height (ft):")</f>
        <v/>
      </c>
      <c r="D43" s="312" t="str">
        <f>IF(AND(B45="",B46="",B47="",B48="",B49=""),"","Stack Diameter (inches):")</f>
        <v/>
      </c>
      <c r="E43" s="312" t="str">
        <f>IF(AND(B45="",B46="",B47="",B48="",B49=""),"","Flow Rate (acfm):")</f>
        <v/>
      </c>
      <c r="F43" s="312" t="str">
        <f>IF(AND(B45="",B46="",B47="",B48="",B49=""),"","Temp (Deg F):")</f>
        <v/>
      </c>
      <c r="G43" s="45"/>
      <c r="H43" s="127" t="str">
        <f t="shared" si="16"/>
        <v/>
      </c>
      <c r="I43" s="127" t="str">
        <f t="shared" si="14"/>
        <v/>
      </c>
      <c r="J43" s="82"/>
      <c r="K43" s="61"/>
      <c r="L43" s="156"/>
      <c r="M43" s="219" t="str">
        <f t="shared" si="17"/>
        <v/>
      </c>
      <c r="N43" s="219" t="str">
        <f t="shared" si="18"/>
        <v/>
      </c>
      <c r="P43" s="90" t="s">
        <v>198</v>
      </c>
      <c r="Q43" s="105">
        <f t="shared" ca="1" si="9"/>
        <v>0</v>
      </c>
      <c r="R43" s="111">
        <f ca="1">IF(Q43=0,0,LOOKUP(P43,'Emission Factors'!$A$5:$A$16,'Emission Factors'!$H$5:$H$16))</f>
        <v>0</v>
      </c>
      <c r="S43" s="105">
        <f t="shared" ca="1" si="15"/>
        <v>0</v>
      </c>
      <c r="T43" s="105" t="str">
        <f ca="1">IF(Q43=0,"",IF($I$11&gt;0,$I$11,IF(COUNTIF($F$24:$F$169,"no")&gt;0,"",S43*(1-0.95))))</f>
        <v/>
      </c>
      <c r="U43" s="105">
        <f ca="1">IF($J$11&gt;0,"",IF($D$9&gt;0,$D$9*R43*((100-$W$30)/100)/2000,IF($D$10&gt;0,$D$10*365*R43*((100-$W$30)/100)/2000,IF($D$11&gt;0,$D$11*365*R43*((100-$W$30)/100)*Q43/2000,IF(T43="",S43*8760/2000,T43*8760/2000)))))</f>
        <v>0</v>
      </c>
      <c r="V43" s="113">
        <f ca="1">(M181*R43)</f>
        <v>0</v>
      </c>
    </row>
    <row r="44" spans="1:23" ht="14.25" customHeight="1" x14ac:dyDescent="0.2">
      <c r="B44" s="312"/>
      <c r="C44" s="312"/>
      <c r="D44" s="312"/>
      <c r="E44" s="312"/>
      <c r="F44" s="312"/>
      <c r="G44" s="45"/>
      <c r="H44" s="127" t="str">
        <f t="shared" si="16"/>
        <v/>
      </c>
      <c r="I44" s="127" t="str">
        <f t="shared" si="14"/>
        <v/>
      </c>
      <c r="J44" s="82"/>
      <c r="K44" s="61"/>
      <c r="L44" s="156"/>
      <c r="M44" s="219" t="str">
        <f t="shared" si="17"/>
        <v/>
      </c>
      <c r="N44" s="219" t="str">
        <f t="shared" si="18"/>
        <v/>
      </c>
      <c r="P44" s="90" t="s">
        <v>199</v>
      </c>
      <c r="Q44" s="105">
        <f t="shared" ca="1" si="9"/>
        <v>0</v>
      </c>
      <c r="R44" s="111">
        <f ca="1">IF(Q44=0,0,LOOKUP(P44,'Emission Factors'!$A$5:$A$16,'Emission Factors'!$H$5:$H$16))</f>
        <v>0</v>
      </c>
      <c r="S44" s="148"/>
      <c r="T44" s="105">
        <f ca="1">IF(Q44=0,0,IF($I$10&gt;0,$I$10,Q44*R44))</f>
        <v>0</v>
      </c>
      <c r="U44" s="105">
        <f ca="1">IF($J$11&gt;0,"",IF($D$9&gt;0,$D$9*R44/2000,IF($D$10&gt;0,$D$10*365*R44/2000,IF($D$11&gt;0,$D$11*365*R44*Q44/2000,IF($I$11&gt;0,0,T44*8760/2000)))))</f>
        <v>0</v>
      </c>
      <c r="V44" s="113">
        <f ca="1">(R13*R44/2000)</f>
        <v>0</v>
      </c>
    </row>
    <row r="45" spans="1:23" ht="14.25" customHeight="1" x14ac:dyDescent="0.2">
      <c r="B45" s="45" t="str">
        <f>IF(COUNTIF(J38:J47,"Cement Delivery to Silo")&gt;0,"EP-2 Cement Silo Stack:","")</f>
        <v/>
      </c>
      <c r="C45" s="221"/>
      <c r="D45" s="221"/>
      <c r="E45" s="221"/>
      <c r="F45" s="221"/>
      <c r="H45" s="127" t="str">
        <f t="shared" si="16"/>
        <v/>
      </c>
      <c r="I45" s="127" t="str">
        <f t="shared" si="14"/>
        <v/>
      </c>
      <c r="J45" s="82"/>
      <c r="K45" s="61"/>
      <c r="L45" s="156"/>
      <c r="M45" s="219" t="str">
        <f t="shared" si="17"/>
        <v/>
      </c>
      <c r="N45" s="219" t="str">
        <f t="shared" si="18"/>
        <v/>
      </c>
      <c r="P45" s="90" t="s">
        <v>200</v>
      </c>
      <c r="Q45" s="105">
        <f t="shared" ca="1" si="9"/>
        <v>0</v>
      </c>
      <c r="R45" s="111">
        <f ca="1">IF(Q45=0,0,LOOKUP(P45,'Emission Factors'!$A$5:$A$16,'Emission Factors'!$H$5:$H$16))</f>
        <v>0</v>
      </c>
      <c r="S45" s="148"/>
      <c r="T45" s="105">
        <f ca="1">IF(Q45=0,0,IF($I$10&gt;0,$I$10,Q45*R45))</f>
        <v>0</v>
      </c>
      <c r="U45" s="105">
        <f ca="1">IF($J$11&gt;0,"",IF($D$9&gt;0,$D$9*R45/2000,IF($D$10&gt;0,$D$10*365*R45/2000,IF($D$11&gt;0,$D$11*365*R45*Q45/2000,IF($I$11&gt;0,0,T45*8760/2000)))))</f>
        <v>0</v>
      </c>
      <c r="V45" s="113">
        <f ca="1">(R14*R45/2000)</f>
        <v>0</v>
      </c>
    </row>
    <row r="46" spans="1:23" ht="14.25" customHeight="1" x14ac:dyDescent="0.2">
      <c r="B46" s="45" t="str">
        <f>IF(COUNTIF(J38:J47,"Cement Supplement Delivery to Silo")&gt;0,"EP-3 Cement Supplement Silo Stack:","")</f>
        <v/>
      </c>
      <c r="C46" s="221"/>
      <c r="D46" s="221"/>
      <c r="E46" s="221"/>
      <c r="F46" s="221"/>
      <c r="G46" s="76"/>
      <c r="H46" s="127" t="str">
        <f t="shared" si="16"/>
        <v/>
      </c>
      <c r="I46" s="127" t="str">
        <f t="shared" si="14"/>
        <v/>
      </c>
      <c r="J46" s="82"/>
      <c r="K46" s="61"/>
      <c r="L46" s="156"/>
      <c r="M46" s="219" t="str">
        <f t="shared" si="17"/>
        <v/>
      </c>
      <c r="N46" s="219" t="str">
        <f t="shared" si="18"/>
        <v/>
      </c>
      <c r="O46" s="76"/>
    </row>
    <row r="47" spans="1:23" ht="14.25" customHeight="1" x14ac:dyDescent="0.2">
      <c r="B47" s="45" t="str">
        <f>IF(COUNTIF(J38:J47,"Weigh Hopper Loading")&gt;0,"EP-4 Weigh Hopper Loading Stack:","")</f>
        <v/>
      </c>
      <c r="C47" s="221"/>
      <c r="D47" s="221"/>
      <c r="E47" s="221"/>
      <c r="F47" s="221"/>
      <c r="H47" s="127" t="str">
        <f t="shared" si="16"/>
        <v/>
      </c>
      <c r="I47" s="127" t="str">
        <f t="shared" si="14"/>
        <v/>
      </c>
      <c r="J47" s="82"/>
      <c r="K47" s="61"/>
      <c r="L47" s="156"/>
      <c r="M47" s="219" t="str">
        <f t="shared" si="17"/>
        <v/>
      </c>
      <c r="N47" s="219" t="str">
        <f t="shared" si="18"/>
        <v/>
      </c>
    </row>
    <row r="48" spans="1:23" ht="28.5" customHeight="1" x14ac:dyDescent="0.2">
      <c r="B48" s="45" t="str">
        <f>IF(COUNTIF(J38:J47,"Truck Mix Loading")&gt;0,"EP-5 Truck Mix Loading Stack:","")</f>
        <v/>
      </c>
      <c r="C48" s="221"/>
      <c r="D48" s="221"/>
      <c r="E48" s="221"/>
      <c r="F48" s="221"/>
      <c r="G48" s="146"/>
      <c r="H48" s="74" t="str">
        <f>IF('Concrete Plant (CP-8)'!$D$4&gt;1,"Stock Pile Area","")</f>
        <v/>
      </c>
      <c r="I48" s="74"/>
      <c r="J48" s="74"/>
      <c r="L48" s="76"/>
      <c r="P48" s="68" t="s">
        <v>40</v>
      </c>
      <c r="Q48" s="309" t="s">
        <v>151</v>
      </c>
      <c r="R48" s="309" t="s">
        <v>152</v>
      </c>
      <c r="S48" s="308" t="s">
        <v>147</v>
      </c>
      <c r="T48" s="308" t="s">
        <v>130</v>
      </c>
      <c r="U48" s="308" t="s">
        <v>14</v>
      </c>
      <c r="V48" s="308" t="s">
        <v>148</v>
      </c>
    </row>
    <row r="49" spans="2:22" ht="14.25" customHeight="1" x14ac:dyDescent="0.2">
      <c r="B49" s="45" t="str">
        <f>IF(COUNTIF(J38:J47,"Central Mix Loading")&gt;0,"EP-6 Central Mix Loading Stack:","")</f>
        <v/>
      </c>
      <c r="C49" s="221"/>
      <c r="D49" s="221"/>
      <c r="E49" s="221"/>
      <c r="F49" s="221"/>
      <c r="G49" s="71"/>
      <c r="I49" s="51" t="str">
        <f>IF('Concrete Plant (CP-8)'!$D$4&gt;1,"Emission Unit #","")</f>
        <v/>
      </c>
      <c r="J49" s="81" t="str">
        <f>IF('Concrete Plant (CP-8)'!$D$4&gt;1,"Maximum Storage Area (acres)","")</f>
        <v/>
      </c>
      <c r="K49" s="81" t="str">
        <f>IF('Concrete Plant (CP-8)'!$D$4&gt;1,"Actual Storage Area (acres)","")</f>
        <v/>
      </c>
      <c r="L49" s="81" t="str">
        <f>IF('Concrete Plant (CP-8)'!$D$4&gt;1,"Actual Days in Existence (days)","")</f>
        <v/>
      </c>
      <c r="M49" s="71"/>
      <c r="N49" s="71"/>
      <c r="P49" s="92" t="s">
        <v>153</v>
      </c>
      <c r="Q49" s="143">
        <f>Q17</f>
        <v>0</v>
      </c>
      <c r="R49" s="143">
        <v>3.64</v>
      </c>
      <c r="S49" s="143">
        <f>Q49*R49*(1/24)</f>
        <v>0</v>
      </c>
      <c r="T49" s="143"/>
      <c r="U49" s="143">
        <f>Q49*R49*365/2000</f>
        <v>0</v>
      </c>
      <c r="V49" s="143">
        <f>R17*R49/2000</f>
        <v>0</v>
      </c>
    </row>
    <row r="50" spans="2:22" ht="14.25" customHeight="1" x14ac:dyDescent="0.2">
      <c r="B50" s="73"/>
      <c r="C50" s="163"/>
      <c r="D50" s="163"/>
      <c r="E50" s="163"/>
      <c r="F50" s="176"/>
      <c r="I50" s="63"/>
      <c r="J50" s="144"/>
      <c r="K50" s="144"/>
      <c r="L50" s="144"/>
      <c r="M50" s="146"/>
      <c r="N50" s="146"/>
      <c r="Q50" s="68"/>
      <c r="R50" s="68"/>
      <c r="S50" s="68"/>
    </row>
    <row r="51" spans="2:22" ht="14.25" customHeight="1" x14ac:dyDescent="0.2">
      <c r="B51" s="73"/>
      <c r="C51" s="146"/>
      <c r="D51" s="146"/>
      <c r="E51" s="146"/>
      <c r="F51" s="146"/>
      <c r="G51" s="45"/>
      <c r="M51" s="146"/>
      <c r="N51" s="146"/>
      <c r="Q51" s="68"/>
      <c r="R51" s="68"/>
      <c r="S51" s="68"/>
    </row>
    <row r="52" spans="2:22" ht="29.25" customHeight="1" x14ac:dyDescent="0.25">
      <c r="B52" s="78" t="str">
        <f>IF('Concrete Plant (CP-8)'!$D$4&gt;2,"Batch Plant","")</f>
        <v/>
      </c>
      <c r="C52" s="71" t="str">
        <f>IF('Concrete Plant (CP-8)'!$D$4&gt;2,"Site 3","")</f>
        <v/>
      </c>
      <c r="D52" s="71"/>
      <c r="E52" s="71"/>
      <c r="F52" s="71"/>
      <c r="G52" s="45"/>
      <c r="H52" s="310" t="str">
        <f>IF('Concrete Plant (CP-8)'!$D$4&gt;2,"Emission Point #","")</f>
        <v/>
      </c>
      <c r="I52" s="310" t="str">
        <f>IF('Concrete Plant (CP-8)'!$D$4&gt;2,"Emission     Unit #","")</f>
        <v/>
      </c>
      <c r="J52" s="310" t="str">
        <f>IF('Concrete Plant (CP-8)'!$D$4&gt;2,"Processes","")</f>
        <v/>
      </c>
      <c r="K52" s="311" t="str">
        <f>IF('Concrete Plant (CP-8)'!$D$4&gt;2,"Combined Maximum Hourly Design Rate for all Like Processes (cubic yard/hr)","")</f>
        <v/>
      </c>
      <c r="L52" s="310" t="str">
        <f>IF('Concrete Plant (CP-8)'!$D$4&gt;2,('Facility Information'!G5&amp;" Annual Throughput (cubic yards)"),"")</f>
        <v/>
      </c>
      <c r="M52" s="217"/>
      <c r="N52" s="217"/>
    </row>
    <row r="53" spans="2:22" ht="14.25" customHeight="1" x14ac:dyDescent="0.2">
      <c r="B53" s="79" t="str">
        <f>IF('Concrete Plant (CP-8)'!$D$4&gt;2,"Site Name:","")</f>
        <v/>
      </c>
      <c r="C53" s="349"/>
      <c r="D53" s="356"/>
      <c r="E53" s="357"/>
      <c r="F53" s="175"/>
      <c r="G53" s="45"/>
      <c r="H53" s="127" t="str">
        <f>IF(J53="cement delivery to silo","CP-1 EP-2",IF(J53="cement supplement delivery to silo","CP-1 EP-3",IF(J53="weigh hopper loading","CP-1 EP-4",IF(J53="truck mix loading","CP-1 EP-5",IF(J53="central mix loading","CP-1 EP-6",IF(J53="","","CP-1 EP-1"))))))</f>
        <v/>
      </c>
      <c r="I53" s="127" t="str">
        <f t="shared" ref="I53:I62" si="19">IF(J53="","",IF(J53="aggregate delivery to ground storage","CP-8 EU-1",IF(J53="sand delivery to ground storage","CP-8 EU-2",IF(J53="aggregate transfer to conveyor","CP-8 EU-3",IF(J53="sand transfer to conveyor","CP-8 EU-4",IF(J53="aggregate transfer to elevated storage","CP-8 EU-5",IF(J53="sand transfer to elevated storage","CP-8 EU-6",IF(J53="weigh hopper loading","CP-8 EU-7",IF(J53="central mix loading","CP-8 EU-8",IF(J53="truck mix loading","CP-8 EU-9",IF(J53="cement delivery to silo","CP-8 EU-10",IF(J53="cement supplement delivery to silo","CP-8 EU-11"))))))))))))</f>
        <v/>
      </c>
      <c r="J53" s="82"/>
      <c r="K53" s="61"/>
      <c r="L53" s="156"/>
      <c r="M53" s="219" t="str">
        <f>IF(J53="truck mix loading",IF($F$56="yes",L53*0.05/2000,L53/2000),"")</f>
        <v/>
      </c>
      <c r="N53" s="219" t="str">
        <f>IF(J53="central mix loading",IF($F$56="yes",L53*0.05/2000,L53/2000),"")</f>
        <v/>
      </c>
      <c r="Q53" s="68"/>
      <c r="R53" s="68"/>
      <c r="S53" s="68"/>
    </row>
    <row r="54" spans="2:22" ht="14.25" customHeight="1" x14ac:dyDescent="0.2">
      <c r="B54" s="79" t="str">
        <f>IF('Concrete Plant (CP-8)'!$D$4&gt;2,"County:","")</f>
        <v/>
      </c>
      <c r="C54" s="339"/>
      <c r="D54" s="342"/>
      <c r="E54" s="343"/>
      <c r="F54" s="175"/>
      <c r="G54" s="45"/>
      <c r="H54" s="127" t="str">
        <f t="shared" ref="H54:H62" si="20">IF(J54="cement delivery to silo","CP-1 EP-2",IF(J54="cement supplement delivery to silo","CP-1 EP-3",IF(J54="weigh hopper loading","CP-1 EP-4",IF(J54="truck mix loading","CP-1 EP-5",IF(J54="central mix loading","CP-1 EP-6",IF(J54="","","CP-1 EP-1"))))))</f>
        <v/>
      </c>
      <c r="I54" s="127" t="str">
        <f t="shared" si="19"/>
        <v/>
      </c>
      <c r="J54" s="82"/>
      <c r="K54" s="61"/>
      <c r="L54" s="156"/>
      <c r="M54" s="219" t="str">
        <f t="shared" ref="M54:M62" si="21">IF(J54="truck mix loading",IF($F$56="yes",L54*0.05/2000,L54/2000),"")</f>
        <v/>
      </c>
      <c r="N54" s="219" t="str">
        <f t="shared" ref="N54:N62" si="22">IF(J54="central mix loading",IF($F$56="yes",L54*0.05/2000,L54/2000),"")</f>
        <v/>
      </c>
      <c r="Q54" s="68"/>
      <c r="R54" s="68"/>
      <c r="S54" s="68"/>
    </row>
    <row r="55" spans="2:22" ht="14.25" customHeight="1" x14ac:dyDescent="0.2">
      <c r="B55" s="79" t="str">
        <f>IF('Concrete Plant (CP-8)'!$D$4&gt;2,"Batching Period (Dates):","")</f>
        <v/>
      </c>
      <c r="C55" s="352"/>
      <c r="D55" s="358"/>
      <c r="E55" s="359"/>
      <c r="F55" s="175"/>
      <c r="G55" s="45"/>
      <c r="H55" s="127" t="str">
        <f t="shared" si="20"/>
        <v/>
      </c>
      <c r="I55" s="127" t="str">
        <f t="shared" si="19"/>
        <v/>
      </c>
      <c r="J55" s="82"/>
      <c r="K55" s="61"/>
      <c r="L55" s="156"/>
      <c r="M55" s="219" t="str">
        <f t="shared" si="21"/>
        <v/>
      </c>
      <c r="N55" s="219" t="str">
        <f t="shared" si="22"/>
        <v/>
      </c>
      <c r="Q55" s="68"/>
      <c r="R55" s="68"/>
      <c r="S55" s="68"/>
    </row>
    <row r="56" spans="2:22" ht="14.25" customHeight="1" x14ac:dyDescent="0.2">
      <c r="B56" s="51" t="str">
        <f>IF(OR(COUNTIF(J53:J62,"Truck Mix Loading")&gt;0,(COUNTIF(J53:J62,"Central Mix Loading")&gt;0)),"Is the Central/Truck Mix Loading process controlled by a baghouse?","")</f>
        <v/>
      </c>
      <c r="C56" s="51"/>
      <c r="D56" s="51"/>
      <c r="E56" s="51"/>
      <c r="F56" s="221"/>
      <c r="G56" s="45"/>
      <c r="H56" s="127" t="str">
        <f t="shared" si="20"/>
        <v/>
      </c>
      <c r="I56" s="127" t="str">
        <f t="shared" si="19"/>
        <v/>
      </c>
      <c r="J56" s="82"/>
      <c r="K56" s="61"/>
      <c r="L56" s="156"/>
      <c r="M56" s="219" t="str">
        <f t="shared" si="21"/>
        <v/>
      </c>
      <c r="N56" s="219" t="str">
        <f t="shared" si="22"/>
        <v/>
      </c>
      <c r="Q56" s="68"/>
      <c r="R56" s="68"/>
      <c r="S56" s="68"/>
    </row>
    <row r="57" spans="2:22" ht="14.25" customHeight="1" x14ac:dyDescent="0.2">
      <c r="F57" s="177"/>
      <c r="G57" s="45"/>
      <c r="H57" s="127" t="str">
        <f t="shared" si="20"/>
        <v/>
      </c>
      <c r="I57" s="127" t="str">
        <f t="shared" si="19"/>
        <v/>
      </c>
      <c r="J57" s="82"/>
      <c r="K57" s="61"/>
      <c r="L57" s="156"/>
      <c r="M57" s="219" t="str">
        <f t="shared" si="21"/>
        <v/>
      </c>
      <c r="N57" s="219" t="str">
        <f t="shared" si="22"/>
        <v/>
      </c>
      <c r="Q57" s="68"/>
      <c r="R57" s="68"/>
      <c r="S57" s="68"/>
    </row>
    <row r="58" spans="2:22" ht="27.75" customHeight="1" x14ac:dyDescent="0.2">
      <c r="B58" s="312" t="str">
        <f>IF(AND(B60="",B61="",B62="",B63="",B64=""),"","Process (complete stack information if applicable):")</f>
        <v/>
      </c>
      <c r="C58" s="312" t="str">
        <f>IF(AND(B60="",B61="",B62="",B63="",B64=""),"","Stack Height (ft):")</f>
        <v/>
      </c>
      <c r="D58" s="312" t="str">
        <f>IF(AND(B60="",B61="",B62="",B63="",B64=""),"","Stack Diameter (inches):")</f>
        <v/>
      </c>
      <c r="E58" s="312" t="str">
        <f>IF(AND(B60="",B61="",B62="",B63="",B64=""),"","Flow Rate (acfm):")</f>
        <v/>
      </c>
      <c r="F58" s="312" t="str">
        <f>IF(AND(B60="",B61="",B62="",B63="",B64=""),"","Temp (Deg F):")</f>
        <v/>
      </c>
      <c r="H58" s="127" t="str">
        <f t="shared" si="20"/>
        <v/>
      </c>
      <c r="I58" s="127" t="str">
        <f t="shared" si="19"/>
        <v/>
      </c>
      <c r="J58" s="82"/>
      <c r="K58" s="61"/>
      <c r="L58" s="156"/>
      <c r="M58" s="219" t="str">
        <f t="shared" si="21"/>
        <v/>
      </c>
      <c r="N58" s="219" t="str">
        <f t="shared" si="22"/>
        <v/>
      </c>
    </row>
    <row r="59" spans="2:22" ht="14.25" customHeight="1" x14ac:dyDescent="0.2">
      <c r="B59" s="312"/>
      <c r="C59" s="312"/>
      <c r="D59" s="312"/>
      <c r="E59" s="312"/>
      <c r="F59" s="312"/>
      <c r="G59" s="76"/>
      <c r="H59" s="127" t="str">
        <f t="shared" si="20"/>
        <v/>
      </c>
      <c r="I59" s="127" t="str">
        <f t="shared" si="19"/>
        <v/>
      </c>
      <c r="J59" s="82"/>
      <c r="K59" s="61"/>
      <c r="L59" s="156"/>
      <c r="M59" s="219" t="str">
        <f t="shared" si="21"/>
        <v/>
      </c>
      <c r="N59" s="219" t="str">
        <f t="shared" si="22"/>
        <v/>
      </c>
    </row>
    <row r="60" spans="2:22" ht="14.25" customHeight="1" x14ac:dyDescent="0.2">
      <c r="B60" s="45" t="str">
        <f>IF(COUNTIF(J53:J62,"Cement Delivery to Silo")&gt;0,"EP-2 Cement Silo Stack:","")</f>
        <v/>
      </c>
      <c r="C60" s="221"/>
      <c r="D60" s="221"/>
      <c r="E60" s="221"/>
      <c r="F60" s="221"/>
      <c r="H60" s="127" t="str">
        <f t="shared" si="20"/>
        <v/>
      </c>
      <c r="I60" s="127" t="str">
        <f t="shared" si="19"/>
        <v/>
      </c>
      <c r="J60" s="82"/>
      <c r="K60" s="61"/>
      <c r="L60" s="156"/>
      <c r="M60" s="219" t="str">
        <f t="shared" si="21"/>
        <v/>
      </c>
      <c r="N60" s="219" t="str">
        <f t="shared" si="22"/>
        <v/>
      </c>
    </row>
    <row r="61" spans="2:22" ht="14.25" customHeight="1" x14ac:dyDescent="0.2">
      <c r="B61" s="45" t="str">
        <f>IF(COUNTIF(J53:J62,"Cement Supplement Delivery to Silo")&gt;0,"EP-3 Cement Supplement Silo Stack:","")</f>
        <v/>
      </c>
      <c r="C61" s="221"/>
      <c r="D61" s="221"/>
      <c r="E61" s="221"/>
      <c r="F61" s="221"/>
      <c r="H61" s="127" t="str">
        <f t="shared" si="20"/>
        <v/>
      </c>
      <c r="I61" s="127" t="str">
        <f t="shared" si="19"/>
        <v/>
      </c>
      <c r="J61" s="82"/>
      <c r="K61" s="61"/>
      <c r="L61" s="156"/>
      <c r="M61" s="219" t="str">
        <f t="shared" si="21"/>
        <v/>
      </c>
      <c r="N61" s="219" t="str">
        <f t="shared" si="22"/>
        <v/>
      </c>
    </row>
    <row r="62" spans="2:22" ht="14.25" customHeight="1" x14ac:dyDescent="0.2">
      <c r="B62" s="45" t="str">
        <f>IF(COUNTIF(J53:J62,"Weigh Hopper Loading")&gt;0,"EP-4 Weigh Hopper Loading Stack:","")</f>
        <v/>
      </c>
      <c r="C62" s="221"/>
      <c r="D62" s="221"/>
      <c r="E62" s="221"/>
      <c r="F62" s="221"/>
      <c r="H62" s="127" t="str">
        <f t="shared" si="20"/>
        <v/>
      </c>
      <c r="I62" s="127" t="str">
        <f t="shared" si="19"/>
        <v/>
      </c>
      <c r="J62" s="82"/>
      <c r="K62" s="61"/>
      <c r="L62" s="156"/>
      <c r="M62" s="219" t="str">
        <f t="shared" si="21"/>
        <v/>
      </c>
      <c r="N62" s="219" t="str">
        <f t="shared" si="22"/>
        <v/>
      </c>
    </row>
    <row r="63" spans="2:22" ht="14.25" customHeight="1" x14ac:dyDescent="0.2">
      <c r="B63" s="45" t="str">
        <f>IF(COUNTIF(J53:J62,"Truck Mix Loading")&gt;0,"EP-5 Truck Mix Loading Stack:","")</f>
        <v/>
      </c>
      <c r="C63" s="221"/>
      <c r="D63" s="221"/>
      <c r="E63" s="221"/>
      <c r="F63" s="221"/>
      <c r="H63" s="45"/>
      <c r="I63" s="45"/>
    </row>
    <row r="64" spans="2:22" ht="14.25" customHeight="1" x14ac:dyDescent="0.2">
      <c r="B64" s="45" t="str">
        <f>IF(COUNTIF(J53:J62,"Central Mix Loading")&gt;0,"EP-6 Central Mix Loading Stack:","")</f>
        <v/>
      </c>
      <c r="C64" s="221"/>
      <c r="D64" s="221"/>
      <c r="E64" s="221"/>
      <c r="F64" s="221"/>
      <c r="G64" s="45"/>
      <c r="H64" s="74" t="str">
        <f>IF('Concrete Plant (CP-8)'!$D$4&gt;2,"Stock Pile Area","")</f>
        <v/>
      </c>
      <c r="I64" s="74"/>
      <c r="J64" s="75"/>
    </row>
    <row r="65" spans="2:14" ht="14.25" customHeight="1" x14ac:dyDescent="0.2">
      <c r="B65" s="73"/>
      <c r="C65" s="163"/>
      <c r="D65" s="163"/>
      <c r="E65" s="163"/>
      <c r="F65" s="176"/>
      <c r="G65" s="45"/>
      <c r="I65" s="51" t="str">
        <f>IF('Concrete Plant (CP-8)'!$D$4&gt;2,"Emission Unit #","")</f>
        <v/>
      </c>
      <c r="J65" s="80" t="str">
        <f>IF('Concrete Plant (CP-8)'!$D$4&gt;2,"Maximum Storage Area (acres)","")</f>
        <v/>
      </c>
      <c r="K65" s="81" t="str">
        <f>IF('Concrete Plant (CP-8)'!$D$4&gt;2,"Actual Storage Area (acres)","")</f>
        <v/>
      </c>
      <c r="L65" s="80" t="str">
        <f>IF('Concrete Plant (CP-8)'!$D$4&gt;2,"Actual Days in Existence (days)","")</f>
        <v/>
      </c>
      <c r="M65" s="146"/>
      <c r="N65" s="146"/>
    </row>
    <row r="66" spans="2:14" ht="14.25" customHeight="1" x14ac:dyDescent="0.2">
      <c r="B66" s="73"/>
      <c r="C66" s="163"/>
      <c r="D66" s="163"/>
      <c r="E66" s="163"/>
      <c r="F66" s="176"/>
      <c r="G66" s="45"/>
      <c r="I66" s="65"/>
      <c r="J66" s="144"/>
      <c r="K66" s="66"/>
      <c r="L66" s="144"/>
      <c r="M66" s="146"/>
      <c r="N66" s="146"/>
    </row>
    <row r="67" spans="2:14" ht="14.25" customHeight="1" x14ac:dyDescent="0.2">
      <c r="B67" s="73"/>
      <c r="C67" s="163"/>
      <c r="D67" s="163"/>
      <c r="E67" s="163"/>
      <c r="F67" s="176"/>
      <c r="G67" s="45"/>
    </row>
    <row r="68" spans="2:14" ht="28.5" customHeight="1" x14ac:dyDescent="0.25">
      <c r="B68" s="78" t="str">
        <f>IF('Concrete Plant (CP-8)'!$D$4&gt;3,"Batch Plant","")</f>
        <v/>
      </c>
      <c r="C68" s="71" t="str">
        <f>IF('Concrete Plant (CP-8)'!$D$4&gt;3,"Site 4","")</f>
        <v/>
      </c>
      <c r="D68" s="71"/>
      <c r="E68" s="71"/>
      <c r="F68" s="71"/>
      <c r="G68" s="45"/>
      <c r="H68" s="310" t="str">
        <f>IF('Concrete Plant (CP-8)'!$D$4&gt;3,"Emission Point #","")</f>
        <v/>
      </c>
      <c r="I68" s="310" t="str">
        <f>IF('Concrete Plant (CP-8)'!$D$4&gt;3,"Emission     Unit #","")</f>
        <v/>
      </c>
      <c r="J68" s="310" t="str">
        <f>IF('Concrete Plant (CP-8)'!$D$4&gt;3,"Processes","")</f>
        <v/>
      </c>
      <c r="K68" s="311" t="str">
        <f>IF('Concrete Plant (CP-8)'!$D$4&gt;3,"Combined Maximum Hourly Design Rate for all Like Processes (cubic yard/hr)","")</f>
        <v/>
      </c>
      <c r="L68" s="310" t="str">
        <f>IF('Concrete Plant (CP-8)'!$D$4&gt;3,('Facility Information'!G5&amp;" Annual Throughput (cubic yards)"),"")</f>
        <v/>
      </c>
      <c r="M68" s="217"/>
      <c r="N68" s="217"/>
    </row>
    <row r="69" spans="2:14" ht="14.25" customHeight="1" x14ac:dyDescent="0.2">
      <c r="B69" s="79" t="str">
        <f>IF('Concrete Plant (CP-8)'!$D$4&gt;3,"Site Name:","")</f>
        <v/>
      </c>
      <c r="C69" s="349"/>
      <c r="D69" s="356"/>
      <c r="E69" s="357"/>
      <c r="F69" s="175"/>
      <c r="G69" s="45"/>
      <c r="H69" s="127" t="str">
        <f>IF(J69="cement delivery to silo","CP-1 EP-2",IF(J69="cement supplement delivery to silo","CP-1 EP-3",IF(J69="weigh hopper loading","CP-1 EP-4",IF(J69="truck mix loading","CP-1 EP-5",IF(J69="central mix loading","CP-1 EP-6",IF(J69="","","CP-1 EP-1"))))))</f>
        <v/>
      </c>
      <c r="I69" s="127" t="str">
        <f t="shared" ref="I69:I78" si="23">IF(J69="","",IF(J69="aggregate delivery to ground storage","CP-8 EU-1",IF(J69="sand delivery to ground storage","CP-8 EU-2",IF(J69="aggregate transfer to conveyor","CP-8 EU-3",IF(J69="sand transfer to conveyor","CP-8 EU-4",IF(J69="aggregate transfer to elevated storage","CP-8 EU-5",IF(J69="sand transfer to elevated storage","CP-8 EU-6",IF(J69="weigh hopper loading","CP-8 EU-7",IF(J69="central mix loading","CP-8 EU-8",IF(J69="truck mix loading","CP-8 EU-9",IF(J69="cement delivery to silo","CP-8 EU-10",IF(J69="cement supplement delivery to silo","CP-8 EU-11"))))))))))))</f>
        <v/>
      </c>
      <c r="J69" s="82"/>
      <c r="K69" s="61"/>
      <c r="L69" s="156"/>
      <c r="M69" s="219" t="str">
        <f>IF(J69="truck mix loading",IF($F$72="yes",L69*0.05/2000,L69/2000),"")</f>
        <v/>
      </c>
      <c r="N69" s="219" t="str">
        <f>IF(J69="central mix loading",IF($F$72="yes",L69*0.05/2000,L69/2000),"")</f>
        <v/>
      </c>
    </row>
    <row r="70" spans="2:14" ht="14.25" customHeight="1" x14ac:dyDescent="0.2">
      <c r="B70" s="79" t="str">
        <f>IF('Concrete Plant (CP-8)'!$D$4&gt;3,"County:","")</f>
        <v/>
      </c>
      <c r="C70" s="339"/>
      <c r="D70" s="342"/>
      <c r="E70" s="343"/>
      <c r="F70" s="175"/>
      <c r="G70" s="45"/>
      <c r="H70" s="127" t="str">
        <f t="shared" ref="H70:H78" si="24">IF(J70="cement delivery to silo","CP-1 EP-2",IF(J70="cement supplement delivery to silo","CP-1 EP-3",IF(J70="weigh hopper loading","CP-1 EP-4",IF(J70="truck mix loading","CP-1 EP-5",IF(J70="central mix loading","CP-1 EP-6",IF(J70="","","CP-1 EP-1"))))))</f>
        <v/>
      </c>
      <c r="I70" s="127" t="str">
        <f t="shared" si="23"/>
        <v/>
      </c>
      <c r="J70" s="82"/>
      <c r="K70" s="61"/>
      <c r="L70" s="156"/>
      <c r="M70" s="219" t="str">
        <f t="shared" ref="M70:M78" si="25">IF(J70="truck mix loading",IF($F$72="yes",L70*0.05/2000,L70/2000),"")</f>
        <v/>
      </c>
      <c r="N70" s="219" t="str">
        <f t="shared" ref="N70:N78" si="26">IF(J70="central mix loading",IF($F$72="yes",L70*0.05/2000,L70/2000),"")</f>
        <v/>
      </c>
    </row>
    <row r="71" spans="2:14" ht="14.25" customHeight="1" x14ac:dyDescent="0.2">
      <c r="B71" s="79" t="str">
        <f>IF('Concrete Plant (CP-8)'!$D$4&gt;3,"Batching Period (Dates):","")</f>
        <v/>
      </c>
      <c r="C71" s="352"/>
      <c r="D71" s="358"/>
      <c r="E71" s="359"/>
      <c r="F71" s="175"/>
      <c r="G71" s="45"/>
      <c r="H71" s="127" t="str">
        <f t="shared" si="24"/>
        <v/>
      </c>
      <c r="I71" s="127" t="str">
        <f t="shared" si="23"/>
        <v/>
      </c>
      <c r="J71" s="82"/>
      <c r="K71" s="61"/>
      <c r="L71" s="156"/>
      <c r="M71" s="219" t="str">
        <f t="shared" si="25"/>
        <v/>
      </c>
      <c r="N71" s="219" t="str">
        <f t="shared" si="26"/>
        <v/>
      </c>
    </row>
    <row r="72" spans="2:14" ht="14.25" customHeight="1" x14ac:dyDescent="0.2">
      <c r="B72" s="51" t="str">
        <f>IF(OR(COUNTIF(J69:J78,"Truck Mix Loading")&gt;0,(COUNTIF(J69:J78,"Central Mix Loading")&gt;0)),"Is the Central/Truck Mix Loading process controlled by a baghouse?","")</f>
        <v/>
      </c>
      <c r="C72" s="51"/>
      <c r="D72" s="51"/>
      <c r="E72" s="51"/>
      <c r="F72" s="221"/>
      <c r="H72" s="127" t="str">
        <f t="shared" si="24"/>
        <v/>
      </c>
      <c r="I72" s="127" t="str">
        <f t="shared" si="23"/>
        <v/>
      </c>
      <c r="J72" s="82"/>
      <c r="K72" s="61"/>
      <c r="L72" s="156"/>
      <c r="M72" s="219" t="str">
        <f t="shared" si="25"/>
        <v/>
      </c>
      <c r="N72" s="219" t="str">
        <f t="shared" si="26"/>
        <v/>
      </c>
    </row>
    <row r="73" spans="2:14" ht="14.25" customHeight="1" x14ac:dyDescent="0.2">
      <c r="F73" s="177"/>
      <c r="G73" s="76"/>
      <c r="H73" s="127" t="str">
        <f t="shared" si="24"/>
        <v/>
      </c>
      <c r="I73" s="127" t="str">
        <f t="shared" si="23"/>
        <v/>
      </c>
      <c r="J73" s="82"/>
      <c r="K73" s="61"/>
      <c r="L73" s="156"/>
      <c r="M73" s="219" t="str">
        <f t="shared" si="25"/>
        <v/>
      </c>
      <c r="N73" s="219" t="str">
        <f t="shared" si="26"/>
        <v/>
      </c>
    </row>
    <row r="74" spans="2:14" ht="27" customHeight="1" x14ac:dyDescent="0.2">
      <c r="B74" s="312" t="str">
        <f>IF(AND(B76="",B77="",B78="",B79="",B80=""),"","Process (complete stack information if applicable):")</f>
        <v/>
      </c>
      <c r="C74" s="312" t="str">
        <f>IF(AND(B76="",B77="",B78="",B79="",B80=""),"","Stack Height (ft):")</f>
        <v/>
      </c>
      <c r="D74" s="312" t="str">
        <f>IF(AND(B76="",B77="",B78="",B79="",B80=""),"","Stack Diameter (inches):")</f>
        <v/>
      </c>
      <c r="E74" s="312" t="str">
        <f>IF(AND(B76="",B77="",B78="",B79="",B80=""),"","Flow Rate (acfm):")</f>
        <v/>
      </c>
      <c r="F74" s="312" t="str">
        <f>IF(AND(B76="",B77="",B78="",B79="",B80=""),"","Temp (Deg F):")</f>
        <v/>
      </c>
      <c r="H74" s="127" t="str">
        <f t="shared" si="24"/>
        <v/>
      </c>
      <c r="I74" s="127" t="str">
        <f t="shared" si="23"/>
        <v/>
      </c>
      <c r="J74" s="82"/>
      <c r="K74" s="61"/>
      <c r="L74" s="156"/>
      <c r="M74" s="219" t="str">
        <f t="shared" si="25"/>
        <v/>
      </c>
      <c r="N74" s="219" t="str">
        <f t="shared" si="26"/>
        <v/>
      </c>
    </row>
    <row r="75" spans="2:14" ht="14.25" customHeight="1" x14ac:dyDescent="0.2">
      <c r="B75" s="312"/>
      <c r="C75" s="312"/>
      <c r="D75" s="312"/>
      <c r="E75" s="312"/>
      <c r="F75" s="312"/>
      <c r="H75" s="127" t="str">
        <f t="shared" si="24"/>
        <v/>
      </c>
      <c r="I75" s="127" t="str">
        <f t="shared" si="23"/>
        <v/>
      </c>
      <c r="J75" s="82"/>
      <c r="K75" s="61"/>
      <c r="L75" s="156"/>
      <c r="M75" s="219" t="str">
        <f t="shared" si="25"/>
        <v/>
      </c>
      <c r="N75" s="219" t="str">
        <f t="shared" si="26"/>
        <v/>
      </c>
    </row>
    <row r="76" spans="2:14" ht="14.25" customHeight="1" x14ac:dyDescent="0.2">
      <c r="B76" s="45" t="str">
        <f>IF(COUNTIF(J69:J78,"Cement Delivery to Silo")&gt;0,"EP-2 Cement Silo Stack:","")</f>
        <v/>
      </c>
      <c r="C76" s="221"/>
      <c r="D76" s="221"/>
      <c r="E76" s="221"/>
      <c r="F76" s="221"/>
      <c r="H76" s="127" t="str">
        <f t="shared" si="24"/>
        <v/>
      </c>
      <c r="I76" s="127" t="str">
        <f t="shared" si="23"/>
        <v/>
      </c>
      <c r="J76" s="82"/>
      <c r="K76" s="61"/>
      <c r="L76" s="156"/>
      <c r="M76" s="219" t="str">
        <f t="shared" si="25"/>
        <v/>
      </c>
      <c r="N76" s="219" t="str">
        <f t="shared" si="26"/>
        <v/>
      </c>
    </row>
    <row r="77" spans="2:14" ht="14.25" customHeight="1" x14ac:dyDescent="0.2">
      <c r="B77" s="45" t="str">
        <f>IF(COUNTIF(J69:J78,"Cement Supplement Delivery to Silo")&gt;0,"EP-3 Cement Supplement Silo Stack:","")</f>
        <v/>
      </c>
      <c r="C77" s="221"/>
      <c r="D77" s="221"/>
      <c r="E77" s="221"/>
      <c r="F77" s="221"/>
      <c r="H77" s="127" t="str">
        <f t="shared" si="24"/>
        <v/>
      </c>
      <c r="I77" s="127" t="str">
        <f t="shared" si="23"/>
        <v/>
      </c>
      <c r="J77" s="82"/>
      <c r="K77" s="61"/>
      <c r="L77" s="156"/>
      <c r="M77" s="219" t="str">
        <f t="shared" si="25"/>
        <v/>
      </c>
      <c r="N77" s="219" t="str">
        <f t="shared" si="26"/>
        <v/>
      </c>
    </row>
    <row r="78" spans="2:14" ht="14.25" customHeight="1" x14ac:dyDescent="0.2">
      <c r="B78" s="45" t="str">
        <f>IF(COUNTIF(J69:J78,"Weigh Hopper Loading")&gt;0,"EP-4 Weigh Hopper Loading Stack:","")</f>
        <v/>
      </c>
      <c r="C78" s="221"/>
      <c r="D78" s="221"/>
      <c r="E78" s="221"/>
      <c r="F78" s="221"/>
      <c r="G78" s="45"/>
      <c r="H78" s="127" t="str">
        <f t="shared" si="24"/>
        <v/>
      </c>
      <c r="I78" s="127" t="str">
        <f t="shared" si="23"/>
        <v/>
      </c>
      <c r="J78" s="82"/>
      <c r="K78" s="61"/>
      <c r="L78" s="156"/>
      <c r="M78" s="219" t="str">
        <f t="shared" si="25"/>
        <v/>
      </c>
      <c r="N78" s="219" t="str">
        <f t="shared" si="26"/>
        <v/>
      </c>
    </row>
    <row r="79" spans="2:14" ht="14.25" customHeight="1" x14ac:dyDescent="0.2">
      <c r="B79" s="45" t="str">
        <f>IF(COUNTIF(J69:J78,"Truck Mix Loading")&gt;0,"EP-5 Truck Mix Loading Stack:","")</f>
        <v/>
      </c>
      <c r="C79" s="221"/>
      <c r="D79" s="221"/>
      <c r="E79" s="221"/>
      <c r="F79" s="221"/>
      <c r="G79" s="45"/>
      <c r="H79" s="45"/>
      <c r="I79" s="45"/>
    </row>
    <row r="80" spans="2:14" ht="14.25" customHeight="1" x14ac:dyDescent="0.2">
      <c r="B80" s="45" t="str">
        <f>IF(COUNTIF(J69:J78,"Central Mix Loading")&gt;0,"EP-6 Central Mix Loading Stack:","")</f>
        <v/>
      </c>
      <c r="C80" s="221"/>
      <c r="D80" s="221"/>
      <c r="E80" s="221"/>
      <c r="F80" s="221"/>
      <c r="G80" s="45"/>
      <c r="H80" s="74" t="str">
        <f>IF('Concrete Plant (CP-8)'!$D$4&gt;3,"Stock Pile Area","")</f>
        <v/>
      </c>
      <c r="I80" s="74"/>
      <c r="J80" s="75"/>
    </row>
    <row r="81" spans="2:14" ht="14.25" customHeight="1" x14ac:dyDescent="0.2">
      <c r="B81" s="73"/>
      <c r="C81" s="163"/>
      <c r="D81" s="163"/>
      <c r="E81" s="163"/>
      <c r="F81" s="176"/>
      <c r="G81" s="45"/>
      <c r="I81" s="51" t="str">
        <f>IF('Concrete Plant (CP-8)'!$D$4&gt;3,"Emission Unit #","")</f>
        <v/>
      </c>
      <c r="J81" s="80" t="str">
        <f>IF('Concrete Plant (CP-8)'!$D$4&gt;3,"Maximum Storage Area (acres)","")</f>
        <v/>
      </c>
      <c r="K81" s="81" t="str">
        <f>IF('Concrete Plant (CP-8)'!$D$4&gt;3,"Actual Storage Area (acres)","")</f>
        <v/>
      </c>
      <c r="L81" s="80" t="str">
        <f>IF('Concrete Plant (CP-8)'!$D$4&gt;3,"Actual Days in Existence (days)","")</f>
        <v/>
      </c>
      <c r="M81" s="146"/>
      <c r="N81" s="146"/>
    </row>
    <row r="82" spans="2:14" ht="14.25" customHeight="1" x14ac:dyDescent="0.2">
      <c r="B82" s="73"/>
      <c r="C82" s="163"/>
      <c r="D82" s="163"/>
      <c r="E82" s="163"/>
      <c r="F82" s="176"/>
      <c r="G82" s="45"/>
      <c r="I82" s="65"/>
      <c r="J82" s="144"/>
      <c r="K82" s="66"/>
      <c r="L82" s="144"/>
      <c r="M82" s="146"/>
      <c r="N82" s="146"/>
    </row>
    <row r="83" spans="2:14" ht="14.25" customHeight="1" x14ac:dyDescent="0.2">
      <c r="B83" s="73"/>
      <c r="C83" s="163"/>
      <c r="D83" s="163"/>
      <c r="E83" s="163"/>
      <c r="F83" s="176"/>
      <c r="G83" s="45"/>
    </row>
    <row r="84" spans="2:14" ht="28.5" customHeight="1" x14ac:dyDescent="0.25">
      <c r="B84" s="78" t="str">
        <f>IF('Concrete Plant (CP-8)'!$D$4&gt;4,"Batch Plant","")</f>
        <v/>
      </c>
      <c r="C84" s="71" t="str">
        <f>IF('Concrete Plant (CP-8)'!$D$4&gt;4,"Site 5","")</f>
        <v/>
      </c>
      <c r="D84" s="71"/>
      <c r="E84" s="71"/>
      <c r="F84" s="71"/>
      <c r="G84" s="45"/>
      <c r="H84" s="310" t="str">
        <f>IF('Concrete Plant (CP-8)'!$D$4&gt;4,"Emission Point #","")</f>
        <v/>
      </c>
      <c r="I84" s="310" t="str">
        <f>IF('Concrete Plant (CP-8)'!$D$4&gt;4,"Emission     Unit #","")</f>
        <v/>
      </c>
      <c r="J84" s="310" t="str">
        <f>IF('Concrete Plant (CP-8)'!$D$4&gt;4,"Processes","")</f>
        <v/>
      </c>
      <c r="K84" s="311" t="str">
        <f>IF('Concrete Plant (CP-8)'!$D$4&gt;4,"Combined Maximum Hourly Design Rate for all Like Processes (cubic yard/hr)","")</f>
        <v/>
      </c>
      <c r="L84" s="310" t="str">
        <f>IF('Concrete Plant (CP-8)'!$D$4&gt;4,('Facility Information'!G5&amp;" Annual Throughput (cubic yards)"),"")</f>
        <v/>
      </c>
      <c r="M84" s="217"/>
      <c r="N84" s="217"/>
    </row>
    <row r="85" spans="2:14" ht="14.25" customHeight="1" x14ac:dyDescent="0.2">
      <c r="B85" s="79" t="str">
        <f>IF('Concrete Plant (CP-8)'!$D$4&gt;4,"Site Name:","")</f>
        <v/>
      </c>
      <c r="C85" s="349"/>
      <c r="D85" s="356"/>
      <c r="E85" s="357"/>
      <c r="G85" s="45"/>
      <c r="H85" s="127" t="str">
        <f>IF(J85="cement delivery to silo","CP-1 EP-2",IF(J85="cement supplement delivery to silo","CP-1 EP-3",IF(J85="weigh hopper loading","CP-1 EP-4",IF(J85="truck mix loading","CP-1 EP-5",IF(J85="central mix loading","CP-1 EP-6",IF(J85="","","CP-1 EP-1"))))))</f>
        <v/>
      </c>
      <c r="I85" s="127" t="str">
        <f t="shared" ref="I85:I94" si="27">IF(J85="","",IF(J85="aggregate delivery to ground storage","CP-8 EU-1",IF(J85="sand delivery to ground storage","CP-8 EU-2",IF(J85="aggregate transfer to conveyor","CP-8 EU-3",IF(J85="sand transfer to conveyor","CP-8 EU-4",IF(J85="aggregate transfer to elevated storage","CP-8 EU-5",IF(J85="sand transfer to elevated storage","CP-8 EU-6",IF(J85="weigh hopper loading","CP-8 EU-7",IF(J85="central mix loading","CP-8 EU-8",IF(J85="truck mix loading","CP-8 EU-9",IF(J85="cement delivery to silo","CP-8 EU-10",IF(J85="cement supplement delivery to silo","CP-8 EU-11"))))))))))))</f>
        <v/>
      </c>
      <c r="J85" s="82"/>
      <c r="K85" s="61"/>
      <c r="L85" s="156"/>
      <c r="M85" s="219" t="str">
        <f>IF(J85="truck mix loading",IF($F$88="yes",L85*0.05/2000,L85/2000),"")</f>
        <v/>
      </c>
      <c r="N85" s="219" t="str">
        <f>IF(J85="central mix loading",IF($F$88="yes",L85*0.05/2000,L85/2000),"")</f>
        <v/>
      </c>
    </row>
    <row r="86" spans="2:14" ht="14.25" customHeight="1" x14ac:dyDescent="0.2">
      <c r="B86" s="79" t="str">
        <f>IF('Concrete Plant (CP-8)'!$D$4&gt;4,"County:","")</f>
        <v/>
      </c>
      <c r="C86" s="339"/>
      <c r="D86" s="342"/>
      <c r="E86" s="343"/>
      <c r="F86" s="175"/>
      <c r="H86" s="127" t="str">
        <f t="shared" ref="H86:H94" si="28">IF(J86="cement delivery to silo","CP-1 EP-2",IF(J86="cement supplement delivery to silo","CP-1 EP-3",IF(J86="weigh hopper loading","CP-1 EP-4",IF(J86="truck mix loading","CP-1 EP-5",IF(J86="central mix loading","CP-1 EP-6",IF(J86="","","CP-1 EP-1"))))))</f>
        <v/>
      </c>
      <c r="I86" s="127" t="str">
        <f t="shared" si="27"/>
        <v/>
      </c>
      <c r="J86" s="82"/>
      <c r="K86" s="61"/>
      <c r="L86" s="156"/>
      <c r="M86" s="219" t="str">
        <f t="shared" ref="M86:M94" si="29">IF(J86="truck mix loading",IF($F$88="yes",L86*0.05/2000,L86/2000),"")</f>
        <v/>
      </c>
      <c r="N86" s="219" t="str">
        <f t="shared" ref="N86:N94" si="30">IF(J86="central mix loading",IF($F$88="yes",L86*0.05/2000,L86/2000),"")</f>
        <v/>
      </c>
    </row>
    <row r="87" spans="2:14" ht="14.25" customHeight="1" x14ac:dyDescent="0.2">
      <c r="B87" s="79" t="str">
        <f>IF('Concrete Plant (CP-8)'!$D$4&gt;4,"Batching Period (Dates):","")</f>
        <v/>
      </c>
      <c r="C87" s="352"/>
      <c r="D87" s="358"/>
      <c r="E87" s="359"/>
      <c r="F87" s="175"/>
      <c r="G87" s="76"/>
      <c r="H87" s="127" t="str">
        <f t="shared" si="28"/>
        <v/>
      </c>
      <c r="I87" s="127" t="str">
        <f t="shared" si="27"/>
        <v/>
      </c>
      <c r="J87" s="82"/>
      <c r="K87" s="61"/>
      <c r="L87" s="156"/>
      <c r="M87" s="219" t="str">
        <f t="shared" si="29"/>
        <v/>
      </c>
      <c r="N87" s="219" t="str">
        <f t="shared" si="30"/>
        <v/>
      </c>
    </row>
    <row r="88" spans="2:14" ht="14.25" customHeight="1" x14ac:dyDescent="0.2">
      <c r="B88" s="51" t="str">
        <f>IF(OR(COUNTIF(J85:J94,"Truck Mix Loading")&gt;0,(COUNTIF(J85:J94,"Central Mix Loading")&gt;0)),"Is the Central/Truck Mix Loading process controlled by a baghouse?","")</f>
        <v/>
      </c>
      <c r="C88" s="51"/>
      <c r="D88" s="51"/>
      <c r="E88" s="51"/>
      <c r="F88" s="221"/>
      <c r="H88" s="127" t="str">
        <f t="shared" si="28"/>
        <v/>
      </c>
      <c r="I88" s="127" t="str">
        <f t="shared" si="27"/>
        <v/>
      </c>
      <c r="J88" s="82"/>
      <c r="K88" s="61"/>
      <c r="L88" s="156"/>
      <c r="M88" s="219" t="str">
        <f t="shared" si="29"/>
        <v/>
      </c>
      <c r="N88" s="219" t="str">
        <f t="shared" si="30"/>
        <v/>
      </c>
    </row>
    <row r="89" spans="2:14" ht="14.25" customHeight="1" x14ac:dyDescent="0.2">
      <c r="F89" s="177"/>
      <c r="H89" s="127" t="str">
        <f t="shared" si="28"/>
        <v/>
      </c>
      <c r="I89" s="127" t="str">
        <f t="shared" si="27"/>
        <v/>
      </c>
      <c r="J89" s="82"/>
      <c r="K89" s="61"/>
      <c r="L89" s="156"/>
      <c r="M89" s="219" t="str">
        <f t="shared" si="29"/>
        <v/>
      </c>
      <c r="N89" s="219" t="str">
        <f t="shared" si="30"/>
        <v/>
      </c>
    </row>
    <row r="90" spans="2:14" ht="29.25" customHeight="1" x14ac:dyDescent="0.2">
      <c r="B90" s="312" t="str">
        <f>IF(AND(B92="",B93="",B94="",B95="",B96=""),"","Process (complete stack information if applicable):")</f>
        <v/>
      </c>
      <c r="C90" s="312" t="str">
        <f>IF(AND(B92="",B93="",B94="",B95="",B96=""),"","Stack Height (ft):")</f>
        <v/>
      </c>
      <c r="D90" s="312" t="str">
        <f>IF(AND(B92="",B93="",B94="",B95="",B96=""),"","Stack Diameter (inches):")</f>
        <v/>
      </c>
      <c r="E90" s="312" t="str">
        <f>IF(AND(B92="",B93="",B94="",B95="",B96=""),"","Flow Rate (acfm):")</f>
        <v/>
      </c>
      <c r="F90" s="312" t="str">
        <f>IF(AND(B92="",B93="",B94="",B95="",B96=""),"","Temp (Deg F):")</f>
        <v/>
      </c>
      <c r="H90" s="127" t="str">
        <f t="shared" si="28"/>
        <v/>
      </c>
      <c r="I90" s="127" t="str">
        <f t="shared" si="27"/>
        <v/>
      </c>
      <c r="J90" s="82"/>
      <c r="K90" s="61"/>
      <c r="L90" s="156"/>
      <c r="M90" s="219" t="str">
        <f t="shared" si="29"/>
        <v/>
      </c>
      <c r="N90" s="219" t="str">
        <f t="shared" si="30"/>
        <v/>
      </c>
    </row>
    <row r="91" spans="2:14" ht="14.25" customHeight="1" x14ac:dyDescent="0.2">
      <c r="B91" s="312"/>
      <c r="C91" s="312"/>
      <c r="D91" s="312"/>
      <c r="E91" s="312"/>
      <c r="F91" s="312"/>
      <c r="H91" s="127" t="str">
        <f t="shared" si="28"/>
        <v/>
      </c>
      <c r="I91" s="127" t="str">
        <f t="shared" si="27"/>
        <v/>
      </c>
      <c r="J91" s="82"/>
      <c r="K91" s="61"/>
      <c r="L91" s="156"/>
      <c r="M91" s="219" t="str">
        <f t="shared" si="29"/>
        <v/>
      </c>
      <c r="N91" s="219" t="str">
        <f t="shared" si="30"/>
        <v/>
      </c>
    </row>
    <row r="92" spans="2:14" ht="14.25" customHeight="1" x14ac:dyDescent="0.2">
      <c r="B92" s="45" t="str">
        <f>IF(COUNTIF(J85:J94,"Cement Delivery to Silo")&gt;0,"EP-2 Cement Silo Stack:","")</f>
        <v/>
      </c>
      <c r="C92" s="221"/>
      <c r="D92" s="221"/>
      <c r="E92" s="221"/>
      <c r="F92" s="221"/>
      <c r="G92" s="45"/>
      <c r="H92" s="127" t="str">
        <f t="shared" si="28"/>
        <v/>
      </c>
      <c r="I92" s="127" t="str">
        <f t="shared" si="27"/>
        <v/>
      </c>
      <c r="J92" s="82"/>
      <c r="K92" s="61"/>
      <c r="L92" s="156"/>
      <c r="M92" s="219" t="str">
        <f t="shared" si="29"/>
        <v/>
      </c>
      <c r="N92" s="219" t="str">
        <f t="shared" si="30"/>
        <v/>
      </c>
    </row>
    <row r="93" spans="2:14" ht="14.25" customHeight="1" x14ac:dyDescent="0.2">
      <c r="B93" s="45" t="str">
        <f>IF(COUNTIF(J85:J94,"Cement Supplement Delivery to Silo")&gt;0,"EP-3 Cement Supplement Silo Stack:","")</f>
        <v/>
      </c>
      <c r="C93" s="221"/>
      <c r="D93" s="221"/>
      <c r="E93" s="221"/>
      <c r="F93" s="221"/>
      <c r="G93" s="45"/>
      <c r="H93" s="127" t="str">
        <f t="shared" si="28"/>
        <v/>
      </c>
      <c r="I93" s="127" t="str">
        <f t="shared" si="27"/>
        <v/>
      </c>
      <c r="J93" s="82"/>
      <c r="K93" s="61"/>
      <c r="L93" s="156"/>
      <c r="M93" s="219" t="str">
        <f t="shared" si="29"/>
        <v/>
      </c>
      <c r="N93" s="219" t="str">
        <f t="shared" si="30"/>
        <v/>
      </c>
    </row>
    <row r="94" spans="2:14" ht="14.25" customHeight="1" x14ac:dyDescent="0.2">
      <c r="B94" s="45" t="str">
        <f>IF(COUNTIF(J85:J94,"Weigh Hopper Loading")&gt;0,"EP-4 Weigh Hopper Loading Stack:","")</f>
        <v/>
      </c>
      <c r="C94" s="221"/>
      <c r="D94" s="221"/>
      <c r="E94" s="221"/>
      <c r="F94" s="221"/>
      <c r="G94" s="45"/>
      <c r="H94" s="127" t="str">
        <f t="shared" si="28"/>
        <v/>
      </c>
      <c r="I94" s="127" t="str">
        <f t="shared" si="27"/>
        <v/>
      </c>
      <c r="J94" s="82"/>
      <c r="K94" s="61"/>
      <c r="L94" s="156"/>
      <c r="M94" s="219" t="str">
        <f t="shared" si="29"/>
        <v/>
      </c>
      <c r="N94" s="219" t="str">
        <f t="shared" si="30"/>
        <v/>
      </c>
    </row>
    <row r="95" spans="2:14" ht="14.25" customHeight="1" x14ac:dyDescent="0.2">
      <c r="B95" s="45" t="str">
        <f>IF(COUNTIF(J85:J94,"Truck Mix Loading")&gt;0,"EP-5 Truck Mix Loading Stack:","")</f>
        <v/>
      </c>
      <c r="C95" s="221"/>
      <c r="D95" s="221"/>
      <c r="E95" s="221"/>
      <c r="F95" s="221"/>
      <c r="G95" s="45"/>
      <c r="H95" s="45"/>
      <c r="I95" s="45"/>
    </row>
    <row r="96" spans="2:14" ht="14.25" customHeight="1" x14ac:dyDescent="0.2">
      <c r="B96" s="45" t="str">
        <f>IF(COUNTIF(J85:J94,"Central Mix Loading")&gt;0,"EP-6 Central Mix Loading Stack:","")</f>
        <v/>
      </c>
      <c r="C96" s="221"/>
      <c r="D96" s="221"/>
      <c r="E96" s="221"/>
      <c r="F96" s="221"/>
      <c r="G96" s="45"/>
      <c r="H96" s="74" t="str">
        <f>IF('Concrete Plant (CP-8)'!$D$4&gt;4,"Stock Pile Area","")</f>
        <v/>
      </c>
      <c r="I96" s="74"/>
      <c r="J96" s="75"/>
    </row>
    <row r="97" spans="2:14" ht="14.25" customHeight="1" x14ac:dyDescent="0.2">
      <c r="B97" s="73"/>
      <c r="C97" s="163"/>
      <c r="D97" s="163"/>
      <c r="E97" s="163"/>
      <c r="F97" s="176"/>
      <c r="G97" s="45"/>
      <c r="I97" s="51" t="str">
        <f>IF('Concrete Plant (CP-8)'!$D$4&gt;4,"Emission Unit #","")</f>
        <v/>
      </c>
      <c r="J97" s="80" t="str">
        <f>IF('Concrete Plant (CP-8)'!$D$4&gt;4,"Maximum Storage Area (acres)","")</f>
        <v/>
      </c>
      <c r="K97" s="81" t="str">
        <f>IF('Concrete Plant (CP-8)'!$D$4&gt;4,"Actual Storage Area (acres)","")</f>
        <v/>
      </c>
      <c r="L97" s="80" t="str">
        <f>IF('Concrete Plant (CP-8)'!$D$4&gt;4,"Actual Days in Existence (days)","")</f>
        <v/>
      </c>
      <c r="M97" s="146"/>
      <c r="N97" s="146"/>
    </row>
    <row r="98" spans="2:14" ht="14.25" customHeight="1" x14ac:dyDescent="0.2">
      <c r="B98" s="73"/>
      <c r="C98" s="163"/>
      <c r="D98" s="163"/>
      <c r="E98" s="163"/>
      <c r="F98" s="176"/>
      <c r="G98" s="45"/>
      <c r="I98" s="62"/>
      <c r="J98" s="144"/>
      <c r="K98" s="66"/>
      <c r="L98" s="144"/>
      <c r="M98" s="146"/>
      <c r="N98" s="146"/>
    </row>
    <row r="99" spans="2:14" ht="14.25" customHeight="1" x14ac:dyDescent="0.2">
      <c r="B99" s="73"/>
      <c r="C99" s="163"/>
      <c r="D99" s="163"/>
      <c r="E99" s="163"/>
      <c r="F99" s="176"/>
      <c r="G99" s="45"/>
      <c r="H99" s="45"/>
    </row>
    <row r="100" spans="2:14" ht="14.25" customHeight="1" x14ac:dyDescent="0.2">
      <c r="F100" s="177"/>
    </row>
    <row r="101" spans="2:14" ht="30" customHeight="1" x14ac:dyDescent="0.25">
      <c r="B101" s="78" t="str">
        <f>IF('Concrete Plant (CP-8)'!$D$4&gt;5,"Batch Plant","")</f>
        <v/>
      </c>
      <c r="C101" s="71" t="str">
        <f>IF('Concrete Plant (CP-8)'!$D$4&gt;5,"Site 6","")</f>
        <v/>
      </c>
      <c r="D101" s="71"/>
      <c r="E101" s="71"/>
      <c r="F101" s="71"/>
      <c r="G101" s="45"/>
      <c r="H101" s="310" t="str">
        <f>IF('Concrete Plant (CP-8)'!$D$4&gt;5,"Emission Point #","")</f>
        <v/>
      </c>
      <c r="I101" s="310" t="str">
        <f>IF('Concrete Plant (CP-8)'!$D$4&gt;5,"Emission     Unit #","")</f>
        <v/>
      </c>
      <c r="J101" s="310" t="str">
        <f>IF('Concrete Plant (CP-8)'!$D$4&gt;5,"Processes","")</f>
        <v/>
      </c>
      <c r="K101" s="311" t="str">
        <f>IF('Concrete Plant (CP-8)'!$D$4&gt;5,"Combined Maximum Hourly Design Rate for all Like Processes (cubic yard/hr)","")</f>
        <v/>
      </c>
      <c r="L101" s="310" t="str">
        <f>IF('Concrete Plant (CP-8)'!$D$4&gt;5,('Facility Information'!G5&amp;" Annual Throughput (cubic yards)"),"")</f>
        <v/>
      </c>
      <c r="M101" s="217"/>
      <c r="N101" s="217"/>
    </row>
    <row r="102" spans="2:14" ht="14.25" customHeight="1" x14ac:dyDescent="0.2">
      <c r="B102" s="79" t="str">
        <f>IF('Concrete Plant (CP-8)'!$D$4&gt;5,"Site Name:","")</f>
        <v/>
      </c>
      <c r="C102" s="349"/>
      <c r="D102" s="356"/>
      <c r="E102" s="357"/>
      <c r="F102" s="175"/>
      <c r="G102" s="76"/>
      <c r="H102" s="127" t="str">
        <f>IF(J102="cement delivery to silo","CP-1 EP-2",IF(J102="cement supplement delivery to silo","CP-1 EP-3",IF(J102="weigh hopper loading","CP-1 EP-4",IF(J102="truck mix loading","CP-1 EP-5",IF(J102="central mix loading","CP-1 EP-6",IF(J102="","","CP-1 EP-1"))))))</f>
        <v/>
      </c>
      <c r="I102" s="127" t="str">
        <f t="shared" ref="I102:I111" si="31">IF(J102="","",IF(J102="aggregate delivery to ground storage","CP-8 EU-1",IF(J102="sand delivery to ground storage","CP-8 EU-2",IF(J102="aggregate transfer to conveyor","CP-8 EU-3",IF(J102="sand transfer to conveyor","CP-8 EU-4",IF(J102="aggregate transfer to elevated storage","CP-8 EU-5",IF(J102="sand transfer to elevated storage","CP-8 EU-6",IF(J102="weigh hopper loading","CP-8 EU-7",IF(J102="central mix loading","CP-8 EU-8",IF(J102="truck mix loading","CP-8 EU-9",IF(J102="cement delivery to silo","CP-8 EU-10",IF(J102="cement supplement delivery to silo","CP-8 EU-11"))))))))))))</f>
        <v/>
      </c>
      <c r="J102" s="82"/>
      <c r="K102" s="61"/>
      <c r="L102" s="156"/>
      <c r="M102" s="219" t="str">
        <f>IF(J102="truck mix loading",IF($F$105="yes",L102*0.05/2000,L102/2000),"")</f>
        <v/>
      </c>
      <c r="N102" s="219" t="str">
        <f>IF(J102="central mix loading",IF($F$105="yes",L102*0.05/2000,L102/2000),"")</f>
        <v/>
      </c>
    </row>
    <row r="103" spans="2:14" ht="14.25" customHeight="1" x14ac:dyDescent="0.2">
      <c r="B103" s="79" t="str">
        <f>IF('Concrete Plant (CP-8)'!$D$4&gt;5,"County:","")</f>
        <v/>
      </c>
      <c r="C103" s="339"/>
      <c r="D103" s="342"/>
      <c r="E103" s="343"/>
      <c r="F103" s="175"/>
      <c r="H103" s="127" t="str">
        <f t="shared" ref="H103:H111" si="32">IF(J103="cement delivery to silo","CP-1 EP-2",IF(J103="cement supplement delivery to silo","CP-1 EP-3",IF(J103="weigh hopper loading","CP-1 EP-4",IF(J103="truck mix loading","CP-1 EP-5",IF(J103="central mix loading","CP-1 EP-6",IF(J103="","","CP-1 EP-1"))))))</f>
        <v/>
      </c>
      <c r="I103" s="127" t="str">
        <f t="shared" si="31"/>
        <v/>
      </c>
      <c r="J103" s="82"/>
      <c r="K103" s="61"/>
      <c r="L103" s="156"/>
      <c r="M103" s="219" t="str">
        <f t="shared" ref="M103:M111" si="33">IF(J103="truck mix loading",IF($F$105="yes",L103*0.05/2000,L103/2000),"")</f>
        <v/>
      </c>
      <c r="N103" s="219" t="str">
        <f t="shared" ref="N103:N111" si="34">IF(J103="central mix loading",IF($F$105="yes",L103*0.05/2000,L103/2000),"")</f>
        <v/>
      </c>
    </row>
    <row r="104" spans="2:14" ht="14.25" customHeight="1" x14ac:dyDescent="0.2">
      <c r="B104" s="79" t="str">
        <f>IF('Concrete Plant (CP-8)'!$D$4&gt;5,"Batching Period (Dates):","")</f>
        <v/>
      </c>
      <c r="C104" s="352"/>
      <c r="D104" s="358"/>
      <c r="E104" s="359"/>
      <c r="F104" s="175"/>
      <c r="H104" s="127" t="str">
        <f t="shared" si="32"/>
        <v/>
      </c>
      <c r="I104" s="127" t="str">
        <f t="shared" si="31"/>
        <v/>
      </c>
      <c r="J104" s="82"/>
      <c r="K104" s="61"/>
      <c r="L104" s="156"/>
      <c r="M104" s="219" t="str">
        <f t="shared" si="33"/>
        <v/>
      </c>
      <c r="N104" s="219" t="str">
        <f t="shared" si="34"/>
        <v/>
      </c>
    </row>
    <row r="105" spans="2:14" ht="14.25" customHeight="1" x14ac:dyDescent="0.2">
      <c r="B105" s="51" t="str">
        <f>IF(OR(COUNTIF(J102:J111,"Truck Mix Loading")&gt;0,(COUNTIF(J102:J111,"Central Mix Loading")&gt;0)),"Is the Central/Truck Mix Loading process controlled by a baghouse?","")</f>
        <v/>
      </c>
      <c r="C105" s="51"/>
      <c r="D105" s="51"/>
      <c r="E105" s="51"/>
      <c r="F105" s="221"/>
      <c r="H105" s="127" t="str">
        <f t="shared" si="32"/>
        <v/>
      </c>
      <c r="I105" s="127" t="str">
        <f t="shared" si="31"/>
        <v/>
      </c>
      <c r="J105" s="82"/>
      <c r="K105" s="61"/>
      <c r="L105" s="156"/>
      <c r="M105" s="219" t="str">
        <f t="shared" si="33"/>
        <v/>
      </c>
      <c r="N105" s="219" t="str">
        <f t="shared" si="34"/>
        <v/>
      </c>
    </row>
    <row r="106" spans="2:14" ht="14.25" customHeight="1" x14ac:dyDescent="0.2">
      <c r="F106" s="177"/>
      <c r="H106" s="127" t="str">
        <f t="shared" si="32"/>
        <v/>
      </c>
      <c r="I106" s="127" t="str">
        <f t="shared" si="31"/>
        <v/>
      </c>
      <c r="J106" s="82"/>
      <c r="K106" s="61"/>
      <c r="L106" s="156"/>
      <c r="M106" s="219" t="str">
        <f t="shared" si="33"/>
        <v/>
      </c>
      <c r="N106" s="219" t="str">
        <f t="shared" si="34"/>
        <v/>
      </c>
    </row>
    <row r="107" spans="2:14" ht="29.25" customHeight="1" x14ac:dyDescent="0.2">
      <c r="B107" s="312" t="str">
        <f>IF(AND(B109="",B110="",B111="",B112="",B113=""),"","Process (complete stack information if applicable):")</f>
        <v/>
      </c>
      <c r="C107" s="312" t="str">
        <f>IF(AND(B109="",B110="",B111="",B112="",B113=""),"","Stack Height (ft):")</f>
        <v/>
      </c>
      <c r="D107" s="312" t="str">
        <f>IF(AND(B109="",B110="",B111="",B112="",B113=""),"","Stack Diameter (inches):")</f>
        <v/>
      </c>
      <c r="E107" s="312" t="str">
        <f>IF(AND(B109="",B110="",B111="",B112="",B113=""),"","Flow Rate (acfm):")</f>
        <v/>
      </c>
      <c r="F107" s="312" t="str">
        <f>IF(AND(B109="",B110="",B111="",B112="",B113=""),"","Temp (Deg F):")</f>
        <v/>
      </c>
      <c r="G107" s="45"/>
      <c r="H107" s="127" t="str">
        <f t="shared" si="32"/>
        <v/>
      </c>
      <c r="I107" s="127" t="str">
        <f t="shared" si="31"/>
        <v/>
      </c>
      <c r="J107" s="82"/>
      <c r="K107" s="61"/>
      <c r="L107" s="156"/>
      <c r="M107" s="219" t="str">
        <f t="shared" si="33"/>
        <v/>
      </c>
      <c r="N107" s="219" t="str">
        <f t="shared" si="34"/>
        <v/>
      </c>
    </row>
    <row r="108" spans="2:14" ht="14.25" customHeight="1" x14ac:dyDescent="0.2">
      <c r="B108" s="312"/>
      <c r="C108" s="312"/>
      <c r="D108" s="312"/>
      <c r="E108" s="312"/>
      <c r="F108" s="312"/>
      <c r="G108" s="45"/>
      <c r="H108" s="127" t="str">
        <f t="shared" si="32"/>
        <v/>
      </c>
      <c r="I108" s="127" t="str">
        <f t="shared" si="31"/>
        <v/>
      </c>
      <c r="J108" s="82"/>
      <c r="K108" s="61"/>
      <c r="L108" s="156"/>
      <c r="M108" s="219" t="str">
        <f t="shared" si="33"/>
        <v/>
      </c>
      <c r="N108" s="219" t="str">
        <f t="shared" si="34"/>
        <v/>
      </c>
    </row>
    <row r="109" spans="2:14" ht="14.25" customHeight="1" x14ac:dyDescent="0.2">
      <c r="B109" s="45" t="str">
        <f>IF(COUNTIF(J102:J111,"Cement Delivery to Silo")&gt;0,"EP-2 Cement Silo Stack:","")</f>
        <v/>
      </c>
      <c r="C109" s="221"/>
      <c r="D109" s="221"/>
      <c r="E109" s="221"/>
      <c r="F109" s="221"/>
      <c r="G109" s="45"/>
      <c r="H109" s="127" t="str">
        <f t="shared" si="32"/>
        <v/>
      </c>
      <c r="I109" s="127" t="str">
        <f t="shared" si="31"/>
        <v/>
      </c>
      <c r="J109" s="82"/>
      <c r="K109" s="61"/>
      <c r="L109" s="156"/>
      <c r="M109" s="219" t="str">
        <f t="shared" si="33"/>
        <v/>
      </c>
      <c r="N109" s="219" t="str">
        <f t="shared" si="34"/>
        <v/>
      </c>
    </row>
    <row r="110" spans="2:14" ht="14.25" customHeight="1" x14ac:dyDescent="0.2">
      <c r="B110" s="45" t="str">
        <f>IF(COUNTIF(J102:J111,"Cement Supplement Delivery to Silo")&gt;0,"EP-3 Cement Supplement Silo Stack:","")</f>
        <v/>
      </c>
      <c r="C110" s="221"/>
      <c r="D110" s="221"/>
      <c r="E110" s="221"/>
      <c r="F110" s="221"/>
      <c r="G110" s="45"/>
      <c r="H110" s="127" t="str">
        <f t="shared" si="32"/>
        <v/>
      </c>
      <c r="I110" s="127" t="str">
        <f t="shared" si="31"/>
        <v/>
      </c>
      <c r="J110" s="82"/>
      <c r="K110" s="61"/>
      <c r="L110" s="156"/>
      <c r="M110" s="219" t="str">
        <f t="shared" si="33"/>
        <v/>
      </c>
      <c r="N110" s="219" t="str">
        <f t="shared" si="34"/>
        <v/>
      </c>
    </row>
    <row r="111" spans="2:14" ht="14.25" customHeight="1" x14ac:dyDescent="0.2">
      <c r="B111" s="45" t="str">
        <f>IF(COUNTIF(J102:J111,"Weigh Hopper Loading")&gt;0,"EP-4 Weigh Hopper Loading Stack:","")</f>
        <v/>
      </c>
      <c r="C111" s="221"/>
      <c r="D111" s="221"/>
      <c r="E111" s="221"/>
      <c r="F111" s="221"/>
      <c r="G111" s="45"/>
      <c r="H111" s="127" t="str">
        <f t="shared" si="32"/>
        <v/>
      </c>
      <c r="I111" s="127" t="str">
        <f t="shared" si="31"/>
        <v/>
      </c>
      <c r="J111" s="82"/>
      <c r="K111" s="61"/>
      <c r="L111" s="156"/>
      <c r="M111" s="219" t="str">
        <f t="shared" si="33"/>
        <v/>
      </c>
      <c r="N111" s="219" t="str">
        <f t="shared" si="34"/>
        <v/>
      </c>
    </row>
    <row r="112" spans="2:14" ht="14.25" customHeight="1" x14ac:dyDescent="0.2">
      <c r="B112" s="45" t="str">
        <f>IF(COUNTIF(J102:J111,"Truck Mix Loading")&gt;0,"EP-5 Truck Mix Loading Stack:","")</f>
        <v/>
      </c>
      <c r="C112" s="221"/>
      <c r="D112" s="221"/>
      <c r="E112" s="221"/>
      <c r="F112" s="221"/>
      <c r="G112" s="45"/>
      <c r="H112" s="45"/>
      <c r="I112" s="45"/>
    </row>
    <row r="113" spans="2:14" ht="14.25" customHeight="1" x14ac:dyDescent="0.2">
      <c r="B113" s="45" t="str">
        <f>IF(COUNTIF(J102:J111,"Central Mix Loading")&gt;0,"EP-6 Central Mix Loading Stack:","")</f>
        <v/>
      </c>
      <c r="C113" s="221"/>
      <c r="D113" s="221"/>
      <c r="E113" s="221"/>
      <c r="F113" s="221"/>
      <c r="G113" s="45"/>
      <c r="H113" s="74" t="str">
        <f>IF('Concrete Plant (CP-8)'!$D$4&gt;5,"Stock Pile Area","")</f>
        <v/>
      </c>
      <c r="I113" s="74"/>
      <c r="J113" s="75"/>
    </row>
    <row r="114" spans="2:14" ht="14.25" customHeight="1" x14ac:dyDescent="0.2">
      <c r="B114" s="73"/>
      <c r="C114" s="163"/>
      <c r="D114" s="163"/>
      <c r="E114" s="163"/>
      <c r="F114" s="176"/>
      <c r="G114" s="45"/>
      <c r="I114" s="51" t="str">
        <f>IF('Concrete Plant (CP-8)'!$D$4&gt;5,"Emission Unit #","")</f>
        <v/>
      </c>
      <c r="J114" s="80" t="str">
        <f>IF('Concrete Plant (CP-8)'!$D$4&gt;5,"Maximum Storage Area (acres)","")</f>
        <v/>
      </c>
      <c r="K114" s="81" t="str">
        <f>IF('Concrete Plant (CP-8)'!$D$4&gt;5,"Actual Storage Area (acres)","")</f>
        <v/>
      </c>
      <c r="L114" s="80" t="str">
        <f>IF('Concrete Plant (CP-8)'!$D$4&gt;5,"Actual Days in Existence (days)","")</f>
        <v/>
      </c>
      <c r="M114" s="146"/>
      <c r="N114" s="146"/>
    </row>
    <row r="115" spans="2:14" ht="14.25" customHeight="1" x14ac:dyDescent="0.2">
      <c r="B115" s="73"/>
      <c r="C115" s="163"/>
      <c r="D115" s="163"/>
      <c r="E115" s="163"/>
      <c r="F115" s="176"/>
      <c r="G115" s="45"/>
      <c r="I115" s="65"/>
      <c r="J115" s="144"/>
      <c r="K115" s="66"/>
      <c r="L115" s="144"/>
      <c r="M115" s="146"/>
      <c r="N115" s="146"/>
    </row>
    <row r="116" spans="2:14" ht="14.25" customHeight="1" x14ac:dyDescent="0.2">
      <c r="B116" s="73"/>
      <c r="C116" s="163"/>
      <c r="D116" s="163"/>
      <c r="E116" s="163"/>
      <c r="F116" s="176"/>
      <c r="G116" s="45"/>
      <c r="I116" s="139"/>
      <c r="J116" s="125"/>
      <c r="K116" s="125"/>
      <c r="L116" s="125"/>
      <c r="M116" s="146"/>
      <c r="N116" s="146"/>
    </row>
    <row r="117" spans="2:14" ht="30" customHeight="1" x14ac:dyDescent="0.25">
      <c r="B117" s="78" t="str">
        <f>IF('Concrete Plant (CP-8)'!$D$4&gt;6,"Batch Plant","")</f>
        <v/>
      </c>
      <c r="C117" s="71" t="str">
        <f>IF('Concrete Plant (CP-8)'!$D$4&gt;6,"Site 7","")</f>
        <v/>
      </c>
      <c r="D117" s="71"/>
      <c r="E117" s="71"/>
      <c r="F117" s="71"/>
      <c r="G117" s="76"/>
      <c r="H117" s="310" t="str">
        <f>IF('Concrete Plant (CP-8)'!$D$4&gt;6,"Emission Point #","")</f>
        <v/>
      </c>
      <c r="I117" s="310" t="str">
        <f>IF('Concrete Plant (CP-8)'!$D$4&gt;6,"Emission     Unit #","")</f>
        <v/>
      </c>
      <c r="J117" s="310" t="str">
        <f>IF('Concrete Plant (CP-8)'!$D$4&gt;6,"Processes","")</f>
        <v/>
      </c>
      <c r="K117" s="311" t="str">
        <f>IF('Concrete Plant (CP-8)'!$D$4&gt;6,"Combined Maximum Hourly Design Rate for all Like Processes (cubic yard/hr)","")</f>
        <v/>
      </c>
      <c r="L117" s="310" t="str">
        <f>IF('Concrete Plant (CP-8)'!$D$4&gt;6,('Facility Information'!G5&amp;" Annual Throughput (cubic yards)"),"")</f>
        <v/>
      </c>
      <c r="M117" s="217"/>
      <c r="N117" s="217"/>
    </row>
    <row r="118" spans="2:14" ht="14.25" customHeight="1" x14ac:dyDescent="0.2">
      <c r="B118" s="79" t="str">
        <f>IF('Concrete Plant (CP-8)'!$D$4&gt;6,"Site Name:","")</f>
        <v/>
      </c>
      <c r="C118" s="349"/>
      <c r="D118" s="356"/>
      <c r="E118" s="357"/>
      <c r="F118" s="175"/>
      <c r="H118" s="127" t="str">
        <f>IF(J118="cement delivery to silo","CP-1 EP-2",IF(J118="cement supplement delivery to silo","CP-1 EP-3",IF(J118="weigh hopper loading","CP-1 EP-4",IF(J118="truck mix loading","CP-1 EP-5",IF(J118="central mix loading","CP-1 EP-6",IF(J118="","","CP-1 EP-1"))))))</f>
        <v/>
      </c>
      <c r="I118" s="127" t="str">
        <f t="shared" ref="I118:I127" si="35">IF(J118="","",IF(J118="aggregate delivery to ground storage","CP-8 EU-1",IF(J118="sand delivery to ground storage","CP-8 EU-2",IF(J118="aggregate transfer to conveyor","CP-8 EU-3",IF(J118="sand transfer to conveyor","CP-8 EU-4",IF(J118="aggregate transfer to elevated storage","CP-8 EU-5",IF(J118="sand transfer to elevated storage","CP-8 EU-6",IF(J118="weigh hopper loading","CP-8 EU-7",IF(J118="central mix loading","CP-8 EU-8",IF(J118="truck mix loading","CP-8 EU-9",IF(J118="cement delivery to silo","CP-8 EU-10",IF(J118="cement supplement delivery to silo","CP-8 EU-11"))))))))))))</f>
        <v/>
      </c>
      <c r="J118" s="82"/>
      <c r="K118" s="61"/>
      <c r="L118" s="156"/>
      <c r="M118" s="219" t="str">
        <f>IF(J118="truck mix loading",IF($F$121="yes",L118*0.05/2000,L118/2000),"")</f>
        <v/>
      </c>
      <c r="N118" s="219" t="str">
        <f>IF(J118="central mix loading",IF($F$121="yes",L118*0.05/2000,L118/2000),"")</f>
        <v/>
      </c>
    </row>
    <row r="119" spans="2:14" ht="14.25" customHeight="1" x14ac:dyDescent="0.2">
      <c r="B119" s="79" t="str">
        <f>IF('Concrete Plant (CP-8)'!$D$4&gt;6,"County:","")</f>
        <v/>
      </c>
      <c r="C119" s="339"/>
      <c r="D119" s="342"/>
      <c r="E119" s="343"/>
      <c r="F119" s="175"/>
      <c r="H119" s="127" t="str">
        <f t="shared" ref="H119:H127" si="36">IF(J119="cement delivery to silo","CP-1 EP-2",IF(J119="cement supplement delivery to silo","CP-1 EP-3",IF(J119="weigh hopper loading","CP-1 EP-4",IF(J119="truck mix loading","CP-1 EP-5",IF(J119="central mix loading","CP-1 EP-6",IF(J119="","","CP-1 EP-1"))))))</f>
        <v/>
      </c>
      <c r="I119" s="127" t="str">
        <f t="shared" si="35"/>
        <v/>
      </c>
      <c r="J119" s="82"/>
      <c r="K119" s="61"/>
      <c r="L119" s="156"/>
      <c r="M119" s="219" t="str">
        <f t="shared" ref="M119:M127" si="37">IF(J119="truck mix loading",IF($F$121="yes",L119*0.05/2000,L119/2000),"")</f>
        <v/>
      </c>
      <c r="N119" s="219" t="str">
        <f t="shared" ref="N119:N127" si="38">IF(J119="central mix loading",IF($F$121="yes",L119*0.05/2000,L119/2000),"")</f>
        <v/>
      </c>
    </row>
    <row r="120" spans="2:14" ht="14.25" customHeight="1" x14ac:dyDescent="0.2">
      <c r="B120" s="79" t="str">
        <f>IF('Concrete Plant (CP-8)'!$D$4&gt;6,"Batching Period (Dates):","")</f>
        <v/>
      </c>
      <c r="C120" s="352"/>
      <c r="D120" s="358"/>
      <c r="E120" s="359"/>
      <c r="F120" s="175"/>
      <c r="H120" s="127" t="str">
        <f t="shared" si="36"/>
        <v/>
      </c>
      <c r="I120" s="127" t="str">
        <f t="shared" si="35"/>
        <v/>
      </c>
      <c r="J120" s="82"/>
      <c r="K120" s="61"/>
      <c r="L120" s="156"/>
      <c r="M120" s="219" t="str">
        <f t="shared" si="37"/>
        <v/>
      </c>
      <c r="N120" s="219" t="str">
        <f t="shared" si="38"/>
        <v/>
      </c>
    </row>
    <row r="121" spans="2:14" ht="14.25" customHeight="1" x14ac:dyDescent="0.2">
      <c r="B121" s="51" t="str">
        <f>IF(OR(COUNTIF(J118:J127,"Truck Mix Loading")&gt;0,(COUNTIF(J118:J127,"Central Mix Loading")&gt;0)),"Is the Central/Truck Mix Loading process controlled by a baghouse?","")</f>
        <v/>
      </c>
      <c r="C121" s="51"/>
      <c r="D121" s="51"/>
      <c r="E121" s="51"/>
      <c r="F121" s="221"/>
      <c r="G121" s="45"/>
      <c r="H121" s="127" t="str">
        <f t="shared" si="36"/>
        <v/>
      </c>
      <c r="I121" s="127" t="str">
        <f t="shared" si="35"/>
        <v/>
      </c>
      <c r="J121" s="82"/>
      <c r="K121" s="61"/>
      <c r="L121" s="156"/>
      <c r="M121" s="219" t="str">
        <f t="shared" si="37"/>
        <v/>
      </c>
      <c r="N121" s="219" t="str">
        <f t="shared" si="38"/>
        <v/>
      </c>
    </row>
    <row r="122" spans="2:14" ht="14.25" customHeight="1" x14ac:dyDescent="0.2">
      <c r="F122" s="177"/>
      <c r="G122" s="45"/>
      <c r="H122" s="127" t="str">
        <f t="shared" si="36"/>
        <v/>
      </c>
      <c r="I122" s="127" t="str">
        <f t="shared" si="35"/>
        <v/>
      </c>
      <c r="J122" s="82"/>
      <c r="K122" s="61"/>
      <c r="L122" s="156"/>
      <c r="M122" s="219" t="str">
        <f t="shared" si="37"/>
        <v/>
      </c>
      <c r="N122" s="219" t="str">
        <f t="shared" si="38"/>
        <v/>
      </c>
    </row>
    <row r="123" spans="2:14" ht="27.75" customHeight="1" x14ac:dyDescent="0.2">
      <c r="B123" s="312" t="str">
        <f>IF(AND(B125="",B126="",B127="",B128="",B129=""),"","Process (complete stack information if applicable):")</f>
        <v/>
      </c>
      <c r="C123" s="312" t="str">
        <f>IF(AND(B125="",B126="",B127="",B128="",B129=""),"","Stack Height (ft):")</f>
        <v/>
      </c>
      <c r="D123" s="312" t="str">
        <f>IF(AND(B125="",B126="",B127="",B128="",B129=""),"","Stack Diameter (inches):")</f>
        <v/>
      </c>
      <c r="E123" s="312" t="str">
        <f>IF(AND(B125="",B126="",B127="",B128="",B129=""),"","Flow Rate (acfm):")</f>
        <v/>
      </c>
      <c r="F123" s="312" t="str">
        <f>IF(AND(B125="",B126="",B127="",B128="",B129=""),"","Temp (Deg F):")</f>
        <v/>
      </c>
      <c r="G123" s="45"/>
      <c r="H123" s="127" t="str">
        <f t="shared" si="36"/>
        <v/>
      </c>
      <c r="I123" s="127" t="str">
        <f t="shared" si="35"/>
        <v/>
      </c>
      <c r="J123" s="82"/>
      <c r="K123" s="61"/>
      <c r="L123" s="156"/>
      <c r="M123" s="219" t="str">
        <f t="shared" si="37"/>
        <v/>
      </c>
      <c r="N123" s="219" t="str">
        <f t="shared" si="38"/>
        <v/>
      </c>
    </row>
    <row r="124" spans="2:14" ht="14.25" customHeight="1" x14ac:dyDescent="0.2">
      <c r="B124" s="312"/>
      <c r="C124" s="312"/>
      <c r="D124" s="312"/>
      <c r="E124" s="312"/>
      <c r="F124" s="312"/>
      <c r="G124" s="45"/>
      <c r="H124" s="127" t="str">
        <f t="shared" si="36"/>
        <v/>
      </c>
      <c r="I124" s="127" t="str">
        <f t="shared" si="35"/>
        <v/>
      </c>
      <c r="J124" s="82"/>
      <c r="K124" s="61"/>
      <c r="L124" s="156"/>
      <c r="M124" s="219" t="str">
        <f t="shared" si="37"/>
        <v/>
      </c>
      <c r="N124" s="219" t="str">
        <f t="shared" si="38"/>
        <v/>
      </c>
    </row>
    <row r="125" spans="2:14" ht="14.25" customHeight="1" x14ac:dyDescent="0.2">
      <c r="B125" s="45" t="str">
        <f>IF(COUNTIF(J118:J127,"Cement Delivery to Silo")&gt;0,"EP-2 Cement Silo Stack:","")</f>
        <v/>
      </c>
      <c r="C125" s="221"/>
      <c r="D125" s="221"/>
      <c r="E125" s="221"/>
      <c r="F125" s="221"/>
      <c r="G125" s="45"/>
      <c r="H125" s="127" t="str">
        <f t="shared" si="36"/>
        <v/>
      </c>
      <c r="I125" s="127" t="str">
        <f t="shared" si="35"/>
        <v/>
      </c>
      <c r="J125" s="82"/>
      <c r="K125" s="61"/>
      <c r="L125" s="156"/>
      <c r="M125" s="219" t="str">
        <f t="shared" si="37"/>
        <v/>
      </c>
      <c r="N125" s="219" t="str">
        <f t="shared" si="38"/>
        <v/>
      </c>
    </row>
    <row r="126" spans="2:14" ht="14.25" customHeight="1" x14ac:dyDescent="0.2">
      <c r="B126" s="45" t="str">
        <f>IF(COUNTIF(J118:J127,"Cement Supplement Delivery to Silo")&gt;0,"EP-3 Cement Supplement Silo Stack:","")</f>
        <v/>
      </c>
      <c r="C126" s="221"/>
      <c r="D126" s="221"/>
      <c r="E126" s="221"/>
      <c r="F126" s="221"/>
      <c r="G126" s="45"/>
      <c r="H126" s="127" t="str">
        <f t="shared" si="36"/>
        <v/>
      </c>
      <c r="I126" s="127" t="str">
        <f t="shared" si="35"/>
        <v/>
      </c>
      <c r="J126" s="82"/>
      <c r="K126" s="61"/>
      <c r="L126" s="156"/>
      <c r="M126" s="219" t="str">
        <f t="shared" si="37"/>
        <v/>
      </c>
      <c r="N126" s="219" t="str">
        <f t="shared" si="38"/>
        <v/>
      </c>
    </row>
    <row r="127" spans="2:14" ht="14.25" customHeight="1" x14ac:dyDescent="0.2">
      <c r="B127" s="45" t="str">
        <f>IF(COUNTIF(J118:J127,"Weigh Hopper Loading")&gt;0,"EP-4 Weigh Hopper Loading Stack:","")</f>
        <v/>
      </c>
      <c r="C127" s="221"/>
      <c r="D127" s="221"/>
      <c r="E127" s="221"/>
      <c r="F127" s="221"/>
      <c r="G127" s="45"/>
      <c r="H127" s="127" t="str">
        <f t="shared" si="36"/>
        <v/>
      </c>
      <c r="I127" s="127" t="str">
        <f t="shared" si="35"/>
        <v/>
      </c>
      <c r="J127" s="82"/>
      <c r="K127" s="61"/>
      <c r="L127" s="156"/>
      <c r="M127" s="219" t="str">
        <f t="shared" si="37"/>
        <v/>
      </c>
      <c r="N127" s="219" t="str">
        <f t="shared" si="38"/>
        <v/>
      </c>
    </row>
    <row r="128" spans="2:14" ht="14.25" customHeight="1" x14ac:dyDescent="0.2">
      <c r="B128" s="45" t="str">
        <f>IF(COUNTIF(J118:J127,"Truck Mix Loading")&gt;0,"EP-5 Truck Mix Loading Stack:","")</f>
        <v/>
      </c>
      <c r="C128" s="221"/>
      <c r="D128" s="221"/>
      <c r="E128" s="221"/>
      <c r="F128" s="221"/>
      <c r="G128" s="45"/>
      <c r="H128" s="45"/>
      <c r="I128" s="45"/>
    </row>
    <row r="129" spans="2:14" ht="14.25" customHeight="1" x14ac:dyDescent="0.2">
      <c r="B129" s="45" t="str">
        <f>IF(COUNTIF(J118:J127,"Central Mix Loading")&gt;0,"EP-6 Central Mix Loading Stack:","")</f>
        <v/>
      </c>
      <c r="C129" s="221"/>
      <c r="D129" s="221"/>
      <c r="E129" s="221"/>
      <c r="F129" s="221"/>
      <c r="G129" s="45"/>
      <c r="H129" s="74" t="str">
        <f>IF('Concrete Plant (CP-8)'!$D$4&gt;6,"Stock Pile Area","")</f>
        <v/>
      </c>
      <c r="I129" s="74"/>
      <c r="J129" s="75"/>
    </row>
    <row r="130" spans="2:14" ht="14.25" customHeight="1" x14ac:dyDescent="0.2">
      <c r="B130" s="73"/>
      <c r="C130" s="163"/>
      <c r="D130" s="163"/>
      <c r="E130" s="163"/>
      <c r="F130" s="176"/>
      <c r="G130" s="45"/>
      <c r="I130" s="51" t="str">
        <f>IF('Concrete Plant (CP-8)'!$D$4&gt;6,"Emission Unit #","")</f>
        <v/>
      </c>
      <c r="J130" s="80" t="str">
        <f>IF('Concrete Plant (CP-8)'!$D$4&gt;6,"Maximum Storage Area (acres)","")</f>
        <v/>
      </c>
      <c r="K130" s="81" t="str">
        <f>IF('Concrete Plant (CP-8)'!$D$4&gt;6,"Actual Storage Area (acres)","")</f>
        <v/>
      </c>
      <c r="L130" s="80" t="str">
        <f>IF('Concrete Plant (CP-8)'!$D$4&gt;6,"Actual Days in Existence (days)","")</f>
        <v/>
      </c>
      <c r="M130" s="146"/>
      <c r="N130" s="146"/>
    </row>
    <row r="131" spans="2:14" ht="14.25" customHeight="1" x14ac:dyDescent="0.2">
      <c r="B131" s="73"/>
      <c r="C131" s="163"/>
      <c r="D131" s="163"/>
      <c r="E131" s="163"/>
      <c r="F131" s="176"/>
      <c r="I131" s="65"/>
      <c r="J131" s="144"/>
      <c r="K131" s="66"/>
      <c r="L131" s="144"/>
      <c r="M131" s="146"/>
      <c r="N131" s="146"/>
    </row>
    <row r="132" spans="2:14" ht="14.25" customHeight="1" x14ac:dyDescent="0.2">
      <c r="B132" s="73"/>
      <c r="C132" s="163"/>
      <c r="D132" s="163"/>
      <c r="E132" s="163"/>
      <c r="F132" s="176"/>
      <c r="G132" s="76"/>
    </row>
    <row r="133" spans="2:14" ht="27.75" customHeight="1" x14ac:dyDescent="0.25">
      <c r="B133" s="78" t="str">
        <f>IF('Concrete Plant (CP-8)'!$D$4&gt;7,"Batch Plant","")</f>
        <v/>
      </c>
      <c r="C133" s="70" t="str">
        <f>IF('Concrete Plant (CP-8)'!$D$4&gt;7,"Site 8","")</f>
        <v/>
      </c>
      <c r="D133" s="71"/>
      <c r="E133" s="71"/>
      <c r="F133" s="71"/>
      <c r="H133" s="310" t="str">
        <f>IF('Concrete Plant (CP-8)'!$D$4&gt;7,"Emission Point #","")</f>
        <v/>
      </c>
      <c r="I133" s="310" t="str">
        <f>IF('Concrete Plant (CP-8)'!$D$4&gt;7,"Emission     Unit #","")</f>
        <v/>
      </c>
      <c r="J133" s="310" t="str">
        <f>IF('Concrete Plant (CP-8)'!$D$4&gt;7,"Processes","")</f>
        <v/>
      </c>
      <c r="K133" s="311" t="str">
        <f>IF('Concrete Plant (CP-8)'!$D$4&gt;7,"Combined Maximum Hourly Design Rate for all Like Processes (cubic yard/hr)","")</f>
        <v/>
      </c>
      <c r="L133" s="310" t="str">
        <f>IF('Concrete Plant (CP-8)'!$D$4&gt;7,('Facility Information'!G5&amp;" Annual Throughput (cubic yards)"),"")</f>
        <v/>
      </c>
      <c r="M133" s="217"/>
      <c r="N133" s="217"/>
    </row>
    <row r="134" spans="2:14" ht="14.25" customHeight="1" x14ac:dyDescent="0.2">
      <c r="B134" s="79" t="str">
        <f>IF('Concrete Plant (CP-8)'!$D$4&gt;7,"Site Name:","")</f>
        <v/>
      </c>
      <c r="C134" s="339"/>
      <c r="D134" s="342"/>
      <c r="E134" s="343"/>
      <c r="F134" s="175"/>
      <c r="H134" s="127" t="str">
        <f>IF(J134="cement delivery to silo","CP-1 EP-2",IF(J134="cement supplement delivery to silo","CP-1 EP-3",IF(J134="weigh hopper loading","CP-1 EP-4",IF(J134="truck mix loading","CP-1 EP-5",IF(J134="central mix loading","CP-1 EP-6",IF(J134="","","CP-1 EP-1"))))))</f>
        <v/>
      </c>
      <c r="I134" s="127" t="str">
        <f t="shared" ref="I134:I143" si="39">IF(J134="","",IF(J134="aggregate delivery to ground storage","CP-8 EU-1",IF(J134="sand delivery to ground storage","CP-8 EU-2",IF(J134="aggregate transfer to conveyor","CP-8 EU-3",IF(J134="sand transfer to conveyor","CP-8 EU-4",IF(J134="aggregate transfer to elevated storage","CP-8 EU-5",IF(J134="sand transfer to elevated storage","CP-8 EU-6",IF(J134="weigh hopper loading","CP-8 EU-7",IF(J134="central mix loading","CP-8 EU-8",IF(J134="truck mix loading","CP-8 EU-9",IF(J134="cement delivery to silo","CP-8 EU-10",IF(J134="cement supplement delivery to silo","CP-8 EU-11"))))))))))))</f>
        <v/>
      </c>
      <c r="J134" s="82"/>
      <c r="K134" s="61"/>
      <c r="L134" s="156"/>
      <c r="M134" s="219" t="str">
        <f>IF(J134="truck mix loading",IF($F$137="yes",L134*0.05/2000,L134/2000),"")</f>
        <v/>
      </c>
      <c r="N134" s="219" t="str">
        <f>IF(J134="central mix loading",IF($F$137="yes",L134*0.05/2000,L134/2000),"")</f>
        <v/>
      </c>
    </row>
    <row r="135" spans="2:14" ht="14.25" customHeight="1" x14ac:dyDescent="0.2">
      <c r="B135" s="79" t="str">
        <f>IF('Concrete Plant (CP-8)'!$D$4&gt;7,"County:","")</f>
        <v/>
      </c>
      <c r="C135" s="339"/>
      <c r="D135" s="342"/>
      <c r="E135" s="343"/>
      <c r="F135" s="175"/>
      <c r="G135" s="45"/>
      <c r="H135" s="127" t="str">
        <f t="shared" ref="H135:H143" si="40">IF(J135="cement delivery to silo","CP-1 EP-2",IF(J135="cement supplement delivery to silo","CP-1 EP-3",IF(J135="weigh hopper loading","CP-1 EP-4",IF(J135="truck mix loading","CP-1 EP-5",IF(J135="central mix loading","CP-1 EP-6",IF(J135="","","CP-1 EP-1"))))))</f>
        <v/>
      </c>
      <c r="I135" s="127" t="str">
        <f t="shared" si="39"/>
        <v/>
      </c>
      <c r="J135" s="82"/>
      <c r="K135" s="61"/>
      <c r="L135" s="156"/>
      <c r="M135" s="219" t="str">
        <f t="shared" ref="M135:M143" si="41">IF(J135="truck mix loading",IF($F$137="yes",L135*0.05/2000,L135/2000),"")</f>
        <v/>
      </c>
      <c r="N135" s="219" t="str">
        <f t="shared" ref="N135:N143" si="42">IF(J135="central mix loading",IF($F$137="yes",L135*0.05/2000,L135/2000),"")</f>
        <v/>
      </c>
    </row>
    <row r="136" spans="2:14" ht="14.25" customHeight="1" x14ac:dyDescent="0.2">
      <c r="B136" s="79" t="str">
        <f>IF('Concrete Plant (CP-8)'!$D$4&gt;7,"Batching Period (Dates):","")</f>
        <v/>
      </c>
      <c r="C136" s="352"/>
      <c r="D136" s="358"/>
      <c r="E136" s="359"/>
      <c r="F136" s="175"/>
      <c r="G136" s="45"/>
      <c r="H136" s="127" t="str">
        <f t="shared" si="40"/>
        <v/>
      </c>
      <c r="I136" s="127" t="str">
        <f t="shared" si="39"/>
        <v/>
      </c>
      <c r="J136" s="82"/>
      <c r="K136" s="61"/>
      <c r="L136" s="156"/>
      <c r="M136" s="219" t="str">
        <f t="shared" si="41"/>
        <v/>
      </c>
      <c r="N136" s="219" t="str">
        <f t="shared" si="42"/>
        <v/>
      </c>
    </row>
    <row r="137" spans="2:14" ht="14.25" customHeight="1" x14ac:dyDescent="0.2">
      <c r="B137" s="51" t="str">
        <f>IF(OR(COUNTIF(J134:J143,"Truck Mix Loading")&gt;0,(COUNTIF(J134:J143,"Central Mix Loading")&gt;0)),"Is the Central/Truck Mix Loading process controlled by a baghouse?","")</f>
        <v/>
      </c>
      <c r="C137" s="51"/>
      <c r="D137" s="51"/>
      <c r="E137" s="51"/>
      <c r="F137" s="221"/>
      <c r="G137" s="45"/>
      <c r="H137" s="127" t="str">
        <f t="shared" si="40"/>
        <v/>
      </c>
      <c r="I137" s="127" t="str">
        <f t="shared" si="39"/>
        <v/>
      </c>
      <c r="J137" s="82"/>
      <c r="K137" s="61"/>
      <c r="L137" s="156"/>
      <c r="M137" s="219" t="str">
        <f t="shared" si="41"/>
        <v/>
      </c>
      <c r="N137" s="219" t="str">
        <f t="shared" si="42"/>
        <v/>
      </c>
    </row>
    <row r="138" spans="2:14" ht="14.25" customHeight="1" x14ac:dyDescent="0.2">
      <c r="F138" s="177"/>
      <c r="G138" s="45"/>
      <c r="H138" s="127" t="str">
        <f t="shared" si="40"/>
        <v/>
      </c>
      <c r="I138" s="127" t="str">
        <f t="shared" si="39"/>
        <v/>
      </c>
      <c r="J138" s="82"/>
      <c r="K138" s="61"/>
      <c r="L138" s="156"/>
      <c r="M138" s="219" t="str">
        <f t="shared" si="41"/>
        <v/>
      </c>
      <c r="N138" s="219" t="str">
        <f t="shared" si="42"/>
        <v/>
      </c>
    </row>
    <row r="139" spans="2:14" ht="27.75" customHeight="1" x14ac:dyDescent="0.2">
      <c r="B139" s="312" t="str">
        <f>IF(AND(B141="",B142="",B143="",B144="",B145=""),"","Process (complete stack information if applicable):")</f>
        <v/>
      </c>
      <c r="C139" s="312" t="str">
        <f>IF(AND(B141="",B142="",B143="",B144="",B145=""),"","Stack Height (ft):")</f>
        <v/>
      </c>
      <c r="D139" s="312" t="str">
        <f>IF(AND(B141="",B142="",B143="",B144="",B145=""),"","Stack Diameter (inches):")</f>
        <v/>
      </c>
      <c r="E139" s="312" t="str">
        <f>IF(AND(B141="",B142="",B143="",B144="",B145=""),"","Flow Rate (acfm):")</f>
        <v/>
      </c>
      <c r="F139" s="312" t="str">
        <f>IF(AND(B141="",B142="",B143="",B144="",B145=""),"","Temp (Deg F):")</f>
        <v/>
      </c>
      <c r="G139" s="45"/>
      <c r="H139" s="127" t="str">
        <f t="shared" si="40"/>
        <v/>
      </c>
      <c r="I139" s="127" t="str">
        <f t="shared" si="39"/>
        <v/>
      </c>
      <c r="J139" s="82"/>
      <c r="K139" s="61"/>
      <c r="L139" s="156"/>
      <c r="M139" s="219" t="str">
        <f t="shared" si="41"/>
        <v/>
      </c>
      <c r="N139" s="219" t="str">
        <f t="shared" si="42"/>
        <v/>
      </c>
    </row>
    <row r="140" spans="2:14" ht="14.25" customHeight="1" x14ac:dyDescent="0.2">
      <c r="B140" s="312"/>
      <c r="C140" s="312"/>
      <c r="D140" s="312"/>
      <c r="E140" s="312"/>
      <c r="F140" s="312"/>
      <c r="G140" s="45"/>
      <c r="H140" s="127" t="str">
        <f t="shared" si="40"/>
        <v/>
      </c>
      <c r="I140" s="127" t="str">
        <f t="shared" si="39"/>
        <v/>
      </c>
      <c r="J140" s="82"/>
      <c r="K140" s="61"/>
      <c r="L140" s="156"/>
      <c r="M140" s="219" t="str">
        <f t="shared" si="41"/>
        <v/>
      </c>
      <c r="N140" s="219" t="str">
        <f t="shared" si="42"/>
        <v/>
      </c>
    </row>
    <row r="141" spans="2:14" ht="14.25" customHeight="1" x14ac:dyDescent="0.2">
      <c r="B141" s="45" t="str">
        <f>IF(COUNTIF(J134:J143,"Cement Delivery to Silo")&gt;0,"EP-2 Cement Silo Stack:","")</f>
        <v/>
      </c>
      <c r="C141" s="221"/>
      <c r="D141" s="221"/>
      <c r="E141" s="221"/>
      <c r="F141" s="221"/>
      <c r="G141" s="45"/>
      <c r="H141" s="127" t="str">
        <f t="shared" si="40"/>
        <v/>
      </c>
      <c r="I141" s="127" t="str">
        <f t="shared" si="39"/>
        <v/>
      </c>
      <c r="J141" s="82"/>
      <c r="K141" s="61"/>
      <c r="L141" s="156"/>
      <c r="M141" s="219" t="str">
        <f t="shared" si="41"/>
        <v/>
      </c>
      <c r="N141" s="219" t="str">
        <f t="shared" si="42"/>
        <v/>
      </c>
    </row>
    <row r="142" spans="2:14" ht="14.25" customHeight="1" x14ac:dyDescent="0.2">
      <c r="B142" s="45" t="str">
        <f>IF(COUNTIF(J134:J143,"Cement Supplement Delivery to Silo")&gt;0,"EP-3 Cement Supplement Silo Stack:","")</f>
        <v/>
      </c>
      <c r="C142" s="221"/>
      <c r="D142" s="221"/>
      <c r="E142" s="221"/>
      <c r="F142" s="221"/>
      <c r="G142" s="45"/>
      <c r="H142" s="127" t="str">
        <f t="shared" si="40"/>
        <v/>
      </c>
      <c r="I142" s="127" t="str">
        <f t="shared" si="39"/>
        <v/>
      </c>
      <c r="J142" s="82"/>
      <c r="K142" s="61"/>
      <c r="L142" s="156"/>
      <c r="M142" s="219" t="str">
        <f t="shared" si="41"/>
        <v/>
      </c>
      <c r="N142" s="219" t="str">
        <f t="shared" si="42"/>
        <v/>
      </c>
    </row>
    <row r="143" spans="2:14" ht="14.25" customHeight="1" x14ac:dyDescent="0.2">
      <c r="B143" s="45" t="str">
        <f>IF(COUNTIF(J134:J143,"Weigh Hopper Loading")&gt;0,"EP-4 Weigh Hopper Loading Stack:","")</f>
        <v/>
      </c>
      <c r="C143" s="221"/>
      <c r="D143" s="221"/>
      <c r="E143" s="221"/>
      <c r="F143" s="221"/>
      <c r="G143" s="45"/>
      <c r="H143" s="127" t="str">
        <f t="shared" si="40"/>
        <v/>
      </c>
      <c r="I143" s="127" t="str">
        <f t="shared" si="39"/>
        <v/>
      </c>
      <c r="J143" s="82"/>
      <c r="K143" s="61"/>
      <c r="L143" s="156"/>
      <c r="M143" s="219" t="str">
        <f t="shared" si="41"/>
        <v/>
      </c>
      <c r="N143" s="219" t="str">
        <f t="shared" si="42"/>
        <v/>
      </c>
    </row>
    <row r="144" spans="2:14" ht="14.25" customHeight="1" x14ac:dyDescent="0.2">
      <c r="B144" s="45" t="str">
        <f>IF(COUNTIF(J134:J143,"Truck Mix Loading")&gt;0,"EP-5 Truck Mix Loading Stack:","")</f>
        <v/>
      </c>
      <c r="C144" s="221"/>
      <c r="D144" s="221"/>
      <c r="E144" s="221"/>
      <c r="F144" s="221"/>
      <c r="G144" s="45"/>
      <c r="H144" s="45"/>
      <c r="I144" s="45"/>
    </row>
    <row r="145" spans="2:14" ht="14.25" customHeight="1" x14ac:dyDescent="0.2">
      <c r="B145" s="45" t="str">
        <f>IF(COUNTIF(J134:J143,"Central Mix Loading")&gt;0,"EP-6 Central Mix Loading Stack:","")</f>
        <v/>
      </c>
      <c r="C145" s="221"/>
      <c r="D145" s="221"/>
      <c r="E145" s="221"/>
      <c r="F145" s="221"/>
      <c r="H145" s="74" t="str">
        <f>IF('Concrete Plant (CP-8)'!$D$4&gt;7,"Stock Pile Area","")</f>
        <v/>
      </c>
      <c r="I145" s="74"/>
      <c r="J145" s="75"/>
    </row>
    <row r="146" spans="2:14" ht="14.25" customHeight="1" x14ac:dyDescent="0.2">
      <c r="B146" s="73"/>
      <c r="C146" s="163"/>
      <c r="D146" s="163"/>
      <c r="E146" s="163"/>
      <c r="F146" s="176"/>
      <c r="G146" s="76"/>
      <c r="I146" s="51" t="str">
        <f>IF('Concrete Plant (CP-8)'!$D$4&gt;7,"Emission Unit #","")</f>
        <v/>
      </c>
      <c r="J146" s="80" t="str">
        <f>IF('Concrete Plant (CP-8)'!$D$4&gt;7,"Maximum Storage Area (acres)","")</f>
        <v/>
      </c>
      <c r="K146" s="81" t="str">
        <f>IF('Concrete Plant (CP-8)'!$D$4&gt;7,"Actual Storage Area (acres)","")</f>
        <v/>
      </c>
      <c r="L146" s="80" t="str">
        <f>IF('Concrete Plant (CP-8)'!$D$4&gt;7,"Actual Days in Existence (days)","")</f>
        <v/>
      </c>
      <c r="M146" s="146"/>
      <c r="N146" s="146"/>
    </row>
    <row r="147" spans="2:14" ht="14.25" customHeight="1" x14ac:dyDescent="0.2">
      <c r="B147" s="73"/>
      <c r="C147" s="163"/>
      <c r="D147" s="163"/>
      <c r="E147" s="163"/>
      <c r="F147" s="176"/>
      <c r="I147" s="65"/>
      <c r="J147" s="144"/>
      <c r="K147" s="66"/>
      <c r="L147" s="144"/>
      <c r="M147" s="146"/>
      <c r="N147" s="146"/>
    </row>
    <row r="148" spans="2:14" ht="14.25" customHeight="1" x14ac:dyDescent="0.2">
      <c r="B148" s="73"/>
      <c r="C148" s="163"/>
      <c r="D148" s="163"/>
      <c r="E148" s="163"/>
      <c r="F148" s="176"/>
    </row>
    <row r="149" spans="2:14" ht="29.25" customHeight="1" x14ac:dyDescent="0.25">
      <c r="B149" s="78" t="str">
        <f>IF('Concrete Plant (CP-8)'!$D$4&gt;8,"Batch Plant","")</f>
        <v/>
      </c>
      <c r="C149" s="71" t="str">
        <f>IF('Concrete Plant (CP-8)'!$D$4&gt;8,"Site 9","")</f>
        <v/>
      </c>
      <c r="D149" s="71"/>
      <c r="E149" s="71"/>
      <c r="F149" s="71"/>
      <c r="H149" s="310" t="str">
        <f>IF('Concrete Plant (CP-8)'!$D$4&gt;8,"Emission Point #","")</f>
        <v/>
      </c>
      <c r="I149" s="310" t="str">
        <f>IF('Concrete Plant (CP-8)'!$D$4&gt;8,"Emission     Unit #","")</f>
        <v/>
      </c>
      <c r="J149" s="310" t="str">
        <f>IF('Concrete Plant (CP-8)'!$D$4&gt;8,"Processes","")</f>
        <v/>
      </c>
      <c r="K149" s="311" t="str">
        <f>IF('Concrete Plant (CP-8)'!$D$4&gt;8,"Combined Maximum Hourly Design Rate for all Like Processes (cubic yard/hr)","")</f>
        <v/>
      </c>
      <c r="L149" s="310" t="str">
        <f>IF('Concrete Plant (CP-8)'!$D$4&gt;8,('Facility Information'!G5&amp;" Annual Throughput (cubic yards)"),"")</f>
        <v/>
      </c>
      <c r="M149" s="217"/>
      <c r="N149" s="217"/>
    </row>
    <row r="150" spans="2:14" ht="14.25" customHeight="1" x14ac:dyDescent="0.2">
      <c r="B150" s="79" t="str">
        <f>IF('Concrete Plant (CP-8)'!$D$4&gt;8,"Site Name:","")</f>
        <v/>
      </c>
      <c r="C150" s="349"/>
      <c r="D150" s="356"/>
      <c r="E150" s="357"/>
      <c r="F150" s="175"/>
      <c r="G150" s="45"/>
      <c r="H150" s="127" t="str">
        <f>IF(J150="cement delivery to silo","CP-1 EP-2",IF(J150="cement supplement delivery to silo","CP-1 EP-3",IF(J150="weigh hopper loading","CP-1 EP-4",IF(J150="truck mix loading","CP-1 EP-5",IF(J150="central mix loading","CP-1 EP-6",IF(J150="","","CP-1 EP-1"))))))</f>
        <v/>
      </c>
      <c r="I150" s="127" t="str">
        <f t="shared" ref="I150:I159" si="43">IF(J150="","",IF(J150="aggregate delivery to ground storage","CP-8 EU-1",IF(J150="sand delivery to ground storage","CP-8 EU-2",IF(J150="aggregate transfer to conveyor","CP-8 EU-3",IF(J150="sand transfer to conveyor","CP-8 EU-4",IF(J150="aggregate transfer to elevated storage","CP-8 EU-5",IF(J150="sand transfer to elevated storage","CP-8 EU-6",IF(J150="weigh hopper loading","CP-8 EU-7",IF(J150="central mix loading","CP-8 EU-8",IF(J150="truck mix loading","CP-8 EU-9",IF(J150="cement delivery to silo","CP-8 EU-10",IF(J150="cement supplement delivery to silo","CP-8 EU-11"))))))))))))</f>
        <v/>
      </c>
      <c r="J150" s="82"/>
      <c r="K150" s="61"/>
      <c r="L150" s="156"/>
      <c r="M150" s="219" t="str">
        <f>IF(J150="truck mix loading",IF($F$153="yes",L150*0.05/2000,L150/2000),"")</f>
        <v/>
      </c>
      <c r="N150" s="219" t="str">
        <f>IF(J150="central mix loading",IF($F$153="yes",L150*0.05/2000,L150/2000),"")</f>
        <v/>
      </c>
    </row>
    <row r="151" spans="2:14" ht="14.25" customHeight="1" x14ac:dyDescent="0.2">
      <c r="B151" s="79" t="str">
        <f>IF('Concrete Plant (CP-8)'!$D$4&gt;8,"County:","")</f>
        <v/>
      </c>
      <c r="C151" s="339"/>
      <c r="D151" s="342"/>
      <c r="E151" s="343"/>
      <c r="F151" s="175"/>
      <c r="G151" s="45"/>
      <c r="H151" s="127" t="str">
        <f t="shared" ref="H151:H159" si="44">IF(J151="cement delivery to silo","CP-1 EP-2",IF(J151="cement supplement delivery to silo","CP-1 EP-3",IF(J151="weigh hopper loading","CP-1 EP-4",IF(J151="truck mix loading","CP-1 EP-5",IF(J151="central mix loading","CP-1 EP-6",IF(J151="","","CP-1 EP-1"))))))</f>
        <v/>
      </c>
      <c r="I151" s="127" t="str">
        <f t="shared" si="43"/>
        <v/>
      </c>
      <c r="J151" s="82"/>
      <c r="K151" s="61"/>
      <c r="L151" s="156"/>
      <c r="M151" s="219" t="str">
        <f t="shared" ref="M151:M159" si="45">IF(J151="truck mix loading",IF($F$153="yes",L151*0.05/2000,L151/2000),"")</f>
        <v/>
      </c>
      <c r="N151" s="219" t="str">
        <f t="shared" ref="N151:N159" si="46">IF(J151="central mix loading",IF($F$153="yes",L151*0.05/2000,L151/2000),"")</f>
        <v/>
      </c>
    </row>
    <row r="152" spans="2:14" ht="14.25" customHeight="1" x14ac:dyDescent="0.2">
      <c r="B152" s="79" t="str">
        <f>IF('Concrete Plant (CP-8)'!$D$4&gt;8,"Batching Period (Dates):","")</f>
        <v/>
      </c>
      <c r="C152" s="352"/>
      <c r="D152" s="358"/>
      <c r="E152" s="359"/>
      <c r="F152" s="175"/>
      <c r="G152" s="45"/>
      <c r="H152" s="127" t="str">
        <f t="shared" si="44"/>
        <v/>
      </c>
      <c r="I152" s="127" t="str">
        <f t="shared" si="43"/>
        <v/>
      </c>
      <c r="J152" s="82"/>
      <c r="K152" s="61"/>
      <c r="L152" s="156"/>
      <c r="M152" s="219" t="str">
        <f t="shared" si="45"/>
        <v/>
      </c>
      <c r="N152" s="219" t="str">
        <f t="shared" si="46"/>
        <v/>
      </c>
    </row>
    <row r="153" spans="2:14" ht="14.25" customHeight="1" x14ac:dyDescent="0.2">
      <c r="B153" s="51" t="str">
        <f>IF(OR(COUNTIF(J150:J159,"Truck Mix Loading")&gt;0,(COUNTIF(J150:J159,"Central Mix Loading")&gt;0)),"Is the Central/Truck Mix Loading process controlled by a baghouse?","")</f>
        <v/>
      </c>
      <c r="C153" s="51"/>
      <c r="D153" s="51"/>
      <c r="E153" s="51"/>
      <c r="F153" s="221"/>
      <c r="G153" s="45"/>
      <c r="H153" s="127" t="str">
        <f t="shared" si="44"/>
        <v/>
      </c>
      <c r="I153" s="127" t="str">
        <f t="shared" si="43"/>
        <v/>
      </c>
      <c r="J153" s="82"/>
      <c r="K153" s="61"/>
      <c r="L153" s="156"/>
      <c r="M153" s="219" t="str">
        <f t="shared" si="45"/>
        <v/>
      </c>
      <c r="N153" s="219" t="str">
        <f t="shared" si="46"/>
        <v/>
      </c>
    </row>
    <row r="154" spans="2:14" ht="15" customHeight="1" x14ac:dyDescent="0.2">
      <c r="F154" s="177"/>
      <c r="G154" s="45"/>
      <c r="H154" s="127" t="str">
        <f t="shared" si="44"/>
        <v/>
      </c>
      <c r="I154" s="127" t="str">
        <f t="shared" si="43"/>
        <v/>
      </c>
      <c r="J154" s="82"/>
      <c r="K154" s="61"/>
      <c r="L154" s="156"/>
      <c r="M154" s="219" t="str">
        <f t="shared" si="45"/>
        <v/>
      </c>
      <c r="N154" s="219" t="str">
        <f t="shared" si="46"/>
        <v/>
      </c>
    </row>
    <row r="155" spans="2:14" ht="30" customHeight="1" x14ac:dyDescent="0.2">
      <c r="B155" s="312" t="str">
        <f>IF(AND(B157="",B158="",B159="",B160="",B161=""),"","Process (complete stack information if applicable):")</f>
        <v/>
      </c>
      <c r="C155" s="312" t="str">
        <f>IF(AND(B157="",B158="",B159="",B160="",B161=""),"","Stack Height (ft):")</f>
        <v/>
      </c>
      <c r="D155" s="312" t="str">
        <f>IF(AND(B157="",B158="",B159="",B160="",B161=""),"","Stack Diameter (inches):")</f>
        <v/>
      </c>
      <c r="E155" s="312" t="str">
        <f>IF(AND(B157="",B158="",B159="",B160="",B161=""),"","Flow Rate (acfm):")</f>
        <v/>
      </c>
      <c r="F155" s="312" t="str">
        <f>IF(AND(B157="",B158="",B159="",B160="",B161=""),"","Temp (Deg F):")</f>
        <v/>
      </c>
      <c r="G155" s="45"/>
      <c r="H155" s="127" t="str">
        <f t="shared" si="44"/>
        <v/>
      </c>
      <c r="I155" s="127" t="str">
        <f t="shared" si="43"/>
        <v/>
      </c>
      <c r="J155" s="82"/>
      <c r="K155" s="61"/>
      <c r="L155" s="156"/>
      <c r="M155" s="219" t="str">
        <f t="shared" si="45"/>
        <v/>
      </c>
      <c r="N155" s="219" t="str">
        <f t="shared" si="46"/>
        <v/>
      </c>
    </row>
    <row r="156" spans="2:14" ht="14.25" customHeight="1" x14ac:dyDescent="0.2">
      <c r="B156" s="312"/>
      <c r="C156" s="312"/>
      <c r="D156" s="312"/>
      <c r="E156" s="312"/>
      <c r="F156" s="312"/>
      <c r="G156" s="45"/>
      <c r="H156" s="127" t="str">
        <f t="shared" si="44"/>
        <v/>
      </c>
      <c r="I156" s="127" t="str">
        <f t="shared" si="43"/>
        <v/>
      </c>
      <c r="J156" s="82"/>
      <c r="K156" s="61"/>
      <c r="L156" s="156"/>
      <c r="M156" s="219" t="str">
        <f t="shared" si="45"/>
        <v/>
      </c>
      <c r="N156" s="219" t="str">
        <f t="shared" si="46"/>
        <v/>
      </c>
    </row>
    <row r="157" spans="2:14" ht="14.25" customHeight="1" x14ac:dyDescent="0.2">
      <c r="B157" s="45" t="str">
        <f>IF(COUNTIF(J150:J159,"Cement Delivery to Silo")&gt;0,"EP-2 Cement Silo Stack:","")</f>
        <v/>
      </c>
      <c r="C157" s="221"/>
      <c r="D157" s="221"/>
      <c r="E157" s="221"/>
      <c r="F157" s="221"/>
      <c r="G157" s="45"/>
      <c r="H157" s="127" t="str">
        <f t="shared" si="44"/>
        <v/>
      </c>
      <c r="I157" s="127" t="str">
        <f t="shared" si="43"/>
        <v/>
      </c>
      <c r="J157" s="82"/>
      <c r="K157" s="61"/>
      <c r="L157" s="156"/>
      <c r="M157" s="219" t="str">
        <f t="shared" si="45"/>
        <v/>
      </c>
      <c r="N157" s="219" t="str">
        <f t="shared" si="46"/>
        <v/>
      </c>
    </row>
    <row r="158" spans="2:14" ht="14.25" customHeight="1" x14ac:dyDescent="0.2">
      <c r="B158" s="45" t="str">
        <f>IF(COUNTIF(J150:J159,"Cement Supplement Delivery to Silo")&gt;0,"EP-3 Cement Supplement Silo Stack:","")</f>
        <v/>
      </c>
      <c r="C158" s="221"/>
      <c r="D158" s="221"/>
      <c r="E158" s="221"/>
      <c r="F158" s="221"/>
      <c r="G158" s="45"/>
      <c r="H158" s="127" t="str">
        <f t="shared" si="44"/>
        <v/>
      </c>
      <c r="I158" s="127" t="str">
        <f t="shared" si="43"/>
        <v/>
      </c>
      <c r="J158" s="82"/>
      <c r="K158" s="61"/>
      <c r="L158" s="156"/>
      <c r="M158" s="219" t="str">
        <f t="shared" si="45"/>
        <v/>
      </c>
      <c r="N158" s="219" t="str">
        <f t="shared" si="46"/>
        <v/>
      </c>
    </row>
    <row r="159" spans="2:14" ht="14.25" customHeight="1" x14ac:dyDescent="0.2">
      <c r="B159" s="45" t="str">
        <f>IF(COUNTIF(J150:J159,"Weigh Hopper Loading")&gt;0,"EP-4 Weigh Hopper Loading Stack:","")</f>
        <v/>
      </c>
      <c r="C159" s="221"/>
      <c r="D159" s="221"/>
      <c r="E159" s="221"/>
      <c r="F159" s="221"/>
      <c r="H159" s="127" t="str">
        <f t="shared" si="44"/>
        <v/>
      </c>
      <c r="I159" s="127" t="str">
        <f t="shared" si="43"/>
        <v/>
      </c>
      <c r="J159" s="82"/>
      <c r="K159" s="61"/>
      <c r="L159" s="156"/>
      <c r="M159" s="219" t="str">
        <f t="shared" si="45"/>
        <v/>
      </c>
      <c r="N159" s="219" t="str">
        <f t="shared" si="46"/>
        <v/>
      </c>
    </row>
    <row r="160" spans="2:14" ht="14.25" customHeight="1" x14ac:dyDescent="0.2">
      <c r="B160" s="45" t="str">
        <f>IF(COUNTIF(J150:J159,"Truck Mix Loading")&gt;0,"EP-5 Truck Mix Loading Stack:","")</f>
        <v/>
      </c>
      <c r="C160" s="221"/>
      <c r="D160" s="221"/>
      <c r="E160" s="221"/>
      <c r="F160" s="221"/>
      <c r="G160" s="76"/>
      <c r="H160" s="45"/>
      <c r="I160" s="45"/>
    </row>
    <row r="161" spans="2:14" ht="14.25" customHeight="1" x14ac:dyDescent="0.2">
      <c r="B161" s="45" t="str">
        <f>IF(COUNTIF(J150:J159,"Central Mix Loading")&gt;0,"EP-6 Central Mix Loading Stack:","")</f>
        <v/>
      </c>
      <c r="C161" s="221"/>
      <c r="D161" s="221"/>
      <c r="E161" s="221"/>
      <c r="F161" s="221"/>
      <c r="H161" s="74" t="str">
        <f>IF('Concrete Plant (CP-8)'!$D$4&gt;8,"Stock Pile Area","")</f>
        <v/>
      </c>
      <c r="I161" s="74"/>
      <c r="J161" s="75"/>
    </row>
    <row r="162" spans="2:14" ht="14.25" customHeight="1" x14ac:dyDescent="0.2">
      <c r="B162" s="73"/>
      <c r="C162" s="163"/>
      <c r="D162" s="163"/>
      <c r="E162" s="163"/>
      <c r="F162" s="176"/>
      <c r="I162" s="51" t="str">
        <f>IF('Concrete Plant (CP-8)'!$D$4&gt;8,"Emission Unit #","")</f>
        <v/>
      </c>
      <c r="J162" s="80" t="str">
        <f>IF('Concrete Plant (CP-8)'!$D$4&gt;8,"Maximum Storage Area (acres)","")</f>
        <v/>
      </c>
      <c r="K162" s="81" t="str">
        <f>IF('Concrete Plant (CP-8)'!$D$4&gt;8,"Actual Storage Area (acres)","")</f>
        <v/>
      </c>
      <c r="L162" s="80" t="str">
        <f>IF('Concrete Plant (CP-8)'!$D$4&gt;8,"Actual Days in Existence (days)","")</f>
        <v/>
      </c>
      <c r="M162" s="146"/>
      <c r="N162" s="146"/>
    </row>
    <row r="163" spans="2:14" ht="14.25" customHeight="1" x14ac:dyDescent="0.2">
      <c r="B163" s="73"/>
      <c r="C163" s="163"/>
      <c r="D163" s="163"/>
      <c r="E163" s="163"/>
      <c r="F163" s="176"/>
      <c r="I163" s="65"/>
      <c r="J163" s="144"/>
      <c r="K163" s="66"/>
      <c r="L163" s="144"/>
      <c r="M163" s="146"/>
      <c r="N163" s="146"/>
    </row>
    <row r="164" spans="2:14" ht="14.25" customHeight="1" x14ac:dyDescent="0.2">
      <c r="F164" s="177"/>
    </row>
    <row r="165" spans="2:14" ht="29.25" customHeight="1" x14ac:dyDescent="0.25">
      <c r="B165" s="78" t="str">
        <f>IF('Concrete Plant (CP-8)'!$D$4&gt;9,"Batch Plant","")</f>
        <v/>
      </c>
      <c r="C165" s="71" t="str">
        <f>IF('Concrete Plant (CP-8)'!$D$4&gt;9,"Site 10","")</f>
        <v/>
      </c>
      <c r="D165" s="71"/>
      <c r="E165" s="71"/>
      <c r="F165" s="71"/>
      <c r="H165" s="310" t="str">
        <f>IF('Concrete Plant (CP-8)'!$D$4&gt;9,"Emission Point #","")</f>
        <v/>
      </c>
      <c r="I165" s="310" t="str">
        <f>IF('Concrete Plant (CP-8)'!$D$4&gt;9,"Emission     Unit #","")</f>
        <v/>
      </c>
      <c r="J165" s="310" t="str">
        <f>IF('Concrete Plant (CP-8)'!$D$4&gt;9,"Processes","")</f>
        <v/>
      </c>
      <c r="K165" s="311" t="str">
        <f>IF('Concrete Plant (CP-8)'!$D$4&gt;9,"Combined Maximum Hourly Design Rate for all Like Processes (cubic yard/hr)","")</f>
        <v/>
      </c>
      <c r="L165" s="310" t="str">
        <f>IF('Concrete Plant (CP-8)'!$D$4&gt;9,('Facility Information'!G5&amp;" Annual Throughput (cubic yards)"),"")</f>
        <v/>
      </c>
      <c r="M165" s="217"/>
      <c r="N165" s="217"/>
    </row>
    <row r="166" spans="2:14" ht="14.25" customHeight="1" x14ac:dyDescent="0.2">
      <c r="B166" s="79" t="str">
        <f>IF('Concrete Plant (CP-8)'!$D$4&gt;9,"Site Name:","")</f>
        <v/>
      </c>
      <c r="C166" s="349"/>
      <c r="D166" s="356"/>
      <c r="E166" s="357"/>
      <c r="F166" s="175"/>
      <c r="H166" s="127" t="str">
        <f>IF(J166="cement delivery to silo","CP-1 EP-2",IF(J166="cement supplement delivery to silo","CP-1 EP-3",IF(J166="weigh hopper loading","CP-1 EP-4",IF(J166="truck mix loading","CP-1 EP-5",IF(J166="central mix loading","CP-1 EP-6",IF(J166="","","CP-1 EP-1"))))))</f>
        <v/>
      </c>
      <c r="I166" s="127" t="str">
        <f t="shared" ref="I166:I175" si="47">IF(J166="","",IF(J166="aggregate delivery to ground storage","CP-8 EU-1",IF(J166="sand delivery to ground storage","CP-8 EU-2",IF(J166="aggregate transfer to conveyor","CP-8 EU-3",IF(J166="sand transfer to conveyor","CP-8 EU-4",IF(J166="aggregate transfer to elevated storage","CP-8 EU-5",IF(J166="sand transfer to elevated storage","CP-8 EU-6",IF(J166="weigh hopper loading","CP-8 EU-7",IF(J166="central mix loading","CP-8 EU-8",IF(J166="truck mix loading","CP-8 EU-9",IF(J166="cement delivery to silo","CP-8 EU-10",IF(J166="cement supplement delivery to silo","CP-8 EU-11"))))))))))))</f>
        <v/>
      </c>
      <c r="J166" s="82"/>
      <c r="K166" s="61"/>
      <c r="L166" s="156"/>
      <c r="M166" s="219" t="str">
        <f>IF(J166="truck mix loading",IF($F$169="yes",L166*0.05/2000,L166/2000),"")</f>
        <v/>
      </c>
      <c r="N166" s="219" t="str">
        <f>IF(J166="central mix loading",IF($F$169="yes",L166*0.05/2000,L166/2000),"")</f>
        <v/>
      </c>
    </row>
    <row r="167" spans="2:14" ht="14.25" customHeight="1" x14ac:dyDescent="0.2">
      <c r="B167" s="79" t="str">
        <f>IF('Concrete Plant (CP-8)'!$D$4&gt;9,"County:","")</f>
        <v/>
      </c>
      <c r="C167" s="339"/>
      <c r="D167" s="342"/>
      <c r="E167" s="343"/>
      <c r="F167" s="175"/>
      <c r="H167" s="127" t="str">
        <f t="shared" ref="H167:H175" si="48">IF(J167="cement delivery to silo","CP-1 EP-2",IF(J167="cement supplement delivery to silo","CP-1 EP-3",IF(J167="weigh hopper loading","CP-1 EP-4",IF(J167="truck mix loading","CP-1 EP-5",IF(J167="central mix loading","CP-1 EP-6",IF(J167="","","CP-1 EP-1"))))))</f>
        <v/>
      </c>
      <c r="I167" s="127" t="str">
        <f t="shared" si="47"/>
        <v/>
      </c>
      <c r="J167" s="82"/>
      <c r="K167" s="61"/>
      <c r="L167" s="156"/>
      <c r="M167" s="219" t="str">
        <f t="shared" ref="M167:M175" si="49">IF(J167="truck mix loading",IF($F$169="yes",L167*0.05/2000,L167/2000),"")</f>
        <v/>
      </c>
      <c r="N167" s="219" t="str">
        <f t="shared" ref="N167:N175" si="50">IF(J167="central mix loading",IF($F$169="yes",L167*0.05/2000,L167/2000),"")</f>
        <v/>
      </c>
    </row>
    <row r="168" spans="2:14" ht="14.25" customHeight="1" x14ac:dyDescent="0.2">
      <c r="B168" s="79" t="str">
        <f>IF('Concrete Plant (CP-8)'!$D$4&gt;9,"Batching Period (Dates):","")</f>
        <v/>
      </c>
      <c r="C168" s="352"/>
      <c r="D168" s="358"/>
      <c r="E168" s="359"/>
      <c r="F168" s="175"/>
      <c r="H168" s="127" t="str">
        <f t="shared" si="48"/>
        <v/>
      </c>
      <c r="I168" s="127" t="str">
        <f t="shared" si="47"/>
        <v/>
      </c>
      <c r="J168" s="82"/>
      <c r="K168" s="61"/>
      <c r="L168" s="156"/>
      <c r="M168" s="219" t="str">
        <f t="shared" si="49"/>
        <v/>
      </c>
      <c r="N168" s="219" t="str">
        <f t="shared" si="50"/>
        <v/>
      </c>
    </row>
    <row r="169" spans="2:14" ht="14.25" customHeight="1" x14ac:dyDescent="0.2">
      <c r="B169" s="51" t="str">
        <f>IF(OR(COUNTIF(J166:J175,"Truck Mix Loading")&gt;0,(COUNTIF(J166:J175,"Central Mix Loading")&gt;0)),"Is the Central/Truck Mix Loading process controlled by a baghouse?","")</f>
        <v/>
      </c>
      <c r="C169" s="51"/>
      <c r="D169" s="51"/>
      <c r="E169" s="51"/>
      <c r="F169" s="221"/>
      <c r="H169" s="127" t="str">
        <f t="shared" si="48"/>
        <v/>
      </c>
      <c r="I169" s="127" t="str">
        <f t="shared" si="47"/>
        <v/>
      </c>
      <c r="J169" s="82"/>
      <c r="K169" s="61"/>
      <c r="L169" s="156"/>
      <c r="M169" s="219" t="str">
        <f t="shared" si="49"/>
        <v/>
      </c>
      <c r="N169" s="219" t="str">
        <f t="shared" si="50"/>
        <v/>
      </c>
    </row>
    <row r="170" spans="2:14" ht="14.25" customHeight="1" x14ac:dyDescent="0.2">
      <c r="F170" s="177"/>
      <c r="H170" s="127" t="str">
        <f t="shared" si="48"/>
        <v/>
      </c>
      <c r="I170" s="127" t="str">
        <f t="shared" si="47"/>
        <v/>
      </c>
      <c r="J170" s="82"/>
      <c r="K170" s="61"/>
      <c r="L170" s="156"/>
      <c r="M170" s="219" t="str">
        <f t="shared" si="49"/>
        <v/>
      </c>
      <c r="N170" s="219" t="str">
        <f t="shared" si="50"/>
        <v/>
      </c>
    </row>
    <row r="171" spans="2:14" ht="30" customHeight="1" x14ac:dyDescent="0.2">
      <c r="B171" s="312" t="str">
        <f>IF(AND(B173="",B174="",B175="",B176="",B177=""),"","Process (complete stack information if applicable):")</f>
        <v/>
      </c>
      <c r="C171" s="312" t="str">
        <f>IF(AND(B173="",B174="",B175="",B176="",B177=""),"","Stack Height (ft):")</f>
        <v/>
      </c>
      <c r="D171" s="312" t="str">
        <f>IF(AND(B173="",B174="",B175="",B176="",B177=""),"","Stack Diameter (inches):")</f>
        <v/>
      </c>
      <c r="E171" s="312" t="str">
        <f>IF(AND(B173="",B174="",B175="",B176="",B177=""),"","Flow Rate (acfm):")</f>
        <v/>
      </c>
      <c r="F171" s="312" t="str">
        <f>IF(AND(B173="",B174="",B175="",B176="",B177=""),"","Temp (Deg F):")</f>
        <v/>
      </c>
      <c r="H171" s="127" t="str">
        <f t="shared" si="48"/>
        <v/>
      </c>
      <c r="I171" s="127" t="str">
        <f t="shared" si="47"/>
        <v/>
      </c>
      <c r="J171" s="82"/>
      <c r="K171" s="61"/>
      <c r="L171" s="156"/>
      <c r="M171" s="219" t="str">
        <f t="shared" si="49"/>
        <v/>
      </c>
      <c r="N171" s="219" t="str">
        <f t="shared" si="50"/>
        <v/>
      </c>
    </row>
    <row r="172" spans="2:14" ht="14.25" customHeight="1" x14ac:dyDescent="0.2">
      <c r="B172" s="312"/>
      <c r="C172" s="312"/>
      <c r="D172" s="312"/>
      <c r="E172" s="312"/>
      <c r="F172" s="312"/>
      <c r="H172" s="127" t="str">
        <f t="shared" si="48"/>
        <v/>
      </c>
      <c r="I172" s="127" t="str">
        <f t="shared" si="47"/>
        <v/>
      </c>
      <c r="J172" s="82"/>
      <c r="K172" s="61"/>
      <c r="L172" s="156"/>
      <c r="M172" s="219" t="str">
        <f t="shared" si="49"/>
        <v/>
      </c>
      <c r="N172" s="219" t="str">
        <f t="shared" si="50"/>
        <v/>
      </c>
    </row>
    <row r="173" spans="2:14" ht="14.25" customHeight="1" x14ac:dyDescent="0.2">
      <c r="B173" s="45" t="str">
        <f>IF(COUNTIF(J166:J175,"Cement Delivery to Silo")&gt;0,"EP-2 Cement Silo Stack:","")</f>
        <v/>
      </c>
      <c r="C173" s="221"/>
      <c r="D173" s="221"/>
      <c r="E173" s="221"/>
      <c r="F173" s="221"/>
      <c r="H173" s="127" t="str">
        <f t="shared" si="48"/>
        <v/>
      </c>
      <c r="I173" s="127" t="str">
        <f t="shared" si="47"/>
        <v/>
      </c>
      <c r="J173" s="82"/>
      <c r="K173" s="61"/>
      <c r="L173" s="156"/>
      <c r="M173" s="219" t="str">
        <f t="shared" si="49"/>
        <v/>
      </c>
      <c r="N173" s="219" t="str">
        <f t="shared" si="50"/>
        <v/>
      </c>
    </row>
    <row r="174" spans="2:14" ht="14.25" customHeight="1" x14ac:dyDescent="0.2">
      <c r="B174" s="45" t="str">
        <f>IF(COUNTIF(J166:J175,"Cement Supplement Delivery to Silo")&gt;0,"EP-3 Cement Supplement Silo Stack:","")</f>
        <v/>
      </c>
      <c r="C174" s="221"/>
      <c r="D174" s="221"/>
      <c r="E174" s="221"/>
      <c r="F174" s="221"/>
      <c r="H174" s="127" t="str">
        <f t="shared" si="48"/>
        <v/>
      </c>
      <c r="I174" s="127" t="str">
        <f t="shared" si="47"/>
        <v/>
      </c>
      <c r="J174" s="82"/>
      <c r="K174" s="61"/>
      <c r="L174" s="156"/>
      <c r="M174" s="219" t="str">
        <f t="shared" si="49"/>
        <v/>
      </c>
      <c r="N174" s="219" t="str">
        <f t="shared" si="50"/>
        <v/>
      </c>
    </row>
    <row r="175" spans="2:14" ht="14.25" customHeight="1" x14ac:dyDescent="0.2">
      <c r="B175" s="45" t="str">
        <f>IF(COUNTIF(J166:J175,"Weigh Hopper Loading")&gt;0,"EP-4 Weigh Hopper Loading Stack:","")</f>
        <v/>
      </c>
      <c r="C175" s="221"/>
      <c r="D175" s="221"/>
      <c r="E175" s="221"/>
      <c r="F175" s="221"/>
      <c r="H175" s="127" t="str">
        <f t="shared" si="48"/>
        <v/>
      </c>
      <c r="I175" s="127" t="str">
        <f t="shared" si="47"/>
        <v/>
      </c>
      <c r="J175" s="82"/>
      <c r="K175" s="61"/>
      <c r="L175" s="156"/>
      <c r="M175" s="219" t="str">
        <f t="shared" si="49"/>
        <v/>
      </c>
      <c r="N175" s="219" t="str">
        <f t="shared" si="50"/>
        <v/>
      </c>
    </row>
    <row r="176" spans="2:14" ht="14.25" customHeight="1" x14ac:dyDescent="0.2">
      <c r="B176" s="45" t="str">
        <f>IF(COUNTIF(J166:J175,"Truck Mix Loading")&gt;0,"EP-5 Truck Mix Loading Stack:","")</f>
        <v/>
      </c>
      <c r="C176" s="221"/>
      <c r="D176" s="221"/>
      <c r="E176" s="221"/>
      <c r="F176" s="221"/>
      <c r="H176" s="45"/>
      <c r="I176" s="45"/>
    </row>
    <row r="177" spans="2:14" ht="14.25" customHeight="1" x14ac:dyDescent="0.2">
      <c r="B177" s="45" t="str">
        <f>IF(COUNTIF(J166:J175,"Central Mix Loading")&gt;0,"EP-6 Central Mix Loading Stack:","")</f>
        <v/>
      </c>
      <c r="C177" s="221"/>
      <c r="D177" s="221"/>
      <c r="E177" s="221"/>
      <c r="F177" s="221"/>
      <c r="H177" s="74" t="str">
        <f>IF('Concrete Plant (CP-8)'!$D$4&gt;9,"Stock Pile Area","")</f>
        <v/>
      </c>
      <c r="I177" s="74"/>
      <c r="J177" s="74"/>
      <c r="K177" s="76"/>
      <c r="L177" s="76"/>
      <c r="M177" s="71"/>
      <c r="N177" s="71"/>
    </row>
    <row r="178" spans="2:14" ht="14.25" customHeight="1" x14ac:dyDescent="0.2">
      <c r="B178" s="73"/>
      <c r="C178" s="163"/>
      <c r="D178" s="163"/>
      <c r="E178" s="163"/>
      <c r="F178" s="163"/>
      <c r="I178" s="51" t="str">
        <f>IF('Concrete Plant (CP-8)'!$D$4&gt;9,"Emission Unit #","")</f>
        <v/>
      </c>
      <c r="J178" s="140" t="str">
        <f>IF('Concrete Plant (CP-8)'!$D$4&gt;9,"Maximum Storage Area (acres)","")</f>
        <v/>
      </c>
      <c r="K178" s="81" t="str">
        <f>IF('Concrete Plant (CP-8)'!$D$4&gt;9,"Actual Storage Area (acres)","")</f>
        <v/>
      </c>
      <c r="L178" s="140" t="str">
        <f>IF('Concrete Plant (CP-8)'!$D$4&gt;9,"Actual Days in Existence (days)","")</f>
        <v/>
      </c>
      <c r="M178" s="146"/>
      <c r="N178" s="146"/>
    </row>
    <row r="179" spans="2:14" ht="14.25" customHeight="1" x14ac:dyDescent="0.2">
      <c r="B179" s="73"/>
      <c r="C179" s="163"/>
      <c r="D179" s="163"/>
      <c r="E179" s="163"/>
      <c r="F179" s="163"/>
      <c r="I179" s="65"/>
      <c r="J179" s="144"/>
      <c r="K179" s="66"/>
      <c r="L179" s="144"/>
      <c r="M179" s="146"/>
      <c r="N179" s="146"/>
    </row>
    <row r="180" spans="2:14" ht="14.25" customHeight="1" x14ac:dyDescent="0.2">
      <c r="B180" s="73"/>
      <c r="C180" s="163"/>
      <c r="D180" s="163"/>
      <c r="E180" s="163"/>
      <c r="F180" s="163"/>
    </row>
    <row r="181" spans="2:14" ht="14.25" customHeight="1" x14ac:dyDescent="0.2">
      <c r="M181" s="220">
        <f>SUM(M166:M175,M150:M159,M134:M143,M118:M127,M102:M111,M85:M94,M69:M78,M53:M62,M38:M47,M21:M30)</f>
        <v>0</v>
      </c>
      <c r="N181" s="220">
        <f>SUM(N166:N175,N150:N159,N134:N143,N118:N127,N102:N111,N85:N94,N69:N78,N53:N62,N38:N47,N21:N30)</f>
        <v>0</v>
      </c>
    </row>
  </sheetData>
  <sheetProtection algorithmName="SHA-512" hashValue="ddPHuJaoiIytQhpnsusndWn54/8SXucM2P0bL3GLmU9r2ACgZdOPUu9QdyyDK/p438yGj1tFqsgNl8IvsdsCwg==" saltValue="tDA+53g90Zte92sMKO1LAg==" spinCount="100000" sheet="1" objects="1" scenarios="1"/>
  <conditionalFormatting sqref="I49:L49 B38:B40 B53:B55 B69:B71 B85:B87 B102:B104 B118:B120 B134:B136 B150:B152 B166:B168">
    <cfRule type="notContainsBlanks" dxfId="688" priority="246" stopIfTrue="1">
      <formula>LEN(TRIM(B38))&gt;0</formula>
    </cfRule>
  </conditionalFormatting>
  <conditionalFormatting sqref="B37:F37">
    <cfRule type="notContainsBlanks" dxfId="687" priority="247" stopIfTrue="1">
      <formula>LEN(TRIM(B37))&gt;0</formula>
    </cfRule>
  </conditionalFormatting>
  <conditionalFormatting sqref="I65:L65">
    <cfRule type="notContainsBlanks" dxfId="686" priority="245" stopIfTrue="1">
      <formula>LEN(TRIM(I65))&gt;0</formula>
    </cfRule>
  </conditionalFormatting>
  <conditionalFormatting sqref="B52:F52">
    <cfRule type="notContainsBlanks" dxfId="685" priority="248" stopIfTrue="1">
      <formula>LEN(TRIM(B52))&gt;0</formula>
    </cfRule>
  </conditionalFormatting>
  <conditionalFormatting sqref="I81:L81">
    <cfRule type="notContainsBlanks" dxfId="684" priority="242" stopIfTrue="1">
      <formula>LEN(TRIM(I81))&gt;0</formula>
    </cfRule>
  </conditionalFormatting>
  <conditionalFormatting sqref="B68:F68">
    <cfRule type="notContainsBlanks" dxfId="683" priority="243" stopIfTrue="1">
      <formula>LEN(TRIM(B68))&gt;0</formula>
    </cfRule>
  </conditionalFormatting>
  <conditionalFormatting sqref="I97:L97">
    <cfRule type="notContainsBlanks" dxfId="682" priority="240" stopIfTrue="1">
      <formula>LEN(TRIM(I97))&gt;0</formula>
    </cfRule>
  </conditionalFormatting>
  <conditionalFormatting sqref="B84:F84">
    <cfRule type="notContainsBlanks" dxfId="681" priority="241" stopIfTrue="1">
      <formula>LEN(TRIM(B84))&gt;0</formula>
    </cfRule>
  </conditionalFormatting>
  <conditionalFormatting sqref="I114:L114">
    <cfRule type="notContainsBlanks" dxfId="680" priority="238" stopIfTrue="1">
      <formula>LEN(TRIM(I114))&gt;0</formula>
    </cfRule>
  </conditionalFormatting>
  <conditionalFormatting sqref="B101:F101">
    <cfRule type="notContainsBlanks" dxfId="679" priority="239" stopIfTrue="1">
      <formula>LEN(TRIM(B101))&gt;0</formula>
    </cfRule>
  </conditionalFormatting>
  <conditionalFormatting sqref="I130:L130">
    <cfRule type="notContainsBlanks" dxfId="678" priority="236" stopIfTrue="1">
      <formula>LEN(TRIM(I130))&gt;0</formula>
    </cfRule>
  </conditionalFormatting>
  <conditionalFormatting sqref="B117:F117">
    <cfRule type="notContainsBlanks" dxfId="677" priority="237" stopIfTrue="1">
      <formula>LEN(TRIM(B117))&gt;0</formula>
    </cfRule>
  </conditionalFormatting>
  <conditionalFormatting sqref="I146:L146">
    <cfRule type="notContainsBlanks" dxfId="676" priority="234" stopIfTrue="1">
      <formula>LEN(TRIM(I146))&gt;0</formula>
    </cfRule>
  </conditionalFormatting>
  <conditionalFormatting sqref="B133:F133">
    <cfRule type="notContainsBlanks" dxfId="675" priority="235" stopIfTrue="1">
      <formula>LEN(TRIM(B133))&gt;0</formula>
    </cfRule>
  </conditionalFormatting>
  <conditionalFormatting sqref="I162:L162">
    <cfRule type="notContainsBlanks" dxfId="674" priority="232" stopIfTrue="1">
      <formula>LEN(TRIM(I162))&gt;0</formula>
    </cfRule>
  </conditionalFormatting>
  <conditionalFormatting sqref="B149:F149">
    <cfRule type="notContainsBlanks" dxfId="673" priority="233" stopIfTrue="1">
      <formula>LEN(TRIM(B149))&gt;0</formula>
    </cfRule>
  </conditionalFormatting>
  <conditionalFormatting sqref="I178:L178">
    <cfRule type="notContainsBlanks" dxfId="672" priority="231" stopIfTrue="1">
      <formula>LEN(TRIM(I178))&gt;0</formula>
    </cfRule>
  </conditionalFormatting>
  <conditionalFormatting sqref="I65:L66 H52 H63:L64 K54:L60 J54:J62 B57:F57 G50:G60 J52:L53 B52:F55">
    <cfRule type="cellIs" dxfId="671" priority="244" stopIfTrue="1" operator="equal">
      <formula>$B$52="batch plant"</formula>
    </cfRule>
  </conditionalFormatting>
  <conditionalFormatting sqref="I81:L82 H68 H79:L80 K70:L76 J70:J78 G63:G74 J68:L69 B68:F71">
    <cfRule type="cellIs" dxfId="670" priority="249" stopIfTrue="1" operator="equal">
      <formula>$B$68="batch plant"</formula>
    </cfRule>
  </conditionalFormatting>
  <conditionalFormatting sqref="I97:L98 H84 H95:L96 B84:F84 K86:L92 J86:J94 B85:E87 F86:F87 G77:G88 J84:L85">
    <cfRule type="cellIs" dxfId="669" priority="250" stopIfTrue="1" operator="equal">
      <formula>$B$84="batch plant"</formula>
    </cfRule>
  </conditionalFormatting>
  <conditionalFormatting sqref="I114:L115 H112:L113 G91:G99 G101:H101 H99 K103:L109 J103:J111 G102:G103 B106:F106 J101:L102 B101:F104">
    <cfRule type="cellIs" dxfId="668" priority="251" stopIfTrue="1" operator="equal">
      <formula>$B$101="batch plant"</formula>
    </cfRule>
  </conditionalFormatting>
  <conditionalFormatting sqref="I130:L131 H117 G106:G117 H128:L129 K119:L125 J119:J127 J117:L118 B117:F120">
    <cfRule type="cellIs" dxfId="667" priority="252" stopIfTrue="1" operator="equal">
      <formula>$B$117="batch plant"</formula>
    </cfRule>
  </conditionalFormatting>
  <conditionalFormatting sqref="I146:L147 H133 G120:G132 H144:L145 K135:L141 J135:J143 J133:L134 B133:F136">
    <cfRule type="cellIs" dxfId="666" priority="253" stopIfTrue="1" operator="equal">
      <formula>$B$133="batch plant"</formula>
    </cfRule>
  </conditionalFormatting>
  <conditionalFormatting sqref="I162:L163 H149 G134:G147 H160:L161 K151:L157 J151:J159 J149:L150 B149:F152">
    <cfRule type="cellIs" dxfId="665" priority="254" stopIfTrue="1" operator="equal">
      <formula>$B$149="batch plant"</formula>
    </cfRule>
  </conditionalFormatting>
  <conditionalFormatting sqref="I37">
    <cfRule type="cellIs" dxfId="664" priority="230" stopIfTrue="1" operator="equal">
      <formula>$B$37="crusher plant"</formula>
    </cfRule>
  </conditionalFormatting>
  <conditionalFormatting sqref="I52">
    <cfRule type="cellIs" dxfId="663" priority="229" stopIfTrue="1" operator="equal">
      <formula>$B$37="crusher plant"</formula>
    </cfRule>
  </conditionalFormatting>
  <conditionalFormatting sqref="I68">
    <cfRule type="cellIs" dxfId="662" priority="228" stopIfTrue="1" operator="equal">
      <formula>$B$37="crusher plant"</formula>
    </cfRule>
  </conditionalFormatting>
  <conditionalFormatting sqref="I84">
    <cfRule type="cellIs" dxfId="661" priority="227" stopIfTrue="1" operator="equal">
      <formula>$B$37="crusher plant"</formula>
    </cfRule>
  </conditionalFormatting>
  <conditionalFormatting sqref="I101">
    <cfRule type="cellIs" dxfId="660" priority="226" stopIfTrue="1" operator="equal">
      <formula>$B$37="crusher plant"</formula>
    </cfRule>
  </conditionalFormatting>
  <conditionalFormatting sqref="I117">
    <cfRule type="cellIs" dxfId="659" priority="225" stopIfTrue="1" operator="equal">
      <formula>$B$37="crusher plant"</formula>
    </cfRule>
  </conditionalFormatting>
  <conditionalFormatting sqref="I133">
    <cfRule type="cellIs" dxfId="658" priority="224" stopIfTrue="1" operator="equal">
      <formula>$B$37="crusher plant"</formula>
    </cfRule>
  </conditionalFormatting>
  <conditionalFormatting sqref="I149">
    <cfRule type="cellIs" dxfId="657" priority="223" stopIfTrue="1" operator="equal">
      <formula>$B$37="crusher plant"</formula>
    </cfRule>
  </conditionalFormatting>
  <conditionalFormatting sqref="I165">
    <cfRule type="cellIs" dxfId="656" priority="222" stopIfTrue="1" operator="equal">
      <formula>$B$37="crusher plant"</formula>
    </cfRule>
  </conditionalFormatting>
  <conditionalFormatting sqref="I21:I30">
    <cfRule type="notContainsBlanks" dxfId="655" priority="221">
      <formula>LEN(TRIM(I21))&gt;0</formula>
    </cfRule>
  </conditionalFormatting>
  <conditionalFormatting sqref="I38:I47">
    <cfRule type="expression" dxfId="654" priority="220">
      <formula>$B$37="batch plant"</formula>
    </cfRule>
  </conditionalFormatting>
  <conditionalFormatting sqref="I53:I62">
    <cfRule type="expression" dxfId="653" priority="219">
      <formula>$B$52="batch plant"</formula>
    </cfRule>
  </conditionalFormatting>
  <conditionalFormatting sqref="I69:I78">
    <cfRule type="expression" dxfId="652" priority="218">
      <formula>$B$68="batch plant"</formula>
    </cfRule>
  </conditionalFormatting>
  <conditionalFormatting sqref="I85:I94">
    <cfRule type="expression" dxfId="651" priority="217">
      <formula>$B$84="batch plant"</formula>
    </cfRule>
  </conditionalFormatting>
  <conditionalFormatting sqref="I102:I111">
    <cfRule type="expression" dxfId="650" priority="216">
      <formula>$B$101="batch plant"</formula>
    </cfRule>
  </conditionalFormatting>
  <conditionalFormatting sqref="I118:I127">
    <cfRule type="expression" dxfId="649" priority="215">
      <formula>$B$117="batch plant"</formula>
    </cfRule>
  </conditionalFormatting>
  <conditionalFormatting sqref="I134:I143">
    <cfRule type="expression" dxfId="648" priority="214">
      <formula>$B$133="batch plant"</formula>
    </cfRule>
  </conditionalFormatting>
  <conditionalFormatting sqref="I150:I159">
    <cfRule type="expression" dxfId="647" priority="213">
      <formula>$B$149="batch plant"</formula>
    </cfRule>
  </conditionalFormatting>
  <conditionalFormatting sqref="I166:I175">
    <cfRule type="expression" dxfId="646" priority="212">
      <formula>$B$165="batch plant"</formula>
    </cfRule>
  </conditionalFormatting>
  <conditionalFormatting sqref="J38:L47 I50:L50 C38:F40">
    <cfRule type="cellIs" dxfId="645" priority="204" operator="equal">
      <formula>$B$37="batch plant"</formula>
    </cfRule>
  </conditionalFormatting>
  <conditionalFormatting sqref="K61:L62">
    <cfRule type="cellIs" dxfId="644" priority="203" stopIfTrue="1" operator="equal">
      <formula>$B$52="batch plant"</formula>
    </cfRule>
  </conditionalFormatting>
  <conditionalFormatting sqref="K77:L78">
    <cfRule type="cellIs" dxfId="643" priority="197" stopIfTrue="1" operator="equal">
      <formula>$B$68="batch plant"</formula>
    </cfRule>
  </conditionalFormatting>
  <conditionalFormatting sqref="K93:L94">
    <cfRule type="cellIs" dxfId="642" priority="191" stopIfTrue="1" operator="equal">
      <formula>$B$84="batch plant"</formula>
    </cfRule>
  </conditionalFormatting>
  <conditionalFormatting sqref="K110:L111">
    <cfRule type="cellIs" dxfId="641" priority="185" stopIfTrue="1" operator="equal">
      <formula>$B$101="batch plant"</formula>
    </cfRule>
  </conditionalFormatting>
  <conditionalFormatting sqref="K126:L127">
    <cfRule type="cellIs" dxfId="640" priority="180" stopIfTrue="1" operator="equal">
      <formula>$B$117="batch plant"</formula>
    </cfRule>
  </conditionalFormatting>
  <conditionalFormatting sqref="K142:L143">
    <cfRule type="cellIs" dxfId="639" priority="172" stopIfTrue="1" operator="equal">
      <formula>$B$133="batch plant"</formula>
    </cfRule>
  </conditionalFormatting>
  <conditionalFormatting sqref="K158:L159">
    <cfRule type="cellIs" dxfId="638" priority="166" stopIfTrue="1" operator="equal">
      <formula>$B$149="batch plant"</formula>
    </cfRule>
  </conditionalFormatting>
  <conditionalFormatting sqref="B165:F165">
    <cfRule type="notContainsBlanks" dxfId="637" priority="256" stopIfTrue="1">
      <formula>LEN(TRIM(B165))&gt;0</formula>
    </cfRule>
  </conditionalFormatting>
  <conditionalFormatting sqref="B165:F165">
    <cfRule type="cellIs" dxfId="636" priority="155" stopIfTrue="1" operator="equal">
      <formula>$B$149="batch plant"</formula>
    </cfRule>
  </conditionalFormatting>
  <conditionalFormatting sqref="J166:L166 J175:L175 K167:L173 J167:J174 F166:F168">
    <cfRule type="cellIs" dxfId="635" priority="154" stopIfTrue="1" operator="equal">
      <formula>$B$165="batch plant"</formula>
    </cfRule>
  </conditionalFormatting>
  <conditionalFormatting sqref="K174:L174">
    <cfRule type="cellIs" dxfId="634" priority="153" stopIfTrue="1" operator="equal">
      <formula>$B$165="batch plant"</formula>
    </cfRule>
  </conditionalFormatting>
  <conditionalFormatting sqref="I179:L179">
    <cfRule type="cellIs" dxfId="633" priority="152" stopIfTrue="1" operator="equal">
      <formula>$B$165="batch plant"</formula>
    </cfRule>
  </conditionalFormatting>
  <conditionalFormatting sqref="C166:E168">
    <cfRule type="cellIs" dxfId="632" priority="151" stopIfTrue="1" operator="equal">
      <formula>$B$165="batch plant"</formula>
    </cfRule>
  </conditionalFormatting>
  <conditionalFormatting sqref="H21:H30">
    <cfRule type="notContainsBlanks" dxfId="631" priority="149">
      <formula>LEN(TRIM(H21))&gt;0</formula>
    </cfRule>
  </conditionalFormatting>
  <conditionalFormatting sqref="H38:H47">
    <cfRule type="expression" dxfId="630" priority="148">
      <formula>$B$37="batch plant"</formula>
    </cfRule>
  </conditionalFormatting>
  <conditionalFormatting sqref="H53:H62">
    <cfRule type="expression" dxfId="629" priority="147">
      <formula>$B$52="batch plant"</formula>
    </cfRule>
  </conditionalFormatting>
  <conditionalFormatting sqref="H69:H78">
    <cfRule type="expression" dxfId="628" priority="146">
      <formula>$B$68="batch plant"</formula>
    </cfRule>
  </conditionalFormatting>
  <conditionalFormatting sqref="H85:H94">
    <cfRule type="expression" dxfId="627" priority="145">
      <formula>$B$84="batch plant"</formula>
    </cfRule>
  </conditionalFormatting>
  <conditionalFormatting sqref="H102:H111">
    <cfRule type="expression" dxfId="626" priority="144">
      <formula>$B$101="batch plant"</formula>
    </cfRule>
  </conditionalFormatting>
  <conditionalFormatting sqref="H118:H127">
    <cfRule type="expression" dxfId="625" priority="143">
      <formula>$B$117="batch plant"</formula>
    </cfRule>
  </conditionalFormatting>
  <conditionalFormatting sqref="H134:H143">
    <cfRule type="expression" dxfId="624" priority="142">
      <formula>$B$133="batch plant"</formula>
    </cfRule>
  </conditionalFormatting>
  <conditionalFormatting sqref="H150:H159">
    <cfRule type="expression" dxfId="623" priority="141">
      <formula>$B$149="batch plant"</formula>
    </cfRule>
  </conditionalFormatting>
  <conditionalFormatting sqref="H166:H175">
    <cfRule type="expression" dxfId="622" priority="140">
      <formula>$B$165="batch plant"</formula>
    </cfRule>
  </conditionalFormatting>
  <conditionalFormatting sqref="B174:B177">
    <cfRule type="notContainsBlanks" dxfId="621" priority="131">
      <formula>LEN(TRIM(B174))&gt;0</formula>
    </cfRule>
  </conditionalFormatting>
  <conditionalFormatting sqref="C171:F172">
    <cfRule type="notContainsBlanks" dxfId="620" priority="139">
      <formula>LEN(TRIM(C171))&gt;0</formula>
    </cfRule>
  </conditionalFormatting>
  <conditionalFormatting sqref="B171:B172">
    <cfRule type="notContainsBlanks" dxfId="619" priority="138">
      <formula>LEN(TRIM(B171))&gt;0</formula>
    </cfRule>
  </conditionalFormatting>
  <conditionalFormatting sqref="C173:F173">
    <cfRule type="cellIs" dxfId="618" priority="137" operator="equal">
      <formula>$B$173=""</formula>
    </cfRule>
  </conditionalFormatting>
  <conditionalFormatting sqref="C174:F174">
    <cfRule type="cellIs" dxfId="617" priority="136" operator="equal">
      <formula>$B$174=""</formula>
    </cfRule>
  </conditionalFormatting>
  <conditionalFormatting sqref="C175:F175">
    <cfRule type="cellIs" dxfId="616" priority="135" operator="equal">
      <formula>$B$175=""</formula>
    </cfRule>
  </conditionalFormatting>
  <conditionalFormatting sqref="C176:F176">
    <cfRule type="cellIs" dxfId="615" priority="134" operator="equal">
      <formula>$B$176=""</formula>
    </cfRule>
  </conditionalFormatting>
  <conditionalFormatting sqref="C177:F177">
    <cfRule type="cellIs" dxfId="614" priority="133" operator="equal">
      <formula>$B$177=""</formula>
    </cfRule>
  </conditionalFormatting>
  <conditionalFormatting sqref="C173:F177">
    <cfRule type="notContainsBlanks" dxfId="613" priority="132">
      <formula>LEN(TRIM(C173))&gt;0</formula>
    </cfRule>
  </conditionalFormatting>
  <conditionalFormatting sqref="B173">
    <cfRule type="notContainsBlanks" dxfId="612" priority="130">
      <formula>LEN(TRIM(B173))&gt;0</formula>
    </cfRule>
  </conditionalFormatting>
  <conditionalFormatting sqref="C155:F156">
    <cfRule type="notContainsBlanks" dxfId="611" priority="129">
      <formula>LEN(TRIM(C155))&gt;0</formula>
    </cfRule>
  </conditionalFormatting>
  <conditionalFormatting sqref="B155:B156">
    <cfRule type="notContainsBlanks" dxfId="610" priority="128">
      <formula>LEN(TRIM(B155))&gt;0</formula>
    </cfRule>
  </conditionalFormatting>
  <conditionalFormatting sqref="C157:F157">
    <cfRule type="cellIs" dxfId="609" priority="127" operator="equal">
      <formula>$B$157=""</formula>
    </cfRule>
  </conditionalFormatting>
  <conditionalFormatting sqref="C158:F158">
    <cfRule type="cellIs" dxfId="608" priority="126" operator="equal">
      <formula>$B$158=""</formula>
    </cfRule>
  </conditionalFormatting>
  <conditionalFormatting sqref="C159:F159">
    <cfRule type="cellIs" dxfId="607" priority="125" operator="equal">
      <formula>$B$159=""</formula>
    </cfRule>
  </conditionalFormatting>
  <conditionalFormatting sqref="C160:F160">
    <cfRule type="cellIs" dxfId="606" priority="124" operator="equal">
      <formula>$B$160=""</formula>
    </cfRule>
  </conditionalFormatting>
  <conditionalFormatting sqref="C161:F161">
    <cfRule type="cellIs" dxfId="605" priority="123" operator="equal">
      <formula>$B$161=""</formula>
    </cfRule>
  </conditionalFormatting>
  <conditionalFormatting sqref="C157:F161">
    <cfRule type="notContainsBlanks" dxfId="604" priority="122">
      <formula>LEN(TRIM(C157))&gt;0</formula>
    </cfRule>
  </conditionalFormatting>
  <conditionalFormatting sqref="B158:B161">
    <cfRule type="notContainsBlanks" dxfId="603" priority="121">
      <formula>LEN(TRIM(B158))&gt;0</formula>
    </cfRule>
  </conditionalFormatting>
  <conditionalFormatting sqref="B157">
    <cfRule type="notContainsBlanks" dxfId="602" priority="120">
      <formula>LEN(TRIM(B157))&gt;0</formula>
    </cfRule>
  </conditionalFormatting>
  <conditionalFormatting sqref="C139:F140">
    <cfRule type="notContainsBlanks" dxfId="601" priority="119">
      <formula>LEN(TRIM(C139))&gt;0</formula>
    </cfRule>
  </conditionalFormatting>
  <conditionalFormatting sqref="B141">
    <cfRule type="notContainsBlanks" dxfId="600" priority="110">
      <formula>LEN(TRIM(B141))&gt;0</formula>
    </cfRule>
  </conditionalFormatting>
  <conditionalFormatting sqref="B139:B140">
    <cfRule type="notContainsBlanks" dxfId="599" priority="118">
      <formula>LEN(TRIM(B139))&gt;0</formula>
    </cfRule>
  </conditionalFormatting>
  <conditionalFormatting sqref="C141:F141">
    <cfRule type="cellIs" dxfId="598" priority="117" operator="equal">
      <formula>$B$141=""</formula>
    </cfRule>
  </conditionalFormatting>
  <conditionalFormatting sqref="C142:F142">
    <cfRule type="cellIs" dxfId="597" priority="116" operator="equal">
      <formula>$B$142=""</formula>
    </cfRule>
  </conditionalFormatting>
  <conditionalFormatting sqref="C143:F143">
    <cfRule type="cellIs" dxfId="596" priority="115" operator="equal">
      <formula>$B$143=""</formula>
    </cfRule>
  </conditionalFormatting>
  <conditionalFormatting sqref="C144:F144">
    <cfRule type="cellIs" dxfId="595" priority="114" operator="equal">
      <formula>$B$144=""</formula>
    </cfRule>
  </conditionalFormatting>
  <conditionalFormatting sqref="C145:F145">
    <cfRule type="cellIs" dxfId="594" priority="113" operator="equal">
      <formula>$B$145=""</formula>
    </cfRule>
  </conditionalFormatting>
  <conditionalFormatting sqref="C141:F145">
    <cfRule type="notContainsBlanks" dxfId="593" priority="112">
      <formula>LEN(TRIM(C141))&gt;0</formula>
    </cfRule>
  </conditionalFormatting>
  <conditionalFormatting sqref="B142:B145">
    <cfRule type="notContainsBlanks" dxfId="592" priority="111">
      <formula>LEN(TRIM(B142))&gt;0</formula>
    </cfRule>
  </conditionalFormatting>
  <conditionalFormatting sqref="C123:F124">
    <cfRule type="notContainsBlanks" dxfId="591" priority="109">
      <formula>LEN(TRIM(C123))&gt;0</formula>
    </cfRule>
  </conditionalFormatting>
  <conditionalFormatting sqref="B126:B129">
    <cfRule type="notContainsBlanks" dxfId="590" priority="101">
      <formula>LEN(TRIM(B126))&gt;0</formula>
    </cfRule>
  </conditionalFormatting>
  <conditionalFormatting sqref="B125">
    <cfRule type="notContainsBlanks" dxfId="589" priority="100">
      <formula>LEN(TRIM(B125))&gt;0</formula>
    </cfRule>
  </conditionalFormatting>
  <conditionalFormatting sqref="B123:B124">
    <cfRule type="notContainsBlanks" dxfId="588" priority="108">
      <formula>LEN(TRIM(B123))&gt;0</formula>
    </cfRule>
  </conditionalFormatting>
  <conditionalFormatting sqref="C125:F125">
    <cfRule type="cellIs" dxfId="587" priority="107" operator="equal">
      <formula>$B$125=""</formula>
    </cfRule>
  </conditionalFormatting>
  <conditionalFormatting sqref="C126:F126">
    <cfRule type="cellIs" dxfId="586" priority="106" operator="equal">
      <formula>$B$126=""</formula>
    </cfRule>
  </conditionalFormatting>
  <conditionalFormatting sqref="C127:F127">
    <cfRule type="cellIs" dxfId="585" priority="105" operator="equal">
      <formula>$B$127=""</formula>
    </cfRule>
  </conditionalFormatting>
  <conditionalFormatting sqref="C128:F128">
    <cfRule type="cellIs" dxfId="584" priority="104" operator="equal">
      <formula>$B$128=""</formula>
    </cfRule>
  </conditionalFormatting>
  <conditionalFormatting sqref="C129:F129">
    <cfRule type="cellIs" dxfId="583" priority="103" operator="equal">
      <formula>$B$129=""</formula>
    </cfRule>
  </conditionalFormatting>
  <conditionalFormatting sqref="C125:F129">
    <cfRule type="notContainsBlanks" dxfId="582" priority="102">
      <formula>LEN(TRIM(C125))&gt;0</formula>
    </cfRule>
  </conditionalFormatting>
  <conditionalFormatting sqref="C107:F108">
    <cfRule type="notContainsBlanks" dxfId="581" priority="99">
      <formula>LEN(TRIM(C107))&gt;0</formula>
    </cfRule>
  </conditionalFormatting>
  <conditionalFormatting sqref="B107:B108">
    <cfRule type="notContainsBlanks" dxfId="580" priority="98">
      <formula>LEN(TRIM(B107))&gt;0</formula>
    </cfRule>
  </conditionalFormatting>
  <conditionalFormatting sqref="B110:B113">
    <cfRule type="notContainsBlanks" dxfId="579" priority="91">
      <formula>LEN(TRIM(B110))&gt;0</formula>
    </cfRule>
  </conditionalFormatting>
  <conditionalFormatting sqref="B109">
    <cfRule type="notContainsBlanks" dxfId="578" priority="90">
      <formula>LEN(TRIM(B109))&gt;0</formula>
    </cfRule>
  </conditionalFormatting>
  <conditionalFormatting sqref="C109:F109">
    <cfRule type="cellIs" dxfId="577" priority="97" operator="equal">
      <formula>$B$109=""</formula>
    </cfRule>
  </conditionalFormatting>
  <conditionalFormatting sqref="C110:F110">
    <cfRule type="cellIs" dxfId="576" priority="96" operator="equal">
      <formula>$B$110=""</formula>
    </cfRule>
  </conditionalFormatting>
  <conditionalFormatting sqref="C111:F111">
    <cfRule type="cellIs" dxfId="575" priority="95" operator="equal">
      <formula>$B$111=""</formula>
    </cfRule>
  </conditionalFormatting>
  <conditionalFormatting sqref="C112:F112">
    <cfRule type="cellIs" dxfId="574" priority="94" operator="equal">
      <formula>$B$112=""</formula>
    </cfRule>
  </conditionalFormatting>
  <conditionalFormatting sqref="C113:F113">
    <cfRule type="cellIs" dxfId="573" priority="93" operator="equal">
      <formula>$B$113=""</formula>
    </cfRule>
  </conditionalFormatting>
  <conditionalFormatting sqref="C109:F113">
    <cfRule type="notContainsBlanks" dxfId="572" priority="92">
      <formula>LEN(TRIM(C109))&gt;0</formula>
    </cfRule>
  </conditionalFormatting>
  <conditionalFormatting sqref="C90:F91">
    <cfRule type="notContainsBlanks" dxfId="571" priority="89">
      <formula>LEN(TRIM(C90))&gt;0</formula>
    </cfRule>
  </conditionalFormatting>
  <conditionalFormatting sqref="B92">
    <cfRule type="notContainsBlanks" dxfId="570" priority="80">
      <formula>LEN(TRIM(B92))&gt;0</formula>
    </cfRule>
  </conditionalFormatting>
  <conditionalFormatting sqref="B90:B91">
    <cfRule type="notContainsBlanks" dxfId="569" priority="88">
      <formula>LEN(TRIM(B90))&gt;0</formula>
    </cfRule>
  </conditionalFormatting>
  <conditionalFormatting sqref="C92:F92">
    <cfRule type="cellIs" dxfId="568" priority="87" operator="equal">
      <formula>$B$92=""</formula>
    </cfRule>
  </conditionalFormatting>
  <conditionalFormatting sqref="C93:F93">
    <cfRule type="cellIs" dxfId="567" priority="86" operator="equal">
      <formula>$B$93=""</formula>
    </cfRule>
  </conditionalFormatting>
  <conditionalFormatting sqref="C94:F94">
    <cfRule type="cellIs" dxfId="566" priority="85" operator="equal">
      <formula>$B$94=""</formula>
    </cfRule>
  </conditionalFormatting>
  <conditionalFormatting sqref="C95:F95">
    <cfRule type="cellIs" dxfId="565" priority="84" operator="equal">
      <formula>$B$95=""</formula>
    </cfRule>
  </conditionalFormatting>
  <conditionalFormatting sqref="C96:F96">
    <cfRule type="cellIs" dxfId="564" priority="83" operator="equal">
      <formula>$B$96=""</formula>
    </cfRule>
  </conditionalFormatting>
  <conditionalFormatting sqref="C92:F96">
    <cfRule type="notContainsBlanks" dxfId="563" priority="82">
      <formula>LEN(TRIM(C92))&gt;0</formula>
    </cfRule>
  </conditionalFormatting>
  <conditionalFormatting sqref="B93:B96">
    <cfRule type="notContainsBlanks" dxfId="562" priority="81">
      <formula>LEN(TRIM(B93))&gt;0</formula>
    </cfRule>
  </conditionalFormatting>
  <conditionalFormatting sqref="C74:F75">
    <cfRule type="notContainsBlanks" dxfId="561" priority="79">
      <formula>LEN(TRIM(C74))&gt;0</formula>
    </cfRule>
  </conditionalFormatting>
  <conditionalFormatting sqref="B74:B75">
    <cfRule type="notContainsBlanks" dxfId="560" priority="78">
      <formula>LEN(TRIM(B74))&gt;0</formula>
    </cfRule>
  </conditionalFormatting>
  <conditionalFormatting sqref="B77:B80">
    <cfRule type="notContainsBlanks" dxfId="559" priority="71">
      <formula>LEN(TRIM(B77))&gt;0</formula>
    </cfRule>
  </conditionalFormatting>
  <conditionalFormatting sqref="B76">
    <cfRule type="notContainsBlanks" dxfId="558" priority="70">
      <formula>LEN(TRIM(B76))&gt;0</formula>
    </cfRule>
  </conditionalFormatting>
  <conditionalFormatting sqref="C76:F76">
    <cfRule type="cellIs" dxfId="557" priority="77" operator="equal">
      <formula>$B$76=""</formula>
    </cfRule>
  </conditionalFormatting>
  <conditionalFormatting sqref="C77:F77">
    <cfRule type="cellIs" dxfId="556" priority="76" operator="equal">
      <formula>$B$77=""</formula>
    </cfRule>
  </conditionalFormatting>
  <conditionalFormatting sqref="C78:F78">
    <cfRule type="cellIs" dxfId="555" priority="75" operator="equal">
      <formula>$B$78=""</formula>
    </cfRule>
  </conditionalFormatting>
  <conditionalFormatting sqref="C79:F79">
    <cfRule type="cellIs" dxfId="554" priority="74" operator="equal">
      <formula>$B$79=""</formula>
    </cfRule>
  </conditionalFormatting>
  <conditionalFormatting sqref="C80:F80">
    <cfRule type="cellIs" dxfId="553" priority="73" operator="equal">
      <formula>$B$80=""</formula>
    </cfRule>
  </conditionalFormatting>
  <conditionalFormatting sqref="C76:F80">
    <cfRule type="notContainsBlanks" dxfId="552" priority="72">
      <formula>LEN(TRIM(C76))&gt;0</formula>
    </cfRule>
  </conditionalFormatting>
  <conditionalFormatting sqref="B61:B64">
    <cfRule type="notContainsBlanks" dxfId="551" priority="61">
      <formula>LEN(TRIM(B61))&gt;0</formula>
    </cfRule>
  </conditionalFormatting>
  <conditionalFormatting sqref="B60">
    <cfRule type="notContainsBlanks" dxfId="550" priority="60">
      <formula>LEN(TRIM(B60))&gt;0</formula>
    </cfRule>
  </conditionalFormatting>
  <conditionalFormatting sqref="C58:F59">
    <cfRule type="notContainsBlanks" dxfId="549" priority="69">
      <formula>LEN(TRIM(C58))&gt;0</formula>
    </cfRule>
  </conditionalFormatting>
  <conditionalFormatting sqref="B58:B59">
    <cfRule type="notContainsBlanks" dxfId="548" priority="68">
      <formula>LEN(TRIM(B58))&gt;0</formula>
    </cfRule>
  </conditionalFormatting>
  <conditionalFormatting sqref="C60:F60">
    <cfRule type="cellIs" dxfId="547" priority="67" operator="equal">
      <formula>$B$60=""</formula>
    </cfRule>
  </conditionalFormatting>
  <conditionalFormatting sqref="C61:F61">
    <cfRule type="cellIs" dxfId="546" priority="66" operator="equal">
      <formula>$B$61=""</formula>
    </cfRule>
  </conditionalFormatting>
  <conditionalFormatting sqref="C62:F62">
    <cfRule type="cellIs" dxfId="545" priority="65" operator="equal">
      <formula>$B$62=""</formula>
    </cfRule>
  </conditionalFormatting>
  <conditionalFormatting sqref="C63:F63">
    <cfRule type="cellIs" dxfId="544" priority="64" operator="equal">
      <formula>$B$63=""</formula>
    </cfRule>
  </conditionalFormatting>
  <conditionalFormatting sqref="C64:F64">
    <cfRule type="cellIs" dxfId="543" priority="63" operator="equal">
      <formula>$B$64=""</formula>
    </cfRule>
  </conditionalFormatting>
  <conditionalFormatting sqref="C60:F64">
    <cfRule type="notContainsBlanks" dxfId="542" priority="62">
      <formula>LEN(TRIM(C60))&gt;0</formula>
    </cfRule>
  </conditionalFormatting>
  <conditionalFormatting sqref="B43:F44">
    <cfRule type="notContainsBlanks" dxfId="541" priority="59">
      <formula>LEN(TRIM(B43))&gt;0</formula>
    </cfRule>
  </conditionalFormatting>
  <conditionalFormatting sqref="C45:F45">
    <cfRule type="cellIs" dxfId="540" priority="58" operator="equal">
      <formula>$B$45=""</formula>
    </cfRule>
  </conditionalFormatting>
  <conditionalFormatting sqref="C46:F46">
    <cfRule type="cellIs" dxfId="539" priority="57" operator="equal">
      <formula>$B$46=""</formula>
    </cfRule>
  </conditionalFormatting>
  <conditionalFormatting sqref="C47:F47">
    <cfRule type="cellIs" dxfId="538" priority="56" operator="equal">
      <formula>$B$47=""</formula>
    </cfRule>
  </conditionalFormatting>
  <conditionalFormatting sqref="C48:F48">
    <cfRule type="cellIs" dxfId="537" priority="55" operator="equal">
      <formula>$B$48=""</formula>
    </cfRule>
  </conditionalFormatting>
  <conditionalFormatting sqref="C49:F49">
    <cfRule type="cellIs" dxfId="536" priority="54" operator="equal">
      <formula>$B$49=""</formula>
    </cfRule>
  </conditionalFormatting>
  <conditionalFormatting sqref="C45:F49">
    <cfRule type="notContainsBlanks" dxfId="535" priority="53">
      <formula>LEN(TRIM(C45))&gt;0</formula>
    </cfRule>
  </conditionalFormatting>
  <conditionalFormatting sqref="B46:B49">
    <cfRule type="notContainsBlanks" dxfId="534" priority="52">
      <formula>LEN(TRIM(B46))&gt;0</formula>
    </cfRule>
  </conditionalFormatting>
  <conditionalFormatting sqref="B45">
    <cfRule type="notContainsBlanks" dxfId="533" priority="51">
      <formula>LEN(TRIM(B45))&gt;0</formula>
    </cfRule>
  </conditionalFormatting>
  <conditionalFormatting sqref="B29:B32">
    <cfRule type="notContainsBlanks" dxfId="532" priority="47">
      <formula>LEN(TRIM(B29))&gt;0</formula>
    </cfRule>
  </conditionalFormatting>
  <conditionalFormatting sqref="B28">
    <cfRule type="notContainsBlanks" dxfId="531" priority="46">
      <formula>LEN(TRIM(B28))&gt;0</formula>
    </cfRule>
  </conditionalFormatting>
  <conditionalFormatting sqref="C28:F28">
    <cfRule type="cellIs" dxfId="530" priority="45" operator="equal">
      <formula>$B$28=""</formula>
    </cfRule>
  </conditionalFormatting>
  <conditionalFormatting sqref="C29:F29">
    <cfRule type="cellIs" dxfId="529" priority="44" operator="equal">
      <formula>$B$29=""</formula>
    </cfRule>
  </conditionalFormatting>
  <conditionalFormatting sqref="C31:F31">
    <cfRule type="cellIs" dxfId="528" priority="43" operator="equal">
      <formula>$B$31=""</formula>
    </cfRule>
  </conditionalFormatting>
  <conditionalFormatting sqref="C26:F27">
    <cfRule type="notContainsBlanks" dxfId="527" priority="48">
      <formula>LEN(TRIM(C26))&gt;0</formula>
    </cfRule>
  </conditionalFormatting>
  <conditionalFormatting sqref="B26:B27">
    <cfRule type="notContainsBlanks" dxfId="526" priority="42">
      <formula>LEN(TRIM(B26))&gt;0</formula>
    </cfRule>
  </conditionalFormatting>
  <conditionalFormatting sqref="C28:F32">
    <cfRule type="notContainsBlanks" dxfId="525" priority="41">
      <formula>LEN(TRIM(C28))&gt;0</formula>
    </cfRule>
  </conditionalFormatting>
  <conditionalFormatting sqref="C32:F32">
    <cfRule type="cellIs" dxfId="524" priority="49" operator="equal">
      <formula>$B$32=""</formula>
    </cfRule>
  </conditionalFormatting>
  <conditionalFormatting sqref="C30:F30">
    <cfRule type="cellIs" dxfId="523" priority="50" operator="equal">
      <formula>$B$30=""</formula>
    </cfRule>
  </conditionalFormatting>
  <conditionalFormatting sqref="F24">
    <cfRule type="cellIs" dxfId="522" priority="38" operator="equal">
      <formula>$B$24=""</formula>
    </cfRule>
  </conditionalFormatting>
  <conditionalFormatting sqref="B24:E24">
    <cfRule type="notContainsBlanks" dxfId="521" priority="257">
      <formula>LEN(TRIM(B24))&gt;0</formula>
    </cfRule>
  </conditionalFormatting>
  <conditionalFormatting sqref="F41">
    <cfRule type="cellIs" dxfId="520" priority="35" operator="equal">
      <formula>$B$41=""</formula>
    </cfRule>
  </conditionalFormatting>
  <conditionalFormatting sqref="B41:E41">
    <cfRule type="notContainsBlanks" dxfId="519" priority="37">
      <formula>LEN(TRIM(B41))&gt;0</formula>
    </cfRule>
  </conditionalFormatting>
  <conditionalFormatting sqref="F56">
    <cfRule type="cellIs" dxfId="518" priority="32" operator="equal">
      <formula>$B$56=""</formula>
    </cfRule>
  </conditionalFormatting>
  <conditionalFormatting sqref="B56:E56">
    <cfRule type="notContainsBlanks" dxfId="517" priority="34">
      <formula>LEN(TRIM(B56))&gt;0</formula>
    </cfRule>
  </conditionalFormatting>
  <conditionalFormatting sqref="F72">
    <cfRule type="cellIs" dxfId="516" priority="29" operator="equal">
      <formula>$B$72=""</formula>
    </cfRule>
  </conditionalFormatting>
  <conditionalFormatting sqref="B72:E72">
    <cfRule type="notContainsBlanks" dxfId="515" priority="31">
      <formula>LEN(TRIM(B72))&gt;0</formula>
    </cfRule>
  </conditionalFormatting>
  <conditionalFormatting sqref="F88">
    <cfRule type="cellIs" dxfId="514" priority="26" operator="equal">
      <formula>$B$88=""</formula>
    </cfRule>
  </conditionalFormatting>
  <conditionalFormatting sqref="B88:E88">
    <cfRule type="notContainsBlanks" dxfId="513" priority="28">
      <formula>LEN(TRIM(B88))&gt;0</formula>
    </cfRule>
  </conditionalFormatting>
  <conditionalFormatting sqref="F105">
    <cfRule type="cellIs" dxfId="512" priority="23" operator="equal">
      <formula>$B$105=""</formula>
    </cfRule>
  </conditionalFormatting>
  <conditionalFormatting sqref="B105:E105">
    <cfRule type="notContainsBlanks" dxfId="511" priority="25">
      <formula>LEN(TRIM(B105))&gt;0</formula>
    </cfRule>
  </conditionalFormatting>
  <conditionalFormatting sqref="F121">
    <cfRule type="cellIs" dxfId="510" priority="20" operator="equal">
      <formula>$B$121=""</formula>
    </cfRule>
  </conditionalFormatting>
  <conditionalFormatting sqref="B121:E121">
    <cfRule type="notContainsBlanks" dxfId="509" priority="22">
      <formula>LEN(TRIM(B121))&gt;0</formula>
    </cfRule>
  </conditionalFormatting>
  <conditionalFormatting sqref="F137">
    <cfRule type="cellIs" dxfId="508" priority="17" operator="equal">
      <formula>$B$137=""</formula>
    </cfRule>
  </conditionalFormatting>
  <conditionalFormatting sqref="B137:E137">
    <cfRule type="notContainsBlanks" dxfId="507" priority="19">
      <formula>LEN(TRIM(B137))&gt;0</formula>
    </cfRule>
  </conditionalFormatting>
  <conditionalFormatting sqref="F153">
    <cfRule type="cellIs" dxfId="506" priority="14" operator="equal">
      <formula>$B$153=""</formula>
    </cfRule>
  </conditionalFormatting>
  <conditionalFormatting sqref="B153:E153">
    <cfRule type="notContainsBlanks" dxfId="505" priority="16">
      <formula>LEN(TRIM(B153))&gt;0</formula>
    </cfRule>
  </conditionalFormatting>
  <conditionalFormatting sqref="F169">
    <cfRule type="cellIs" dxfId="504" priority="11" operator="equal">
      <formula>$B$169=""</formula>
    </cfRule>
  </conditionalFormatting>
  <conditionalFormatting sqref="B169:E169">
    <cfRule type="notContainsBlanks" dxfId="503" priority="13">
      <formula>LEN(TRIM(B169))&gt;0</formula>
    </cfRule>
  </conditionalFormatting>
  <dataValidations count="3">
    <dataValidation type="list" allowBlank="1" showInputMessage="1" showErrorMessage="1" sqref="J21:J30 J38:J47 J53:J62 J69:J78 J85:J94 J102:J111 J118:J127 J134:J143 J150:J159 J166:J175" xr:uid="{00000000-0002-0000-0800-000000000000}">
      <formula1>ConcreteProcesses</formula1>
    </dataValidation>
    <dataValidation type="whole" allowBlank="1" showInputMessage="1" showErrorMessage="1" sqref="C18:F18 D4 G5" xr:uid="{00000000-0002-0000-0800-000001000000}">
      <formula1>0</formula1>
      <formula2>100</formula2>
    </dataValidation>
    <dataValidation type="list" allowBlank="1" showInputMessage="1" showErrorMessage="1" sqref="F24 F41 F56 F72 F88 F105 F121 F137 F153 F169" xr:uid="{00000000-0002-0000-0800-000002000000}">
      <formula1>CHECK</formula1>
    </dataValidation>
  </dataValidations>
  <pageMargins left="0.25" right="0.25" top="0.75" bottom="0.75" header="0.3" footer="0.3"/>
  <pageSetup scale="65" fitToHeight="0" orientation="landscape" verticalDpi="300" r:id="rId1"/>
  <legacyDrawing r:id="rId2"/>
  <extLst>
    <ext xmlns:x14="http://schemas.microsoft.com/office/spreadsheetml/2009/9/main" uri="{78C0D931-6437-407d-A8EE-F0AAD7539E65}">
      <x14:conditionalFormattings>
        <x14:conditionalFormatting xmlns:xm="http://schemas.microsoft.com/office/excel/2006/main">
          <x14:cfRule type="notContainsBlanks" priority="39" id="{AB944DCE-CA37-4EEF-9944-DB6477FAB72E}">
            <xm:f>LEN(TRIM('Concrete Plant (CP-3)'!F24))&gt;0</xm:f>
            <x14:dxf>
              <fill>
                <patternFill>
                  <bgColor rgb="FFFFFF99"/>
                </patternFill>
              </fill>
              <border>
                <left style="thin">
                  <color auto="1"/>
                </left>
                <right style="thin">
                  <color auto="1"/>
                </right>
                <top style="thin">
                  <color auto="1"/>
                </top>
                <bottom style="thin">
                  <color auto="1"/>
                </bottom>
                <vertical/>
                <horizontal/>
              </border>
            </x14:dxf>
          </x14:cfRule>
          <xm:sqref>F169 F153 F137 F41 F24 F105 F121</xm:sqref>
        </x14:conditionalFormatting>
        <x14:conditionalFormatting xmlns:xm="http://schemas.microsoft.com/office/excel/2006/main">
          <x14:cfRule type="notContainsBlanks" priority="4" stopIfTrue="1" id="{4B45D525-6F3A-44FD-B6E0-B317693F4D50}">
            <xm:f>LEN(TRIM('Concrete Plant (CP-1)'!M64))&gt;0</xm:f>
            <x14:dxf>
              <border>
                <left style="thin">
                  <color indexed="64"/>
                </left>
                <right style="thin">
                  <color indexed="64"/>
                </right>
                <top style="thin">
                  <color indexed="64"/>
                </top>
                <bottom style="thin">
                  <color indexed="64"/>
                </bottom>
              </border>
            </x14:dxf>
          </x14:cfRule>
          <xm:sqref>M178:N178 M65:N65 M81:N81 M97:N97</xm:sqref>
        </x14:conditionalFormatting>
        <x14:conditionalFormatting xmlns:xm="http://schemas.microsoft.com/office/excel/2006/main">
          <x14:cfRule type="cellIs" priority="3" stopIfTrue="1" operator="equal" id="{39C5A594-D640-4838-A716-2072B394FDD9}">
            <xm:f>'Concrete Plant (CP-1)'!$B$51="batch plant"</xm:f>
            <x14:dxf>
              <fill>
                <patternFill patternType="none">
                  <bgColor indexed="65"/>
                </patternFill>
              </fill>
              <border>
                <left/>
                <right/>
                <top/>
                <bottom/>
              </border>
            </x14:dxf>
          </x14:cfRule>
          <xm:sqref>M63:N66 M52:N52</xm:sqref>
        </x14:conditionalFormatting>
        <x14:conditionalFormatting xmlns:xm="http://schemas.microsoft.com/office/excel/2006/main">
          <x14:cfRule type="cellIs" priority="5" stopIfTrue="1" operator="equal" id="{72421CAE-D7A8-4095-8B19-CF3C41DD42CC}">
            <xm:f>'Concrete Plant (CP-1)'!$B$67="batch plant"</xm:f>
            <x14:dxf>
              <fill>
                <patternFill patternType="none">
                  <bgColor indexed="65"/>
                </patternFill>
              </fill>
              <border>
                <left/>
                <right/>
                <top/>
                <bottom/>
              </border>
            </x14:dxf>
          </x14:cfRule>
          <xm:sqref>M79:N82 M68:N68</xm:sqref>
        </x14:conditionalFormatting>
        <x14:conditionalFormatting xmlns:xm="http://schemas.microsoft.com/office/excel/2006/main">
          <x14:cfRule type="cellIs" priority="6" stopIfTrue="1" operator="equal" id="{E1380169-6A89-4ED7-B781-B1F9C47256D2}">
            <xm:f>'Concrete Plant (CP-1)'!$B$83="batch plant"</xm:f>
            <x14:dxf>
              <fill>
                <patternFill patternType="none">
                  <bgColor indexed="65"/>
                </patternFill>
              </fill>
              <border>
                <left/>
                <right/>
                <top/>
                <bottom/>
              </border>
            </x14:dxf>
          </x14:cfRule>
          <xm:sqref>M95:N98 M84:N84</xm:sqref>
        </x14:conditionalFormatting>
        <x14:conditionalFormatting xmlns:xm="http://schemas.microsoft.com/office/excel/2006/main">
          <x14:cfRule type="cellIs" priority="7" stopIfTrue="1" operator="equal" id="{49CE3C7A-7842-47BA-B947-6960B34B94F1}">
            <xm:f>'Concrete Plant (CP-1)'!$B$99="batch plant"</xm:f>
            <x14:dxf>
              <fill>
                <patternFill patternType="none">
                  <bgColor indexed="65"/>
                </patternFill>
              </fill>
              <border>
                <left/>
                <right/>
                <top/>
                <bottom/>
              </border>
            </x14:dxf>
          </x14:cfRule>
          <xm:sqref>M112:N115 M101:N101</xm:sqref>
        </x14:conditionalFormatting>
        <x14:conditionalFormatting xmlns:xm="http://schemas.microsoft.com/office/excel/2006/main">
          <x14:cfRule type="cellIs" priority="8" stopIfTrue="1" operator="equal" id="{AC53B660-BD29-4D75-898D-13FEC344FC38}">
            <xm:f>'Concrete Plant (CP-1)'!$B$115="batch plant"</xm:f>
            <x14:dxf>
              <fill>
                <patternFill patternType="none">
                  <bgColor indexed="65"/>
                </patternFill>
              </fill>
              <border>
                <left/>
                <right/>
                <top/>
                <bottom/>
              </border>
            </x14:dxf>
          </x14:cfRule>
          <xm:sqref>M128:N131 M117:N117</xm:sqref>
        </x14:conditionalFormatting>
        <x14:conditionalFormatting xmlns:xm="http://schemas.microsoft.com/office/excel/2006/main">
          <x14:cfRule type="cellIs" priority="9" stopIfTrue="1" operator="equal" id="{4DF68DCA-FEE5-48BA-8C68-922C234230FF}">
            <xm:f>'Concrete Plant (CP-1)'!$B$131="batch plant"</xm:f>
            <x14:dxf>
              <fill>
                <patternFill patternType="none">
                  <bgColor indexed="65"/>
                </patternFill>
              </fill>
              <border>
                <left/>
                <right/>
                <top/>
                <bottom/>
              </border>
            </x14:dxf>
          </x14:cfRule>
          <xm:sqref>M144:N147 M133:N133</xm:sqref>
        </x14:conditionalFormatting>
        <x14:conditionalFormatting xmlns:xm="http://schemas.microsoft.com/office/excel/2006/main">
          <x14:cfRule type="cellIs" priority="10" stopIfTrue="1" operator="equal" id="{AD06AF8E-2095-4857-83C7-E8AF16ED1121}">
            <xm:f>'Concrete Plant (CP-1)'!$B$147="batch plant"</xm:f>
            <x14:dxf>
              <fill>
                <patternFill patternType="none">
                  <bgColor indexed="65"/>
                </patternFill>
              </fill>
              <border>
                <left/>
                <right/>
                <top/>
                <bottom/>
              </border>
            </x14:dxf>
          </x14:cfRule>
          <xm:sqref>M160:N163 M149:N149</xm:sqref>
        </x14:conditionalFormatting>
        <x14:conditionalFormatting xmlns:xm="http://schemas.microsoft.com/office/excel/2006/main">
          <x14:cfRule type="cellIs" priority="2" operator="equal" id="{8DA4033F-1431-4B01-83ED-9A8891F096B5}">
            <xm:f>'Concrete Plant (CP-1)'!$B$36="batch plant"</xm:f>
            <x14:dxf>
              <fill>
                <patternFill patternType="none">
                  <bgColor auto="1"/>
                </patternFill>
              </fill>
              <border>
                <left/>
                <right/>
                <top/>
                <bottom/>
                <vertical/>
                <horizontal/>
              </border>
            </x14:dxf>
          </x14:cfRule>
          <xm:sqref>M51:N51</xm:sqref>
        </x14:conditionalFormatting>
        <x14:conditionalFormatting xmlns:xm="http://schemas.microsoft.com/office/excel/2006/main">
          <x14:cfRule type="cellIs" priority="1" stopIfTrue="1" operator="equal" id="{2A981A4C-777F-42A3-97E9-1EE3BF83E624}">
            <xm:f>'Concrete Plant (CP-1)'!$B$164="batch plant"</xm:f>
            <x14:dxf>
              <fill>
                <patternFill patternType="none">
                  <bgColor indexed="65"/>
                </patternFill>
              </fill>
              <border>
                <left/>
                <right/>
                <top/>
                <bottom/>
              </border>
            </x14:dxf>
          </x14:cfRule>
          <xm:sqref>M179:N179</xm:sqref>
        </x14:conditionalFormatting>
        <x14:conditionalFormatting xmlns:xm="http://schemas.microsoft.com/office/excel/2006/main">
          <x14:cfRule type="notContainsBlanks" priority="1305" stopIfTrue="1" id="{4B45D525-6F3A-44FD-B6E0-B317693F4D50}">
            <xm:f>LEN(TRIM('Concrete Plant (CP-1)'!#REF!))&gt;0</xm:f>
            <x14:dxf>
              <border>
                <left style="thin">
                  <color indexed="64"/>
                </left>
                <right style="thin">
                  <color indexed="64"/>
                </right>
                <top style="thin">
                  <color indexed="64"/>
                </top>
                <bottom style="thin">
                  <color indexed="64"/>
                </bottom>
              </border>
            </x14:dxf>
          </x14:cfRule>
          <xm:sqref>M50:N50</xm:sqref>
        </x14:conditionalFormatting>
        <x14:conditionalFormatting xmlns:xm="http://schemas.microsoft.com/office/excel/2006/main">
          <x14:cfRule type="notContainsBlanks" priority="4367" stopIfTrue="1" id="{4B45D525-6F3A-44FD-B6E0-B317693F4D50}">
            <xm:f>LEN(TRIM('Concrete Plant (CP-1)'!M112))&gt;0</xm:f>
            <x14:dxf>
              <border>
                <left style="thin">
                  <color indexed="64"/>
                </left>
                <right style="thin">
                  <color indexed="64"/>
                </right>
                <top style="thin">
                  <color indexed="64"/>
                </top>
                <bottom style="thin">
                  <color indexed="64"/>
                </bottom>
              </border>
            </x14:dxf>
          </x14:cfRule>
          <xm:sqref>M162:N162 M146:N146 M114:N114 M130:N130</xm:sqref>
        </x14:conditionalFormatting>
        <x14:conditionalFormatting xmlns:xm="http://schemas.microsoft.com/office/excel/2006/main">
          <x14:cfRule type="notContainsBlanks" priority="7235" id="{AB944DCE-CA37-4EEF-9944-DB6477FAB72E}">
            <xm:f>LEN(TRIM('Concrete Plant (CP-3)'!F57))&gt;0</xm:f>
            <x14:dxf>
              <fill>
                <patternFill>
                  <bgColor rgb="FFFFFF99"/>
                </patternFill>
              </fill>
              <border>
                <left style="thin">
                  <color auto="1"/>
                </left>
                <right style="thin">
                  <color auto="1"/>
                </right>
                <top style="thin">
                  <color auto="1"/>
                </top>
                <bottom style="thin">
                  <color auto="1"/>
                </bottom>
                <vertical/>
                <horizontal/>
              </border>
            </x14:dxf>
          </x14:cfRule>
          <xm:sqref>F56 F72 F88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W180"/>
  <sheetViews>
    <sheetView topLeftCell="B1" workbookViewId="0">
      <selection activeCell="B1" sqref="B1"/>
    </sheetView>
  </sheetViews>
  <sheetFormatPr defaultColWidth="8.85546875" defaultRowHeight="14.25" customHeight="1" x14ac:dyDescent="0.2"/>
  <cols>
    <col min="1" max="1" width="14" style="67" hidden="1" customWidth="1"/>
    <col min="2" max="2" width="31.85546875" style="67" customWidth="1"/>
    <col min="3" max="3" width="9.42578125" style="67" customWidth="1"/>
    <col min="4" max="4" width="12.42578125" style="67" customWidth="1"/>
    <col min="5" max="5" width="9.42578125" style="67" customWidth="1"/>
    <col min="6" max="6" width="11.140625" style="67" customWidth="1"/>
    <col min="7" max="7" width="2.85546875" style="67" customWidth="1"/>
    <col min="8" max="8" width="13.85546875" style="67" customWidth="1"/>
    <col min="9" max="9" width="14" style="67" customWidth="1"/>
    <col min="10" max="10" width="31.140625" style="67" customWidth="1"/>
    <col min="11" max="11" width="38" style="67" customWidth="1"/>
    <col min="12" max="12" width="27.42578125" style="67" customWidth="1"/>
    <col min="13" max="13" width="6.28515625" style="177" hidden="1" customWidth="1"/>
    <col min="14" max="14" width="7.42578125" style="177" hidden="1" customWidth="1"/>
    <col min="15" max="15" width="7" style="67" customWidth="1"/>
    <col min="16" max="16" width="31.28515625" style="67" customWidth="1"/>
    <col min="17" max="17" width="18.140625" style="67" customWidth="1"/>
    <col min="18" max="18" width="16.7109375" style="67" customWidth="1"/>
    <col min="19" max="19" width="18.140625" style="67" hidden="1" customWidth="1"/>
    <col min="20" max="21" width="16.42578125" style="67" hidden="1" customWidth="1"/>
    <col min="22" max="22" width="16.28515625" style="67" customWidth="1"/>
    <col min="23" max="23" width="0" style="67" hidden="1" customWidth="1"/>
    <col min="24" max="16384" width="8.85546875" style="67"/>
  </cols>
  <sheetData>
    <row r="1" spans="2:21" ht="14.25" customHeight="1" x14ac:dyDescent="0.2">
      <c r="B1" s="322" t="s">
        <v>219</v>
      </c>
      <c r="C1" s="322"/>
      <c r="D1" s="313"/>
      <c r="E1" s="313"/>
      <c r="F1" s="169"/>
    </row>
    <row r="2" spans="2:21" ht="14.25" customHeight="1" x14ac:dyDescent="0.25">
      <c r="B2" s="325" t="s">
        <v>37</v>
      </c>
      <c r="C2" s="326"/>
      <c r="D2" s="326"/>
      <c r="E2" s="326"/>
      <c r="F2" s="178"/>
      <c r="J2" s="31"/>
      <c r="L2" s="323" t="s">
        <v>144</v>
      </c>
      <c r="M2" s="216"/>
      <c r="N2" s="216"/>
      <c r="P2" s="68" t="s">
        <v>255</v>
      </c>
      <c r="Q2" s="68"/>
      <c r="R2" s="68"/>
      <c r="S2" s="68"/>
    </row>
    <row r="3" spans="2:21" ht="28.5" customHeight="1" x14ac:dyDescent="0.2">
      <c r="P3" s="317" t="s">
        <v>0</v>
      </c>
      <c r="Q3" s="309" t="s">
        <v>242</v>
      </c>
      <c r="R3" s="309" t="s">
        <v>243</v>
      </c>
    </row>
    <row r="4" spans="2:21" ht="14.25" customHeight="1" x14ac:dyDescent="0.2">
      <c r="B4" s="180" t="str">
        <f>"Number of Sites this Plant operated at in "&amp;'Facility Information'!G5&amp;":"</f>
        <v>Number of Sites this Plant operated at in :</v>
      </c>
      <c r="C4" s="181"/>
      <c r="D4" s="184"/>
      <c r="H4" s="179"/>
      <c r="I4" s="146"/>
      <c r="P4" s="90" t="s">
        <v>191</v>
      </c>
      <c r="Q4" s="110">
        <f ca="1">MAX((IFERROR(OFFSET($J$20,MATCH("Aggregate Delivery to Ground Storage",$J$21:$J$30,0),1),0)),((IFERROR((OFFSET($J$37,MATCH("Aggregate Delivery to Ground Storage",$J$38:$J$47,0),1)),0))),((IFERROR((OFFSET($J$52,MATCH("Aggregate Delivery to Ground Storage",$J$53:$J$62,0),1)),0))),((IFERROR((OFFSET($J$68,MATCH("Aggregate Delivery to Ground Storage",$J$69:$J$78,0),1)),0))),((IFERROR((OFFSET($J$84,MATCH("Aggregate Delivery to Ground Storage",$J$85:$J$94,0),1)),0))),((IFERROR((OFFSET($J$100,MATCH("Aggregate Delivery to Ground Storage",$J$101:$J$110,0),1)),0))),((IFERROR((OFFSET($J$116,MATCH("Aggregate Delivery to Ground Storage",$J$117:$J$126,0),1)),0))),((IFERROR((OFFSET($J$132,MATCH("Aggregate Delivery to Ground Storage",$J$133:$J$142,0),1)),0))),((IFERROR((OFFSET($J$148,MATCH("Aggregate Delivery to Ground Storage",$J$149:$J$158,0),1)),0))),((IFERROR((OFFSET($J$164,MATCH("Aggregate Delivery to Ground Storage",$J$165:$J$174,0),1)),0))),)</f>
        <v>0</v>
      </c>
      <c r="R4" s="110">
        <f ca="1">SUM((IFERROR(OFFSET($J$20,MATCH("Aggregate Delivery to Ground Storage",$J$21:$J$30,0),2),0)),((IFERROR((OFFSET($J$37,MATCH("Aggregate Delivery to Ground Storage",$J$38:$J$47,0),2)),0))),((IFERROR((OFFSET($J$52,MATCH("Aggregate Delivery to Ground Storage",$J$53:$J$62,0),2)),0))),((IFERROR((OFFSET($J$68,MATCH("Aggregate Delivery to Ground Storage",$J$69:$J$78,0),2)),0))),((IFERROR((OFFSET($J$84,MATCH("Aggregate Delivery to Ground Storage",$J$85:$J$94,0),2)),0))),((IFERROR((OFFSET($J$100,MATCH("Aggregate Delivery to Ground Storage",$J$101:$J$110,0),2)),0))),((IFERROR((OFFSET($J$116,MATCH("Aggregate Delivery to Ground Storage",$J$117:$J$126,0),2)),0))),((IFERROR((OFFSET($J$132,MATCH("Aggregate Delivery to Ground Storage",$J$133:$J$142,0),2)),0))),((IFERROR((OFFSET($J$148,MATCH("Aggregate Delivery to Ground Storage",$J$149:$J$158,0),2)),0))),((IFERROR((OFFSET($J$164,MATCH("Aggregate Delivery to Ground Storage",$J$165:$J$174,0),2)),0))),)</f>
        <v>0</v>
      </c>
      <c r="S4" s="386" t="s">
        <v>252</v>
      </c>
      <c r="T4" s="386"/>
      <c r="U4" s="386"/>
    </row>
    <row r="5" spans="2:21" ht="14.25" customHeight="1" x14ac:dyDescent="0.2">
      <c r="B5" s="83"/>
      <c r="C5" s="83"/>
      <c r="D5" s="83"/>
      <c r="E5" s="83"/>
      <c r="F5" s="83"/>
      <c r="G5" s="146"/>
      <c r="H5" s="146"/>
      <c r="I5" s="146"/>
      <c r="P5" s="90" t="s">
        <v>192</v>
      </c>
      <c r="Q5" s="110">
        <f ca="1">MAX((IFERROR(OFFSET($J$20,MATCH("Sand Delivery to Ground Storage",$J$21:$J$30,0),1),0)),((IFERROR((OFFSET($J$37,MATCH("Sand Delivery to Ground Storage",$J$38:$J$47,0),1)),0))),((IFERROR((OFFSET($J$52,MATCH("Sand Delivery to Ground Storage",$J$53:$J$62,0),1)),0))),((IFERROR((OFFSET($J$68,MATCH("Sand Delivery to Ground Storage",$J$69:$J$78,0),1)),0))),((IFERROR((OFFSET($J$84,MATCH("Sand Delivery to Ground Storage",$J$85:$J$94,0),1)),0))),((IFERROR((OFFSET($J$100,MATCH("Sand Delivery to Ground Storage",$J$101:$J$110,0),1)),0))),((IFERROR((OFFSET($J$116,MATCH("Sand Delivery to Ground Storage",$J$117:$J$126,0),1)),0))),((IFERROR((OFFSET($J$132,MATCH("Sand Delivery to Ground Storage",$J$133:$J$142,0),1)),0))),((IFERROR((OFFSET($J$148,MATCH("Sand Delivery to Ground Storage",$J$149:$J$158,0),1)),0))),((IFERROR((OFFSET($J$164,MATCH("Sand Delivery to Ground Storage",$J$165:$J$174,0),1)),0))),)</f>
        <v>0</v>
      </c>
      <c r="R5" s="110">
        <f ca="1">SUM((IFERROR(OFFSET($J$20,MATCH("Sand Delivery to Ground Storage",$J$21:$J$30,0),2),0)),((IFERROR((OFFSET($J$37,MATCH("Sand Delivery to Ground Storage",$J$38:$J$47,0),2)),0))),((IFERROR((OFFSET($J$52,MATCH("Sand Delivery to Ground Storage",$J$53:$J$62,0),2)),0))),((IFERROR((OFFSET($J$68,MATCH("Sand Delivery to Ground Storage",$J$69:$J$78,0),2)),0))),((IFERROR((OFFSET($J$84,MATCH("Sand Delivery to Ground Storage",$J$85:$J$94,0),2)),0))),((IFERROR((OFFSET($J$100,MATCH("Sand Delivery to Ground Storage",$J$101:$J$110,0),2)),0))),((IFERROR((OFFSET($J$116,MATCH("Sand Delivery to Ground Storage",$J$117:$J$126,0),2)),0))),((IFERROR((OFFSET($J$132,MATCH("Sand Delivery to Ground Storage",$J$133:$J$142,0),2)),0))),((IFERROR((OFFSET($J$148,MATCH("Sand Delivery to Ground Storage",$J$149:$J$158,0),2)),0))),((IFERROR((OFFSET($J$164,MATCH("Sand Delivery to Ground Storage",$J$165:$J$174,0),2)),0))),)</f>
        <v>0</v>
      </c>
      <c r="S5" s="386"/>
      <c r="T5" s="386"/>
      <c r="U5" s="386"/>
    </row>
    <row r="6" spans="2:21" ht="14.25" customHeight="1" x14ac:dyDescent="0.2">
      <c r="B6" s="327" t="s">
        <v>156</v>
      </c>
      <c r="C6" s="328"/>
      <c r="D6" s="338"/>
      <c r="E6" s="125"/>
      <c r="F6" s="125"/>
      <c r="G6" s="45"/>
      <c r="H6" s="45"/>
      <c r="I6" s="45"/>
      <c r="J6" s="45"/>
      <c r="K6" s="45"/>
      <c r="L6" s="45"/>
      <c r="M6" s="182"/>
      <c r="N6" s="182"/>
      <c r="P6" s="90" t="s">
        <v>193</v>
      </c>
      <c r="Q6" s="110">
        <f ca="1">MAX((IFERROR(OFFSET($J$20,MATCH("Aggregate Transfer to Conveyor",$J$21:$J$30,0),1),0)),((IFERROR((OFFSET($J$37,MATCH("Aggregate Transfer to Conveyor",$J$38:$J$47,0),1)),0))),((IFERROR((OFFSET($J$52,MATCH("Aggregate Transfer to Conveyor",$J$53:$J$62,0),1)),0))),((IFERROR((OFFSET($J$68,MATCH("Aggregate Transfer to Conveyor",$J$69:$J$78,0),1)),0))),((IFERROR((OFFSET($J$84,MATCH("Aggregate Transfer to Conveyor",$J$85:$J$94,0),1)),0))),((IFERROR((OFFSET($J$100,MATCH("Aggregate Transfer to Conveyor",$J$101:$J$110,0),1)),0))),((IFERROR((OFFSET($J$116,MATCH("Aggregate Transfer to Conveyor",$J$117:$J$126,0),1)),0))),((IFERROR((OFFSET($J$132,MATCH("Aggregate Transfer to Conveyor",$J$133:$J$142,0),1)),0))),((IFERROR((OFFSET($J$148,MATCH("Aggregate Transfer to Conveyor",$J$149:$J$158,0),1)),0))),((IFERROR((OFFSET($J$164,MATCH("Aggregate Transfer to Conveyor",$J$165:$J$174,0),1)),0))),)</f>
        <v>0</v>
      </c>
      <c r="R6" s="110">
        <f ca="1">SUM((IFERROR(OFFSET($J$20,MATCH("Aggregate Transfer to Conveyor",$J$21:$J$30,0),2),0)),((IFERROR((OFFSET($J$37,MATCH("Aggregate Transfer to Conveyor",$J$38:$J$47,0),2)),0))),((IFERROR((OFFSET($J$52,MATCH("Aggregate Transfer to Conveyor",$J$53:$J$62,0),2)),0))),((IFERROR((OFFSET($J$68,MATCH("Aggregate Transfer to Conveyor",$J$69:$J$78,0),2)),0))),((IFERROR((OFFSET($J$84,MATCH("Aggregate Transfer to Conveyor",$J$85:$J$94,0),2)),0))),((IFERROR((OFFSET($J$100,MATCH("Aggregate Transfer to Conveyor",$J$101:$J$110,0),2)),0))),((IFERROR((OFFSET($J$116,MATCH("Aggregate Transfer to Conveyor",$J$117:$J$126,0),2)),0))),((IFERROR((OFFSET($J$132,MATCH("Aggregate Transfer to Conveyor",$J$133:$J$142,0),2)),0))),((IFERROR((OFFSET($J$148,MATCH("Aggregate Transfer to Conveyor",$J$149:$J$158,0),2)),0))),((IFERROR((OFFSET($J$164,MATCH("Aggregate Transfer to Conveyor",$J$165:$J$174,0),2)),0))),)</f>
        <v>0</v>
      </c>
    </row>
    <row r="7" spans="2:21" ht="14.25" customHeight="1" x14ac:dyDescent="0.2">
      <c r="B7" s="52"/>
      <c r="C7" s="50"/>
      <c r="D7" s="50"/>
      <c r="E7" s="50"/>
      <c r="F7" s="50"/>
      <c r="G7" s="45"/>
      <c r="H7" s="45"/>
      <c r="I7" s="45"/>
      <c r="J7" s="45"/>
      <c r="K7" s="45"/>
      <c r="L7" s="45"/>
      <c r="M7" s="182"/>
      <c r="N7" s="182"/>
      <c r="P7" s="90" t="s">
        <v>194</v>
      </c>
      <c r="Q7" s="110">
        <f ca="1">MAX((IFERROR(OFFSET($J$20,MATCH("Sand Transfer to Conveyor",$J$21:$J$30,0),1),0)),((IFERROR((OFFSET($J$37,MATCH("Sand Transfer to Conveyor",$J$38:$J$47,0),1)),0))),((IFERROR((OFFSET($J$52,MATCH("Sand Transfer to Conveyor",$J$53:$J$62,0),1)),0))),((IFERROR((OFFSET($J$68,MATCH("Sand Transfer to Conveyor",$J$69:$J$78,0),1)),0))),((IFERROR((OFFSET($J$84,MATCH("Sand Transfer to Conveyor",$J$85:$J$94,0),1)),0))),((IFERROR((OFFSET($J$100,MATCH("Sand Transfer to Conveyor",$J$101:$J$110,0),1)),0))),((IFERROR((OFFSET($J$116,MATCH("Sand Transfer to Conveyor",$J$117:$J$126,0),1)),0))),((IFERROR((OFFSET($J$132,MATCH("Sand Transfer to Conveyor",$J$133:$J$142,0),1)),0))),((IFERROR((OFFSET($J$148,MATCH("Sand Transfer to Conveyor",$J$149:$J$158,0),1)),0))),((IFERROR((OFFSET($J$164,MATCH("Sand Transfer to Conveyor",$J$165:$J$174,0),1)),0))),)</f>
        <v>0</v>
      </c>
      <c r="R7" s="110">
        <f ca="1">SUM((IFERROR(OFFSET($J$20,MATCH("Sand Transfer to Conveyor",$J$21:$J$30,0),2),0)),((IFERROR((OFFSET($J$37,MATCH("Sand Transfer to Conveyor",$J$38:$J$47,0),2)),0))),((IFERROR((OFFSET($J$52,MATCH("Sand Transfer to Conveyor",$J$53:$J$62,0),2)),0))),((IFERROR((OFFSET($J$68,MATCH("Sand Transfer to Conveyor",$J$69:$J$78,0),2)),0))),((IFERROR((OFFSET($J$84,MATCH("Sand Transfer to Conveyor",$J$85:$J$94,0),2)),0))),((IFERROR((OFFSET($J$100,MATCH("Sand Transfer to Conveyor",$J$101:$J$110,0),2)),0))),((IFERROR((OFFSET($J$116,MATCH("Sand Transfer to Conveyor",$J$117:$J$126,0),2)),0))),((IFERROR((OFFSET($J$132,MATCH("Sand Transfer to Conveyor",$J$133:$J$142,0),2)),0))),((IFERROR((OFFSET($J$148,MATCH("Sand Transfer to Conveyor",$J$149:$J$158,0),2)),0))),((IFERROR((OFFSET($J$164,MATCH("Sand Transfer to Conveyor",$J$165:$J$174,0),2)),0))),)</f>
        <v>0</v>
      </c>
    </row>
    <row r="8" spans="2:21" ht="14.25" customHeight="1" x14ac:dyDescent="0.2">
      <c r="B8" s="52" t="s">
        <v>149</v>
      </c>
      <c r="C8" s="45"/>
      <c r="D8" s="45"/>
      <c r="E8" s="45"/>
      <c r="F8" s="45"/>
      <c r="G8" s="50"/>
      <c r="H8" s="56" t="s">
        <v>150</v>
      </c>
      <c r="I8" s="56"/>
      <c r="J8" s="50"/>
      <c r="K8" s="50"/>
      <c r="P8" s="90" t="s">
        <v>195</v>
      </c>
      <c r="Q8" s="110">
        <f ca="1">MAX((IFERROR(OFFSET($J$20,MATCH("Aggregate Transfer to Elevated Storage",$J$21:$J$30,0),1),0)),((IFERROR((OFFSET($J$37,MATCH("Aggregate Transfer to Elevated Storage",$J$38:$J$47,0),1)),0))),((IFERROR((OFFSET($J$52,MATCH("Aggregate Transfer to Elevated Storage",$J$53:$J$62,0),1)),0))),((IFERROR((OFFSET($J$68,MATCH("Aggregate Transfer to Elevated Storage",$J$69:$J$78,0),1)),0))),((IFERROR((OFFSET($J$84,MATCH("Aggregate Transfer to Elevated Storage",$J$85:$J$94,0),1)),0))),((IFERROR((OFFSET($J$100,MATCH("Aggregate Transfer to Elevated Storage",$J$101:$J$110,0),1)),0))),((IFERROR((OFFSET($J$116,MATCH("Aggregate Transfer to Elevated Storage",$J$117:$J$126,0),1)),0))),((IFERROR((OFFSET($J$132,MATCH("Aggregate Transfer to Elevated Storage",$J$133:$J$142,0),1)),0))),((IFERROR((OFFSET($J$148,MATCH("Aggregate Transfer to Elevated Storage",$J$149:$J$158,0),1)),0))),((IFERROR((OFFSET($J$164,MATCH("Aggregate Transfer to Elevated Storage",$J$165:$J$174,0),1)),0))),)</f>
        <v>0</v>
      </c>
      <c r="R8" s="110">
        <f ca="1">SUM((IFERROR(OFFSET($J$20,MATCH("Aggregate Transfer to Elevated Storage",$J$21:$J$30,0),2),0)),((IFERROR((OFFSET($J$37,MATCH("Aggregate Transfer to Elevated Storage",$J$38:$J$47,0),2)),0))),((IFERROR((OFFSET($J$52,MATCH("Aggregate Transfer to Elevated Storage",$J$53:$J$62,0),2)),0))),((IFERROR((OFFSET($J$68,MATCH("Aggregate Transfer to Elevated Storage",$J$69:$J$78,0),2)),0))),((IFERROR((OFFSET($J$84,MATCH("Aggregate Transfer to Elevated Storage",$J$85:$J$94,0),2)),0))),((IFERROR((OFFSET($J$100,MATCH("Aggregate Transfer to Elevated Storage",$J$101:$J$110,0),2)),0))),((IFERROR((OFFSET($J$116,MATCH("Aggregate Transfer to Elevated Storage",$J$117:$J$126,0),2)),0))),((IFERROR((OFFSET($J$132,MATCH("Aggregate Transfer to Elevated Storage",$J$133:$J$142,0),2)),0))),((IFERROR((OFFSET($J$148,MATCH("Aggregate Transfer to Elevated Storage",$J$149:$J$158,0),2)),0))),((IFERROR((OFFSET($J$164,MATCH("Aggregate Transfer to Elevated Storage",$J$165:$J$174,0),2)),0))),)</f>
        <v>0</v>
      </c>
    </row>
    <row r="9" spans="2:21" ht="14.25" customHeight="1" x14ac:dyDescent="0.2">
      <c r="B9" s="389" t="s">
        <v>204</v>
      </c>
      <c r="C9" s="390"/>
      <c r="D9" s="404"/>
      <c r="E9" s="362"/>
      <c r="F9" s="174"/>
      <c r="H9" s="57" t="s">
        <v>141</v>
      </c>
      <c r="I9" s="60" t="s">
        <v>139</v>
      </c>
      <c r="J9" s="60" t="s">
        <v>140</v>
      </c>
      <c r="P9" s="90" t="s">
        <v>196</v>
      </c>
      <c r="Q9" s="110">
        <f ca="1">MAX((IFERROR(OFFSET($J$20,MATCH("Sand Transfer to Elevated Storage",$J$21:$J$30,0),1),0)),((IFERROR((OFFSET($J$37,MATCH("Sand Transfer to Elevated Storage",$J$38:$J$47,0),1)),0))),((IFERROR((OFFSET($J$52,MATCH("Sand Transfer to Elevated Storage",$J$53:$J$62,0),1)),0))),((IFERROR((OFFSET($J$68,MATCH("Sand Transfer to Elevated Storage",$J$69:$J$78,0),1)),0))),((IFERROR((OFFSET($J$84,MATCH("Sand Transfer to Elevated Storage",$J$85:$J$94,0),1)),0))),((IFERROR((OFFSET($J$100,MATCH("Sand Transfer to Elevated Storage",$J$101:$J$110,0),1)),0))),((IFERROR((OFFSET($J$116,MATCH("Sand Transfer to Elevated Storage",$J$117:$J$126,0),1)),0))),((IFERROR((OFFSET($J$132,MATCH("Sand Transfer to Elevated Storage",$J$133:$J$142,0),1)),0))),((IFERROR((OFFSET($J$148,MATCH("Sand Transfer to Elevated Storage",$J$149:$J$158,0),1)),0))),((IFERROR((OFFSET($J$164,MATCH("Sand Transfer to Elevated Storage",$J$165:$J$174,0),1)),0))),)</f>
        <v>0</v>
      </c>
      <c r="R9" s="110">
        <f ca="1">SUM((IFERROR(OFFSET($J$20,MATCH("Sand Transfer to Elevated Storage",$J$21:$J$30,0),2),0)),((IFERROR((OFFSET($J$37,MATCH("Sand Transfer to Elevated Storage",$J$38:$J$47,0),2)),0))),((IFERROR((OFFSET($J$52,MATCH("Sand Transfer to Elevated Storage",$J$53:$J$62,0),2)),0))),((IFERROR((OFFSET($J$68,MATCH("Sand Transfer to Elevated Storage",$J$69:$J$78,0),2)),0))),((IFERROR((OFFSET($J$84,MATCH("Sand Transfer to Elevated Storage",$J$85:$J$94,0),2)),0))),((IFERROR((OFFSET($J$100,MATCH("Sand Transfer to Elevated Storage",$J$101:$J$110,0),2)),0))),((IFERROR((OFFSET($J$116,MATCH("Sand Transfer to Elevated Storage",$J$117:$J$126,0),2)),0))),((IFERROR((OFFSET($J$132,MATCH("Sand Transfer to Elevated Storage",$J$133:$J$142,0),2)),0))),((IFERROR((OFFSET($J$148,MATCH("Sand Transfer to Elevated Storage",$J$149:$J$158,0),2)),0))),((IFERROR((OFFSET($J$164,MATCH("Sand Transfer to Elevated Storage",$J$165:$J$174,0),2)),0))),)</f>
        <v>0</v>
      </c>
    </row>
    <row r="10" spans="2:21" ht="14.25" customHeight="1" x14ac:dyDescent="0.2">
      <c r="B10" s="335" t="s">
        <v>205</v>
      </c>
      <c r="C10" s="393"/>
      <c r="D10" s="399"/>
      <c r="E10" s="337"/>
      <c r="F10" s="174"/>
      <c r="H10" s="59" t="s">
        <v>110</v>
      </c>
      <c r="I10" s="144"/>
      <c r="J10" s="144"/>
      <c r="P10" s="90" t="s">
        <v>203</v>
      </c>
      <c r="Q10" s="110">
        <f ca="1">MAX((IFERROR(OFFSET($J$20,MATCH("Weigh Hopper Loading",$J$21:$J$30,0),1),0)),((IFERROR((OFFSET($J$37,MATCH("Weigh Hopper Loading",$J$38:$J$47,0),1)),0))),((IFERROR((OFFSET($J$52,MATCH("Weigh Hopper Loading",$J$53:$J$62,0),1)),0))),((IFERROR((OFFSET($J$68,MATCH("Weigh Hopper Loading",$J$69:$J$78,0),1)),0))),((IFERROR((OFFSET($J$84,MATCH("Weigh Hopper Loading",$J$85:$J$94,0),1)),0))),((IFERROR((OFFSET($J$100,MATCH("Weigh Hopper Loading",$J$101:$J$110,0),1)),0))),((IFERROR((OFFSET($J$116,MATCH("Weigh Hopper Loading",$J$117:$J$126,0),1)),0))),((IFERROR((OFFSET($J$132,MATCH("Weigh Hopper Loading",$J$133:$J$142,0),1)),0))),((IFERROR((OFFSET($J$148,MATCH("Weigh Hopper Loading",$J$149:$J$158,0),1)),0))),((IFERROR((OFFSET($J$164,MATCH("Weigh Hopper Loading",$J$165:$J$174,0),1)),0))),)</f>
        <v>0</v>
      </c>
      <c r="R10" s="110">
        <f ca="1">SUM((IFERROR(OFFSET($J$20,MATCH("Weigh Hopper Loading",$J$21:$J$30,0),2),0)),((IFERROR((OFFSET($J$37,MATCH("Weigh Hopper Loading",$J$38:$J$47,0),2)),0))),((IFERROR((OFFSET($J$52,MATCH("Weigh Hopper Loading",$J$53:$J$62,0),2)),0))),((IFERROR((OFFSET($J$68,MATCH("Weigh Hopper Loading",$J$69:$J$78,0),2)),0))),((IFERROR((OFFSET($J$84,MATCH("Weigh Hopper Loading",$J$85:$J$94,0),2)),0))),((IFERROR((OFFSET($J$100,MATCH("Weigh Hopper Loading",$J$101:$J$110,0),2)),0))),((IFERROR((OFFSET($J$116,MATCH("Weigh Hopper Loading",$J$117:$J$126,0),2)),0))),((IFERROR((OFFSET($J$132,MATCH("Weigh Hopper Loading",$J$133:$J$142,0),2)),0))),((IFERROR((OFFSET($J$148,MATCH("Weigh Hopper Loading",$J$149:$J$158,0),2)),0))),((IFERROR((OFFSET($J$164,MATCH("Weigh Hopper Loading",$J$165:$J$174,0),2)),0))),)</f>
        <v>0</v>
      </c>
    </row>
    <row r="11" spans="2:21" ht="14.25" customHeight="1" x14ac:dyDescent="0.2">
      <c r="B11" s="391" t="s">
        <v>146</v>
      </c>
      <c r="C11" s="392"/>
      <c r="D11" s="405"/>
      <c r="E11" s="363"/>
      <c r="F11" s="174"/>
      <c r="H11" s="58" t="s">
        <v>17</v>
      </c>
      <c r="I11" s="144"/>
      <c r="J11" s="144"/>
      <c r="P11" s="90" t="s">
        <v>197</v>
      </c>
      <c r="Q11" s="110">
        <f ca="1">MAX((IFERROR(OFFSET($J$20,MATCH("Central Mix Loading",$J$21:$J$30,0),1),0)),((IFERROR((OFFSET($J$37,MATCH("Central Mix Loading",$J$38:$J$47,0),1)),0))),((IFERROR((OFFSET($J$52,MATCH("Central Mix Loading",$J$53:$J$62,0),1)),0))),((IFERROR((OFFSET($J$68,MATCH("Central Mix Loading",$J$69:$J$78,0),1)),0))),((IFERROR((OFFSET($J$84,MATCH("Central Mix Loading",$J$85:$J$94,0),1)),0))),((IFERROR((OFFSET($J$100,MATCH("Central Mix Loading",$J$101:$J$110,0),1)),0))),((IFERROR((OFFSET($J$116,MATCH("Central Mix Loading",$J$117:$J$126,0),1)),0))),((IFERROR((OFFSET($J$132,MATCH("Central Mix Loading",$J$133:$J$142,0),1)),0))),((IFERROR((OFFSET($J$148,MATCH("Central Mix Loading",$J$149:$J$158,0),1)),0))),((IFERROR((OFFSET($J$164,MATCH("Central Mix Loading",$J$165:$J$174,0),1)),0))),)</f>
        <v>0</v>
      </c>
      <c r="R11" s="110">
        <f ca="1">SUM((IFERROR(OFFSET($J$20,MATCH("Central Mix Loading",$J$21:$J$30,0),2),0)),((IFERROR((OFFSET($J$37,MATCH("Central Mix Loading",$J$38:$J$47,0),2)),0))),((IFERROR((OFFSET($J$52,MATCH("Central Mix Loading",$J$53:$J$62,0),2)),0))),((IFERROR((OFFSET($J$68,MATCH("Central Mix Loading",$J$69:$J$78,0),2)),0))),((IFERROR((OFFSET($J$84,MATCH("Central Mix Loading",$J$85:$J$94,0),2)),0))),((IFERROR((OFFSET($J$100,MATCH("Central Mix Loading",$J$101:$J$110,0),2)),0))),((IFERROR((OFFSET($J$116,MATCH("Central Mix Loading",$J$117:$J$126,0),2)),0))),((IFERROR((OFFSET($J$132,MATCH("Central Mix Loading",$J$133:$J$142,0),2)),0))),((IFERROR((OFFSET($J$148,MATCH("Central Mix Loading",$J$149:$J$158,0),2)),0))),((IFERROR((OFFSET($J$164,MATCH("Central Mix Loading",$J$165:$J$174,0),2)),0))),)</f>
        <v>0</v>
      </c>
    </row>
    <row r="12" spans="2:21" ht="14.25" customHeight="1" x14ac:dyDescent="0.25">
      <c r="B12" s="320" t="s">
        <v>269</v>
      </c>
      <c r="C12" s="319"/>
      <c r="D12" s="319"/>
      <c r="E12" s="319"/>
      <c r="F12" s="170"/>
      <c r="G12" s="30"/>
      <c r="H12" s="58" t="s">
        <v>3</v>
      </c>
      <c r="I12" s="144"/>
      <c r="J12" s="144"/>
      <c r="P12" s="90" t="s">
        <v>198</v>
      </c>
      <c r="Q12" s="110">
        <f ca="1">MAX((IFERROR(OFFSET($J$20,MATCH("Truck Mix Loading",$J$21:$J$30,0),1),0)),((IFERROR((OFFSET($J$37,MATCH("Truck Mix Loading",$J$38:$J$47,0),1)),0))),((IFERROR((OFFSET($J$52,MATCH("Truck Mix Loading",$J$53:$J$62,0),1)),0))),((IFERROR((OFFSET($J$68,MATCH("Truck Mix Loading",$J$69:$J$78,0),1)),0))),((IFERROR((OFFSET($J$84,MATCH("Truck Mix Loading",$J$85:$J$94,0),1)),0))),((IFERROR((OFFSET($J$100,MATCH("Truck Mix Loading",$J$101:$J$110,0),1)),0))),((IFERROR((OFFSET($J$116,MATCH("Truck Mix Loading",$J$117:$J$126,0),1)),0))),((IFERROR((OFFSET($J$132,MATCH("Truck Mix Loading",$J$133:$J$142,0),1)),0))),((IFERROR((OFFSET($J$148,MATCH("Truck Mix Loading",$J$149:$J$158,0),1)),0))),((IFERROR((OFFSET($J$164,MATCH("Truck Mix Loading",$J$165:$J$174,0),1)),0))),)</f>
        <v>0</v>
      </c>
      <c r="R12" s="110">
        <f ca="1">SUM((IFERROR(OFFSET($J$20,MATCH("Truck Mix Loading",$J$21:$J$30,0),2),0)),((IFERROR((OFFSET($J$37,MATCH("Truck Mix Loading",$J$38:$J$47,0),2)),0))),((IFERROR((OFFSET($J$52,MATCH("Truck Mix Loading",$J$53:$J$62,0),2)),0))),((IFERROR((OFFSET($J$68,MATCH("Truck Mix Loading",$J$69:$J$78,0),2)),0))),((IFERROR((OFFSET($J$84,MATCH("Truck Mix Loading",$J$85:$J$94,0),2)),0))),((IFERROR((OFFSET($J$100,MATCH("Truck Mix Loading",$J$101:$J$110,0),2)),0))),((IFERROR((OFFSET($J$116,MATCH("Truck Mix Loading",$J$117:$J$126,0),2)),0))),((IFERROR((OFFSET($J$132,MATCH("Truck Mix Loading",$J$133:$J$142,0),2)),0))),((IFERROR((OFFSET($J$148,MATCH("Truck Mix Loading",$J$149:$J$158,0),2)),0))),((IFERROR((OFFSET($J$164,MATCH("Truck Mix Loading",$J$165:$J$174,0),2)),0))),)</f>
        <v>0</v>
      </c>
    </row>
    <row r="13" spans="2:21" ht="14.25" customHeight="1" x14ac:dyDescent="0.25">
      <c r="B13" s="320" t="s">
        <v>271</v>
      </c>
      <c r="C13" s="319"/>
      <c r="D13" s="319"/>
      <c r="E13" s="319"/>
      <c r="F13" s="170"/>
      <c r="G13" s="30"/>
      <c r="H13" s="58" t="s">
        <v>27</v>
      </c>
      <c r="I13" s="144"/>
      <c r="J13" s="144"/>
      <c r="P13" s="90" t="s">
        <v>199</v>
      </c>
      <c r="Q13" s="110">
        <f ca="1">MAX((IFERROR(OFFSET($J$20,MATCH("Cement Delivery to Silo",$J$21:$J$30,0),1),0)),((IFERROR((OFFSET($J$37,MATCH("Cement Delivery to Silo",$J$38:$J$47,0),1)),0))),((IFERROR((OFFSET($J$52,MATCH("Cement Delivery to Silo",$J$53:$J$62,0),1)),0))),((IFERROR((OFFSET($J$68,MATCH("Cement Delivery to Silo",$J$69:$J$78,0),1)),0))),((IFERROR((OFFSET($J$84,MATCH("Cement Delivery to Silo",$J$85:$J$94,0),1)),0))),((IFERROR((OFFSET($J$100,MATCH("Cement Delivery to Silo",$J$101:$J$110,0),1)),0))),((IFERROR((OFFSET($J$116,MATCH("Cement Delivery to Silo",$J$117:$J$126,0),1)),0))),((IFERROR((OFFSET($J$132,MATCH("Cement Delivery to Silo",$J$133:$J$142,0),1)),0))),((IFERROR((OFFSET($J$148,MATCH("Cement Delivery to Silo",$J$149:$J$158,0),1)),0))),((IFERROR((OFFSET($J$164,MATCH("Cement Delivery to Silo",$J$165:$J$174,0),1)),0))),)</f>
        <v>0</v>
      </c>
      <c r="R13" s="110">
        <f ca="1">SUM((IFERROR(OFFSET($J$20,MATCH("Cement Delivery to Silo",$J$21:$J$30,0),2),0)),((IFERROR((OFFSET($J$37,MATCH("Cement Delivery to Silo",$J$38:$J$47,0),2)),0))),((IFERROR((OFFSET($J$52,MATCH("Cement Delivery to Silo",$J$53:$J$62,0),2)),0))),((IFERROR((OFFSET($J$68,MATCH("Cement Delivery to Silo",$J$69:$J$78,0),2)),0))),((IFERROR((OFFSET($J$84,MATCH("Cement Delivery to Silo",$J$85:$J$94,0),2)),0))),((IFERROR((OFFSET($J$100,MATCH("Cement Delivery to Silo",$J$101:$J$110,0),2)),0))),((IFERROR((OFFSET($J$116,MATCH("Cement Delivery to Silo",$J$117:$J$126,0),2)),0))),((IFERROR((OFFSET($J$132,MATCH("Cement Delivery to Silo",$J$133:$J$142,0),2)),0))),((IFERROR((OFFSET($J$148,MATCH("Cement Delivery to Silo",$J$149:$J$158,0),2)),0))),((IFERROR((OFFSET($J$164,MATCH("Cement Delivery to Silo",$J$165:$J$174,0),2)),0))),)</f>
        <v>0</v>
      </c>
    </row>
    <row r="14" spans="2:21" ht="14.25" customHeight="1" x14ac:dyDescent="0.25">
      <c r="B14" s="324" t="s">
        <v>270</v>
      </c>
      <c r="C14" s="319"/>
      <c r="D14" s="319"/>
      <c r="E14" s="319"/>
      <c r="F14" s="170"/>
      <c r="G14" s="30"/>
      <c r="H14" s="58" t="s">
        <v>5</v>
      </c>
      <c r="I14" s="144"/>
      <c r="J14" s="144"/>
      <c r="P14" s="90" t="s">
        <v>200</v>
      </c>
      <c r="Q14" s="110">
        <f ca="1">MAX((IFERROR(OFFSET($J$20,MATCH("Cement Supplement Delivery to Silo",$J$21:$J$30,0),1),0)),((IFERROR((OFFSET($J$37,MATCH("Cement Supplement Delivery to Silo",$J$38:$J$47,0),1)),0))),((IFERROR((OFFSET($J$52,MATCH("Cement Supplement Delivery to Silo",$J$53:$J$62,0),1)),0))),((IFERROR((OFFSET($J$68,MATCH("Cement Supplement Delivery to Silo",$J$69:$J$78,0),1)),0))),((IFERROR((OFFSET($J$84,MATCH("Cement Supplement Delivery to Silo",$J$85:$J$94,0),1)),0))),((IFERROR((OFFSET($J$100,MATCH("Cement Supplement Delivery to Silo",$J$101:$J$110,0),1)),0))),((IFERROR((OFFSET($J$116,MATCH("Cement Supplement Delivery to Silo",$J$117:$J$126,0),1)),0))),((IFERROR((OFFSET($J$132,MATCH("Cement Supplement Delivery to Silo",$J$133:$J$142,0),1)),0))),((IFERROR((OFFSET($J$148,MATCH("Cement Supplement Delivery to Silo",$J$149:$J$158,0),1)),0))),((IFERROR((OFFSET($J$164,MATCH("Cement Supplement Delivery to Silo",$J$165:$J$174,0),1)),0))),)</f>
        <v>0</v>
      </c>
      <c r="R14" s="110">
        <f ca="1">SUM((IFERROR(OFFSET($J$20,MATCH("Cement Supplement Delivery to Silo",$J$21:$J$30,0),2),0)),((IFERROR((OFFSET($J$37,MATCH("Cement Supplement Delivery to Silo",$J$38:$J$47,0),2)),0))),((IFERROR((OFFSET($J$52,MATCH("Cement Supplement Delivery to Silo",$J$53:$J$62,0),2)),0))),((IFERROR((OFFSET($J$68,MATCH("Cement Supplement Delivery to Silo",$J$69:$J$78,0),2)),0))),((IFERROR((OFFSET($J$84,MATCH("Cement Supplement Delivery to Silo",$J$85:$J$94,0),2)),0))),((IFERROR((OFFSET($J$100,MATCH("Cement Supplement Delivery to Silo",$J$101:$J$110,0),2)),0))),((IFERROR((OFFSET($J$116,MATCH("Cement Supplement Delivery to Silo",$J$117:$J$126,0),2)),0))),((IFERROR((OFFSET($J$132,MATCH("Cement Supplement Delivery to Silo",$J$133:$J$142,0),2)),0))),((IFERROR((OFFSET($J$148,MATCH("Cement Supplement Delivery to Silo",$J$149:$J$158,0),2)),0))),((IFERROR((OFFSET($J$164,MATCH("Cement Supplement Delivery to Silo",$J$165:$J$174,0),2)),0))),)</f>
        <v>0</v>
      </c>
    </row>
    <row r="15" spans="2:21" ht="14.25" customHeight="1" x14ac:dyDescent="0.25">
      <c r="B15" s="12"/>
      <c r="C15" s="12"/>
      <c r="D15" s="12"/>
      <c r="E15" s="12"/>
      <c r="F15" s="12"/>
      <c r="G15" s="12"/>
      <c r="H15" s="58" t="s">
        <v>6</v>
      </c>
      <c r="I15" s="144"/>
      <c r="J15" s="144"/>
    </row>
    <row r="16" spans="2:21" ht="15" customHeight="1" thickBot="1" x14ac:dyDescent="0.3">
      <c r="B16" s="85"/>
      <c r="C16" s="85"/>
      <c r="D16" s="85"/>
      <c r="E16" s="85"/>
      <c r="F16" s="85"/>
      <c r="G16" s="85"/>
      <c r="H16" s="86"/>
      <c r="I16" s="86"/>
      <c r="J16" s="124"/>
      <c r="K16" s="124"/>
      <c r="L16" s="87"/>
      <c r="M16" s="71"/>
      <c r="N16" s="71"/>
      <c r="P16" s="68"/>
      <c r="Q16" s="188" t="s">
        <v>155</v>
      </c>
      <c r="R16" s="189" t="s">
        <v>154</v>
      </c>
      <c r="S16" s="88"/>
    </row>
    <row r="17" spans="1:23" ht="14.25" customHeight="1" x14ac:dyDescent="0.25">
      <c r="B17" s="12"/>
      <c r="C17" s="12"/>
      <c r="D17" s="12"/>
      <c r="E17" s="12"/>
      <c r="F17" s="12"/>
      <c r="G17" s="12"/>
      <c r="H17" s="84"/>
      <c r="I17" s="84"/>
      <c r="J17" s="50"/>
      <c r="K17" s="50"/>
      <c r="P17" s="90" t="s">
        <v>40</v>
      </c>
      <c r="Q17" s="143">
        <f>SUM(J34,J50,J66,J82,J98,J114,J130,J146,J162,J178)</f>
        <v>0</v>
      </c>
      <c r="R17" s="143">
        <f>SUM(K34*L34,K50*L50,K66*L66,K82*L82,K98*L98,K114*L114,K130*L130,K146*L146,K162*L162,K178*L178)</f>
        <v>0</v>
      </c>
      <c r="S17" s="68"/>
    </row>
    <row r="18" spans="1:23" ht="9.75" customHeight="1" x14ac:dyDescent="0.2">
      <c r="A18" s="71"/>
      <c r="B18" s="132"/>
      <c r="C18" s="50"/>
      <c r="D18" s="50"/>
      <c r="E18" s="50"/>
      <c r="F18" s="50"/>
    </row>
    <row r="19" spans="1:23" ht="14.25" customHeight="1" x14ac:dyDescent="0.25">
      <c r="B19" s="69" t="s">
        <v>201</v>
      </c>
      <c r="C19" s="70" t="s">
        <v>145</v>
      </c>
      <c r="D19" s="71"/>
      <c r="E19" s="71"/>
      <c r="F19" s="71"/>
      <c r="M19" s="217"/>
      <c r="N19" s="217"/>
      <c r="P19" s="45" t="s">
        <v>254</v>
      </c>
    </row>
    <row r="20" spans="1:23" ht="27.75" customHeight="1" x14ac:dyDescent="0.2">
      <c r="B20" s="71"/>
      <c r="G20" s="45"/>
      <c r="H20" s="310" t="s">
        <v>1</v>
      </c>
      <c r="I20" s="310" t="s">
        <v>181</v>
      </c>
      <c r="J20" s="310" t="s">
        <v>142</v>
      </c>
      <c r="K20" s="311" t="s">
        <v>241</v>
      </c>
      <c r="L20" s="310" t="str">
        <f>('Facility Information'!G5&amp;" Annual Throughput (cubic yards)")</f>
        <v xml:space="preserve"> Annual Throughput (cubic yards)</v>
      </c>
      <c r="M20" s="218" t="s">
        <v>250</v>
      </c>
      <c r="N20" s="218" t="s">
        <v>251</v>
      </c>
      <c r="P20" s="89" t="s">
        <v>110</v>
      </c>
      <c r="Q20" s="308" t="s">
        <v>242</v>
      </c>
      <c r="R20" s="308" t="s">
        <v>240</v>
      </c>
      <c r="S20" s="308" t="s">
        <v>147</v>
      </c>
      <c r="T20" s="308" t="s">
        <v>130</v>
      </c>
      <c r="U20" s="308" t="s">
        <v>14</v>
      </c>
      <c r="V20" s="308" t="s">
        <v>148</v>
      </c>
    </row>
    <row r="21" spans="1:23" ht="14.25" customHeight="1" x14ac:dyDescent="0.2">
      <c r="A21" s="67" t="s">
        <v>38</v>
      </c>
      <c r="B21" s="186" t="s">
        <v>89</v>
      </c>
      <c r="C21" s="349"/>
      <c r="D21" s="356"/>
      <c r="E21" s="357"/>
      <c r="F21" s="175"/>
      <c r="G21" s="45"/>
      <c r="H21" s="126" t="str">
        <f>IF(J21="cement delivery to silo","CP-1 EP-2",IF(J21="cement supplement delivery to silo","CP-1 EP-3",IF(J21="weigh hopper loading","CP-1 EP-4",IF(J21="truck mix loading","CP-1 EP-5",IF(J21="central mix loading","CP-1 EP-6",IF(J21="","","CP-1 EP-1"))))))</f>
        <v/>
      </c>
      <c r="I21" s="126" t="str">
        <f t="shared" ref="I21:I30" si="0">IF(J21="","",IF(J21="aggregate delivery to ground storage","CP-9 EU-1",IF(J21="sand delivery to ground storage","CP-9 EU-2",IF(J21="aggregate transfer to conveyor","CP-9 EU-3",IF(J21="sand transfer to conveyor","CP-9 EU-4",IF(J21="aggregate transfer to elevated storage","CP-9 EU-5",IF(J21="sand transfer to elevated storage","CP-9 EU-6",IF(J21="weigh hopper loading","CP-9 EU-7",IF(J21="central mix loading","CP-9 EU-8",IF(J21="truck mix loading","CP-9 EU-9",IF(J21="cement delivery to silo","CP-9 EU-10",IF(J21="cement supplement delivery to silo","CP-9 EU-11"))))))))))))</f>
        <v/>
      </c>
      <c r="J21" s="82"/>
      <c r="K21" s="61"/>
      <c r="L21" s="156"/>
      <c r="M21" s="219" t="str">
        <f>IF(J21="truck mix loading",IF($F$24="yes",L21*0.05/2000,L21/2000),"")</f>
        <v/>
      </c>
      <c r="N21" s="219" t="str">
        <f>IF(J21="central mix loading",IF($F$24="yes",L21*0.05/2000,L21/2000),"")</f>
        <v/>
      </c>
      <c r="P21" s="90" t="s">
        <v>191</v>
      </c>
      <c r="Q21" s="105">
        <f t="shared" ref="Q21:Q31" ca="1" si="1">Q4</f>
        <v>0</v>
      </c>
      <c r="R21" s="111">
        <f ca="1">IF(Q21=0,0,LOOKUP(P21,'Emission Factors'!$A$5:$A$16,'Emission Factors'!$D$5:$D$16))</f>
        <v>0</v>
      </c>
      <c r="S21" s="105">
        <f t="shared" ref="S21:S29" ca="1" si="2">Q21*R21</f>
        <v>0</v>
      </c>
      <c r="T21" s="105" t="str">
        <f ca="1">IF(Q21=0,"",IF($I$10&gt;0,$I$10,""))</f>
        <v/>
      </c>
      <c r="U21" s="105">
        <f ca="1">IF($J$10&gt;0,$J$10,IF($D$9&gt;0,$D$9*R21/2000,IF($D$10&gt;0,$D$10*365*R21/2000,IF($D$11&gt;0,$D$11*365*R21*Q21/2000,IF(T21="",S21*8760/2000,T21*8760/2000)))))</f>
        <v>0</v>
      </c>
      <c r="V21" s="113">
        <f t="shared" ref="V21:V27" ca="1" si="3">(R4*R21/2000)</f>
        <v>0</v>
      </c>
    </row>
    <row r="22" spans="1:23" ht="14.25" customHeight="1" x14ac:dyDescent="0.2">
      <c r="A22" s="67" t="s">
        <v>39</v>
      </c>
      <c r="B22" s="186" t="s">
        <v>90</v>
      </c>
      <c r="C22" s="339"/>
      <c r="D22" s="342"/>
      <c r="E22" s="343"/>
      <c r="F22" s="175"/>
      <c r="G22" s="45"/>
      <c r="H22" s="126" t="str">
        <f t="shared" ref="H22:H30" si="4">IF(J22="cement delivery to silo","CP-1 EP-2",IF(J22="cement supplement delivery to silo","CP-1 EP-3",IF(J22="weigh hopper loading","CP-1 EP-4",IF(J22="truck mix loading","CP-1 EP-5",IF(J22="central mix loading","CP-1 EP-6",IF(J22="","","CP-1 EP-1"))))))</f>
        <v/>
      </c>
      <c r="I22" s="126" t="str">
        <f t="shared" si="0"/>
        <v/>
      </c>
      <c r="J22" s="82"/>
      <c r="K22" s="61"/>
      <c r="L22" s="156"/>
      <c r="M22" s="219" t="str">
        <f t="shared" ref="M22:M30" si="5">IF(J22="truck mix loading",IF($F$24="yes",L22*0.05/2000,L22/2000),"")</f>
        <v/>
      </c>
      <c r="N22" s="219" t="str">
        <f t="shared" ref="N22:N30" si="6">IF(J22="central mix loading",IF($F$24="yes",L22*0.05/2000,L22/2000),"")</f>
        <v/>
      </c>
      <c r="P22" s="90" t="s">
        <v>192</v>
      </c>
      <c r="Q22" s="105">
        <f t="shared" ca="1" si="1"/>
        <v>0</v>
      </c>
      <c r="R22" s="111">
        <f ca="1">IF(Q22=0,0,LOOKUP(P22,'Emission Factors'!$A$5:$A$16,'Emission Factors'!$D$5:$D$16))</f>
        <v>0</v>
      </c>
      <c r="S22" s="105">
        <f t="shared" ca="1" si="2"/>
        <v>0</v>
      </c>
      <c r="T22" s="105" t="str">
        <f t="shared" ref="T22:T27" ca="1" si="7">IF(Q22=0,"",IF($I$10&gt;0,$I$10,""))</f>
        <v/>
      </c>
      <c r="U22" s="105">
        <f t="shared" ref="U22:U27" ca="1" si="8">IF($J$10&gt;0,"",IF($D$9&gt;0,$D$9*R22/2000,IF($D$10&gt;0,$D$10*365*R22/2000,IF($D$11&gt;0,$D$11*365*R22*Q22/2000,IF(T22="",S22*8760/2000,T22*8760/2000)))))</f>
        <v>0</v>
      </c>
      <c r="V22" s="113">
        <f t="shared" ca="1" si="3"/>
        <v>0</v>
      </c>
    </row>
    <row r="23" spans="1:23" ht="14.25" customHeight="1" x14ac:dyDescent="0.2">
      <c r="B23" s="186" t="s">
        <v>202</v>
      </c>
      <c r="C23" s="352"/>
      <c r="D23" s="358"/>
      <c r="E23" s="359"/>
      <c r="F23" s="175"/>
      <c r="G23" s="45"/>
      <c r="H23" s="126" t="str">
        <f t="shared" si="4"/>
        <v/>
      </c>
      <c r="I23" s="126" t="str">
        <f t="shared" si="0"/>
        <v/>
      </c>
      <c r="J23" s="82"/>
      <c r="K23" s="61"/>
      <c r="L23" s="156"/>
      <c r="M23" s="219" t="str">
        <f t="shared" si="5"/>
        <v/>
      </c>
      <c r="N23" s="219" t="str">
        <f t="shared" si="6"/>
        <v/>
      </c>
      <c r="P23" s="90" t="s">
        <v>193</v>
      </c>
      <c r="Q23" s="105">
        <f t="shared" ca="1" si="1"/>
        <v>0</v>
      </c>
      <c r="R23" s="111">
        <f ca="1">IF(Q23=0,0,LOOKUP(P23,'Emission Factors'!$A$5:$A$16,'Emission Factors'!$D$5:$D$16))</f>
        <v>0</v>
      </c>
      <c r="S23" s="105">
        <f t="shared" ca="1" si="2"/>
        <v>0</v>
      </c>
      <c r="T23" s="105" t="str">
        <f t="shared" ca="1" si="7"/>
        <v/>
      </c>
      <c r="U23" s="105">
        <f t="shared" ca="1" si="8"/>
        <v>0</v>
      </c>
      <c r="V23" s="113">
        <f t="shared" ca="1" si="3"/>
        <v>0</v>
      </c>
    </row>
    <row r="24" spans="1:23" ht="14.25" customHeight="1" x14ac:dyDescent="0.25">
      <c r="A24" s="6" t="s">
        <v>191</v>
      </c>
      <c r="B24" s="51" t="str">
        <f>IF(OR(COUNTIF(J21:J30,"Truck Mix Loading")&gt;0,(COUNTIF(J21:J30,"Central Mix Loading")&gt;0)),"Is the Central/Truck Mix Loading process controlled by a baghouse?","")</f>
        <v/>
      </c>
      <c r="C24" s="51"/>
      <c r="D24" s="51"/>
      <c r="E24" s="51"/>
      <c r="F24" s="221"/>
      <c r="G24" s="45"/>
      <c r="H24" s="126" t="str">
        <f t="shared" si="4"/>
        <v/>
      </c>
      <c r="I24" s="126" t="str">
        <f t="shared" si="0"/>
        <v/>
      </c>
      <c r="J24" s="82"/>
      <c r="K24" s="61"/>
      <c r="L24" s="156"/>
      <c r="M24" s="219" t="str">
        <f t="shared" si="5"/>
        <v/>
      </c>
      <c r="N24" s="219" t="str">
        <f t="shared" si="6"/>
        <v/>
      </c>
      <c r="P24" s="90" t="s">
        <v>194</v>
      </c>
      <c r="Q24" s="105">
        <f t="shared" ca="1" si="1"/>
        <v>0</v>
      </c>
      <c r="R24" s="111">
        <f ca="1">IF(Q24=0,0,LOOKUP(P24,'Emission Factors'!$A$5:$A$16,'Emission Factors'!$D$5:$D$16))</f>
        <v>0</v>
      </c>
      <c r="S24" s="105">
        <f t="shared" ca="1" si="2"/>
        <v>0</v>
      </c>
      <c r="T24" s="105" t="str">
        <f t="shared" ca="1" si="7"/>
        <v/>
      </c>
      <c r="U24" s="105">
        <f t="shared" ca="1" si="8"/>
        <v>0</v>
      </c>
      <c r="V24" s="113">
        <f t="shared" ca="1" si="3"/>
        <v>0</v>
      </c>
    </row>
    <row r="25" spans="1:23" ht="14.25" customHeight="1" x14ac:dyDescent="0.25">
      <c r="A25" s="6" t="s">
        <v>192</v>
      </c>
      <c r="B25" s="45"/>
      <c r="C25" s="45"/>
      <c r="D25" s="45"/>
      <c r="E25" s="45"/>
      <c r="F25" s="182"/>
      <c r="G25" s="45"/>
      <c r="H25" s="126" t="str">
        <f t="shared" si="4"/>
        <v/>
      </c>
      <c r="I25" s="126" t="str">
        <f t="shared" si="0"/>
        <v/>
      </c>
      <c r="J25" s="82"/>
      <c r="K25" s="61"/>
      <c r="L25" s="156"/>
      <c r="M25" s="219" t="str">
        <f t="shared" si="5"/>
        <v/>
      </c>
      <c r="N25" s="219" t="str">
        <f t="shared" si="6"/>
        <v/>
      </c>
      <c r="P25" s="90" t="s">
        <v>195</v>
      </c>
      <c r="Q25" s="105">
        <f t="shared" ca="1" si="1"/>
        <v>0</v>
      </c>
      <c r="R25" s="111">
        <f ca="1">IF(Q25=0,0,LOOKUP(P25,'Emission Factors'!$A$5:$A$16,'Emission Factors'!$D$5:$D$16))</f>
        <v>0</v>
      </c>
      <c r="S25" s="105">
        <f t="shared" ca="1" si="2"/>
        <v>0</v>
      </c>
      <c r="T25" s="105" t="str">
        <f t="shared" ca="1" si="7"/>
        <v/>
      </c>
      <c r="U25" s="105">
        <f t="shared" ca="1" si="8"/>
        <v>0</v>
      </c>
      <c r="V25" s="113">
        <f t="shared" ca="1" si="3"/>
        <v>0</v>
      </c>
    </row>
    <row r="26" spans="1:23" ht="27.75" customHeight="1" x14ac:dyDescent="0.25">
      <c r="A26" s="6" t="s">
        <v>193</v>
      </c>
      <c r="B26" s="312" t="str">
        <f>IF(AND(B28="",B29="",B32="",B31="",B30=""),"","Process (complete stack information if applicable):")</f>
        <v/>
      </c>
      <c r="C26" s="312" t="str">
        <f>IF(AND(B28="",B29="",B32="",B31="",B30=""),"","Stack Height (ft):")</f>
        <v/>
      </c>
      <c r="D26" s="312" t="str">
        <f>IF(AND(B28="",B29="",B32="",B31="",B30=""),"","Stack Diameter (inches):")</f>
        <v/>
      </c>
      <c r="E26" s="312" t="str">
        <f>IF(AND(B28="",B29="",B32="",B31="",B30=""),"","Flow Rate (acfm):")</f>
        <v/>
      </c>
      <c r="F26" s="312" t="str">
        <f>IF(AND(B28="",B29="",B32="",B31="",B30=""),"","Temp (Deg F):")</f>
        <v/>
      </c>
      <c r="G26" s="45"/>
      <c r="H26" s="126" t="str">
        <f t="shared" si="4"/>
        <v/>
      </c>
      <c r="I26" s="126" t="str">
        <f t="shared" si="0"/>
        <v/>
      </c>
      <c r="J26" s="82"/>
      <c r="K26" s="61"/>
      <c r="L26" s="156"/>
      <c r="M26" s="219" t="str">
        <f t="shared" si="5"/>
        <v/>
      </c>
      <c r="N26" s="219" t="str">
        <f t="shared" si="6"/>
        <v/>
      </c>
      <c r="P26" s="90" t="s">
        <v>196</v>
      </c>
      <c r="Q26" s="105">
        <f t="shared" ca="1" si="1"/>
        <v>0</v>
      </c>
      <c r="R26" s="111">
        <f ca="1">IF(Q26=0,0,LOOKUP(P26,'Emission Factors'!$A$5:$A$16,'Emission Factors'!$D$5:$D$16))</f>
        <v>0</v>
      </c>
      <c r="S26" s="105">
        <f t="shared" ca="1" si="2"/>
        <v>0</v>
      </c>
      <c r="T26" s="105" t="str">
        <f t="shared" ca="1" si="7"/>
        <v/>
      </c>
      <c r="U26" s="105">
        <f t="shared" ca="1" si="8"/>
        <v>0</v>
      </c>
      <c r="V26" s="113">
        <f t="shared" ca="1" si="3"/>
        <v>0</v>
      </c>
    </row>
    <row r="27" spans="1:23" ht="14.25" customHeight="1" x14ac:dyDescent="0.25">
      <c r="A27" s="6" t="s">
        <v>194</v>
      </c>
      <c r="B27" s="312"/>
      <c r="C27" s="312"/>
      <c r="D27" s="312"/>
      <c r="E27" s="312"/>
      <c r="F27" s="312"/>
      <c r="G27" s="45"/>
      <c r="H27" s="126" t="str">
        <f t="shared" si="4"/>
        <v/>
      </c>
      <c r="I27" s="126" t="str">
        <f t="shared" si="0"/>
        <v/>
      </c>
      <c r="J27" s="82"/>
      <c r="K27" s="61"/>
      <c r="L27" s="156"/>
      <c r="M27" s="219" t="str">
        <f t="shared" si="5"/>
        <v/>
      </c>
      <c r="N27" s="219" t="str">
        <f t="shared" si="6"/>
        <v/>
      </c>
      <c r="P27" s="90" t="s">
        <v>203</v>
      </c>
      <c r="Q27" s="105">
        <f t="shared" ca="1" si="1"/>
        <v>0</v>
      </c>
      <c r="R27" s="111">
        <f ca="1">IF(Q27=0,0,LOOKUP(P27,'Emission Factors'!$A$5:$A$16,'Emission Factors'!$D$5:$D$16))</f>
        <v>0</v>
      </c>
      <c r="S27" s="105">
        <f t="shared" ca="1" si="2"/>
        <v>0</v>
      </c>
      <c r="T27" s="105" t="str">
        <f t="shared" ca="1" si="7"/>
        <v/>
      </c>
      <c r="U27" s="105">
        <f t="shared" ca="1" si="8"/>
        <v>0</v>
      </c>
      <c r="V27" s="113">
        <f t="shared" ca="1" si="3"/>
        <v>0</v>
      </c>
    </row>
    <row r="28" spans="1:23" ht="14.25" customHeight="1" x14ac:dyDescent="0.25">
      <c r="A28" s="6" t="s">
        <v>195</v>
      </c>
      <c r="B28" s="45" t="str">
        <f>IF(COUNTIF(J21:J30,"Cement Delivery to Silo")&gt;0,"EP-2 Cement Silo Stack:","")</f>
        <v/>
      </c>
      <c r="C28" s="221"/>
      <c r="D28" s="221"/>
      <c r="E28" s="221"/>
      <c r="F28" s="221"/>
      <c r="G28" s="45"/>
      <c r="H28" s="126" t="str">
        <f t="shared" si="4"/>
        <v/>
      </c>
      <c r="I28" s="126" t="str">
        <f t="shared" si="0"/>
        <v/>
      </c>
      <c r="J28" s="82"/>
      <c r="K28" s="61"/>
      <c r="L28" s="156"/>
      <c r="M28" s="219" t="str">
        <f t="shared" si="5"/>
        <v/>
      </c>
      <c r="N28" s="219" t="str">
        <f t="shared" si="6"/>
        <v/>
      </c>
      <c r="P28" s="90" t="s">
        <v>197</v>
      </c>
      <c r="Q28" s="105">
        <f t="shared" ca="1" si="1"/>
        <v>0</v>
      </c>
      <c r="R28" s="111">
        <f ca="1">IF(Q28=0,0,LOOKUP(P28,'Emission Factors'!$A$5:$A$16,'Emission Factors'!$D$5:$D$16))</f>
        <v>0</v>
      </c>
      <c r="S28" s="105">
        <f t="shared" ca="1" si="2"/>
        <v>0</v>
      </c>
      <c r="T28" s="105" t="str">
        <f ca="1">IF(Q28=0,"",IF($I$10&gt;0,$I$10,IF(COUNTIF($F$24:$F$168,"no")&gt;0,"",S28*(1-0.95))))</f>
        <v/>
      </c>
      <c r="U28" s="105">
        <f ca="1">IF($J$10&gt;0,"",IF($D$9&gt;0,$D$9*R28*((100-$W$30)/100)/2000,IF($D$10&gt;0,$D$10*365*R28*((100-$W$30)/100)/2000,IF($D$11&gt;0,$D$11*365*R28*((100-$W$30)/100)*Q28/2000,IF(T28="",S28*8760/2000,T28*8760/2000)))))</f>
        <v>0</v>
      </c>
      <c r="V28" s="113">
        <f ca="1">(R28*N180)</f>
        <v>0</v>
      </c>
    </row>
    <row r="29" spans="1:23" ht="14.25" customHeight="1" x14ac:dyDescent="0.25">
      <c r="A29" s="138" t="s">
        <v>196</v>
      </c>
      <c r="B29" s="45" t="str">
        <f>IF(COUNTIF(J21:J30,"Cement Supplement Delivery to Silo")&gt;0,"EP-3 Cement Supplement Silo Stack:","")</f>
        <v/>
      </c>
      <c r="C29" s="221"/>
      <c r="D29" s="221"/>
      <c r="E29" s="221"/>
      <c r="F29" s="221"/>
      <c r="G29" s="45"/>
      <c r="H29" s="126" t="str">
        <f t="shared" si="4"/>
        <v/>
      </c>
      <c r="I29" s="126" t="str">
        <f t="shared" si="0"/>
        <v/>
      </c>
      <c r="J29" s="82"/>
      <c r="K29" s="61"/>
      <c r="L29" s="156"/>
      <c r="M29" s="219" t="str">
        <f t="shared" si="5"/>
        <v/>
      </c>
      <c r="N29" s="219" t="str">
        <f t="shared" si="6"/>
        <v/>
      </c>
      <c r="P29" s="90" t="s">
        <v>198</v>
      </c>
      <c r="Q29" s="105">
        <f t="shared" ca="1" si="1"/>
        <v>0</v>
      </c>
      <c r="R29" s="111">
        <f ca="1">IF(Q29=0,0,LOOKUP(P29,'Emission Factors'!$A$5:$A$16,'Emission Factors'!$D$5:$D$16))</f>
        <v>0</v>
      </c>
      <c r="S29" s="105">
        <f t="shared" ca="1" si="2"/>
        <v>0</v>
      </c>
      <c r="T29" s="105" t="str">
        <f ca="1">IF(Q29=0,"",IF($I$10&gt;0,$I$10,IF(COUNTIF($F$24:$F$168,"no")&gt;0,"",S29*(1-0.95))))</f>
        <v/>
      </c>
      <c r="U29" s="105">
        <f ca="1">IF($J$10&gt;0,"",IF($D$9&gt;0,$D$9*R29*((100-$W$30)/100)/2000,IF($D$10&gt;0,$D$10*365*R29*((100-$W$30)/100)/2000,IF($D$11&gt;0,$D$11*365*R29*((100-$W$30)/100)*Q29/2000,IF(T29="",S29*8760/2000,T29*8760/2000)))))</f>
        <v>0</v>
      </c>
      <c r="V29" s="113">
        <f ca="1">(R29*M180)</f>
        <v>0</v>
      </c>
    </row>
    <row r="30" spans="1:23" ht="14.25" customHeight="1" x14ac:dyDescent="0.25">
      <c r="A30" s="138" t="s">
        <v>203</v>
      </c>
      <c r="B30" s="45" t="str">
        <f>IF(COUNTIF(J21:J30,"Weigh Hopper Loading")&gt;0,"EP-4 Weigh Hopper Loading Stack:","")</f>
        <v/>
      </c>
      <c r="C30" s="221"/>
      <c r="D30" s="221"/>
      <c r="E30" s="221"/>
      <c r="F30" s="221"/>
      <c r="H30" s="126" t="str">
        <f t="shared" si="4"/>
        <v/>
      </c>
      <c r="I30" s="126" t="str">
        <f t="shared" si="0"/>
        <v/>
      </c>
      <c r="J30" s="82"/>
      <c r="K30" s="61"/>
      <c r="L30" s="156"/>
      <c r="M30" s="219" t="str">
        <f t="shared" si="5"/>
        <v/>
      </c>
      <c r="N30" s="219" t="str">
        <f t="shared" si="6"/>
        <v/>
      </c>
      <c r="P30" s="90" t="s">
        <v>199</v>
      </c>
      <c r="Q30" s="105">
        <f t="shared" ca="1" si="1"/>
        <v>0</v>
      </c>
      <c r="R30" s="111">
        <f ca="1">IF(Q30=0,0,LOOKUP(P30,'Emission Factors'!$A$5:$A$16,'Emission Factors'!$D$5:$D$16))</f>
        <v>0</v>
      </c>
      <c r="S30" s="148"/>
      <c r="T30" s="105">
        <f ca="1">IF(Q30=0,0,IF($I$10&gt;0,$I$10,Q30*R30))</f>
        <v>0</v>
      </c>
      <c r="U30" s="105">
        <f ca="1">IF($J$10&gt;0,"",IF($D$9&gt;0,$D$9*R30/2000,IF($D$10&gt;0,$D$10*365*R30/2000,IF($D$11&gt;0,$D$11*365*R30*Q30/2000,IF($I$10&gt;0,0,T30*8760/2000)))))</f>
        <v>0</v>
      </c>
      <c r="V30" s="113">
        <f ca="1">(R13*R30/2000)</f>
        <v>0</v>
      </c>
      <c r="W30" s="67">
        <f>IF(COUNTIF($F$24:$F$168,"no")&gt;0,0,95)</f>
        <v>95</v>
      </c>
    </row>
    <row r="31" spans="1:23" ht="14.25" customHeight="1" x14ac:dyDescent="0.25">
      <c r="A31" s="138" t="s">
        <v>197</v>
      </c>
      <c r="B31" s="45" t="str">
        <f>IF(COUNTIF(J21:J30,"Truck Mix Loading")&gt;0,"EP-5 Truck Mix Loading Stack:","")</f>
        <v/>
      </c>
      <c r="C31" s="221"/>
      <c r="D31" s="221"/>
      <c r="E31" s="221"/>
      <c r="F31" s="221"/>
      <c r="G31" s="76"/>
      <c r="H31" s="45"/>
      <c r="I31" s="45"/>
      <c r="P31" s="90" t="s">
        <v>200</v>
      </c>
      <c r="Q31" s="105">
        <f t="shared" ca="1" si="1"/>
        <v>0</v>
      </c>
      <c r="R31" s="111">
        <f ca="1">IF(Q31=0,0,LOOKUP(P31,'Emission Factors'!$A$5:$A$16,'Emission Factors'!$D$5:$D$16))</f>
        <v>0</v>
      </c>
      <c r="S31" s="148"/>
      <c r="T31" s="105">
        <f ca="1">IF(Q31=0,0,IF($I$10&gt;0,$I$10,Q31*R31))</f>
        <v>0</v>
      </c>
      <c r="U31" s="105">
        <f ca="1">IF($J$10&gt;0,"",IF($D$9&gt;0,$D$9*R31/2000,IF($D$10&gt;0,$D$10*365*R31/2000,IF($D$11&gt;0,$D$11*365*R31*Q31/2000,IF($I$10&gt;0,0,T31*8760/2000)))))</f>
        <v>0</v>
      </c>
      <c r="V31" s="113">
        <f ca="1">(R14*R31/2000)</f>
        <v>0</v>
      </c>
    </row>
    <row r="32" spans="1:23" ht="14.25" customHeight="1" x14ac:dyDescent="0.25">
      <c r="A32" s="138" t="s">
        <v>198</v>
      </c>
      <c r="B32" s="45" t="str">
        <f>IF(COUNTIF(J21:J30,"Central Mix Loading")&gt;0,"EP-6 Central Mix Loading Stack:","")</f>
        <v/>
      </c>
      <c r="C32" s="221"/>
      <c r="D32" s="221"/>
      <c r="E32" s="221"/>
      <c r="F32" s="221"/>
      <c r="H32" s="74" t="s">
        <v>85</v>
      </c>
      <c r="I32" s="74"/>
      <c r="J32" s="75"/>
    </row>
    <row r="33" spans="1:23" ht="14.25" customHeight="1" x14ac:dyDescent="0.25">
      <c r="A33" s="138" t="s">
        <v>199</v>
      </c>
      <c r="B33" s="73"/>
      <c r="C33" s="163"/>
      <c r="D33" s="163"/>
      <c r="E33" s="163"/>
      <c r="F33" s="176"/>
      <c r="I33" s="77" t="s">
        <v>61</v>
      </c>
      <c r="J33" s="43" t="s">
        <v>86</v>
      </c>
      <c r="K33" s="142" t="s">
        <v>87</v>
      </c>
      <c r="L33" s="43" t="s">
        <v>88</v>
      </c>
      <c r="M33" s="146"/>
      <c r="N33" s="146"/>
    </row>
    <row r="34" spans="1:23" ht="14.25" customHeight="1" x14ac:dyDescent="0.25">
      <c r="A34" s="138" t="s">
        <v>200</v>
      </c>
      <c r="B34" s="73"/>
      <c r="C34" s="163"/>
      <c r="D34" s="163"/>
      <c r="E34" s="163"/>
      <c r="F34" s="176"/>
      <c r="I34" s="63"/>
      <c r="J34" s="144"/>
      <c r="K34" s="64"/>
      <c r="L34" s="144"/>
      <c r="M34" s="146"/>
      <c r="N34" s="146"/>
      <c r="P34" s="89" t="s">
        <v>17</v>
      </c>
      <c r="Q34" s="107"/>
      <c r="R34" s="112"/>
      <c r="S34" s="108"/>
      <c r="T34" s="108"/>
      <c r="U34" s="108"/>
      <c r="V34" s="114"/>
    </row>
    <row r="35" spans="1:23" ht="14.25" customHeight="1" x14ac:dyDescent="0.2">
      <c r="B35" s="73"/>
      <c r="C35" s="163"/>
      <c r="D35" s="163"/>
      <c r="E35" s="163"/>
      <c r="F35" s="176"/>
      <c r="P35" s="90" t="s">
        <v>191</v>
      </c>
      <c r="Q35" s="105">
        <f t="shared" ref="Q35:Q45" ca="1" si="9">Q4</f>
        <v>0</v>
      </c>
      <c r="R35" s="111">
        <f ca="1">IF(Q35=0,0,LOOKUP(P35,'Emission Factors'!$A$5:$A$16,'Emission Factors'!$H$5:$H$16))</f>
        <v>0</v>
      </c>
      <c r="S35" s="105">
        <f t="shared" ref="S35:S37" ca="1" si="10">Q35*R35</f>
        <v>0</v>
      </c>
      <c r="T35" s="105" t="str">
        <f ca="1">IF(Q35=0,"",IF($I$11&gt;0,$I$11,""))</f>
        <v/>
      </c>
      <c r="U35" s="105">
        <f ca="1">IF($J$11&gt;0,$J$11,IF($D$9&gt;0,$D$9*R35/2000,IF($D$10&gt;0,$D$10*365*R35/2000,IF($D$11&gt;0,$D$11*365*R35*Q35/2000,IF(T35="",S35*8760/2000,T35*8760/2000)))))</f>
        <v>0</v>
      </c>
      <c r="V35" s="113">
        <f t="shared" ref="V35:V41" ca="1" si="11">(R4*R35/2000)</f>
        <v>0</v>
      </c>
    </row>
    <row r="36" spans="1:23" ht="14.25" customHeight="1" x14ac:dyDescent="0.2">
      <c r="B36" s="45"/>
      <c r="F36" s="177"/>
      <c r="G36" s="45"/>
      <c r="P36" s="90" t="s">
        <v>192</v>
      </c>
      <c r="Q36" s="105">
        <f t="shared" ca="1" si="9"/>
        <v>0</v>
      </c>
      <c r="R36" s="111">
        <f ca="1">IF(Q36=0,0,LOOKUP(P36,'Emission Factors'!$A$5:$A$16,'Emission Factors'!$H$5:$H$16))</f>
        <v>0</v>
      </c>
      <c r="S36" s="109">
        <f t="shared" ca="1" si="10"/>
        <v>0</v>
      </c>
      <c r="T36" s="105" t="str">
        <f t="shared" ref="T36:T37" ca="1" si="12">IF(Q36=0,"",IF($I$11&gt;0,$I$11,""))</f>
        <v/>
      </c>
      <c r="U36" s="105">
        <f t="shared" ref="U36:U37" ca="1" si="13">IF($J$11&gt;0,"",IF($D$9&gt;0,$D$9*R36/2000,IF($D$10&gt;0,$D$10*365*R36/2000,IF($D$11&gt;0,$D$11*365*R36*Q36/2000,IF(T36="",S36*8760/2000,T36*8760/2000)))))</f>
        <v>0</v>
      </c>
      <c r="V36" s="113">
        <f t="shared" ca="1" si="11"/>
        <v>0</v>
      </c>
    </row>
    <row r="37" spans="1:23" ht="29.25" customHeight="1" x14ac:dyDescent="0.25">
      <c r="B37" s="78" t="str">
        <f>IF('Concrete Plant (CP-9)'!$D$4&gt;1,"Batch Plant","")</f>
        <v/>
      </c>
      <c r="C37" s="71" t="str">
        <f>IF('Concrete Plant (CP-9)'!$D$4&gt;1,"Site 2","")</f>
        <v/>
      </c>
      <c r="D37" s="71"/>
      <c r="E37" s="71"/>
      <c r="F37" s="71"/>
      <c r="G37" s="45"/>
      <c r="H37" s="310" t="str">
        <f>IF('Concrete Plant (CP-9)'!$D$4&gt;1,"Emission Point #","")</f>
        <v/>
      </c>
      <c r="I37" s="310" t="str">
        <f>IF('Concrete Plant (CP-9)'!$D$4&gt;1,"Emission     Unit #","")</f>
        <v/>
      </c>
      <c r="J37" s="310" t="str">
        <f>IF('Concrete Plant (CP-9)'!$D$4&gt;1,"Processes","")</f>
        <v/>
      </c>
      <c r="K37" s="311" t="str">
        <f>IF('Concrete Plant (CP-9)'!$D$4&gt;1,"Combined Maximum Hourly Design Rate for all Like Processes (cubic yard/hr)","")</f>
        <v/>
      </c>
      <c r="L37" s="310" t="str">
        <f>IF('Concrete Plant (CP-9)'!$D$4&gt;1,('Facility Information'!G5&amp;" Annual Throughput (cubic yards)"),"")</f>
        <v/>
      </c>
      <c r="M37" s="217"/>
      <c r="N37" s="217"/>
      <c r="P37" s="90" t="s">
        <v>193</v>
      </c>
      <c r="Q37" s="105">
        <f t="shared" ca="1" si="9"/>
        <v>0</v>
      </c>
      <c r="R37" s="111">
        <f ca="1">IF(Q37=0,0,LOOKUP(P37,'Emission Factors'!$A$5:$A$16,'Emission Factors'!$H$5:$H$16))</f>
        <v>0</v>
      </c>
      <c r="S37" s="105">
        <f t="shared" ca="1" si="10"/>
        <v>0</v>
      </c>
      <c r="T37" s="105" t="str">
        <f t="shared" ca="1" si="12"/>
        <v/>
      </c>
      <c r="U37" s="105">
        <f t="shared" ca="1" si="13"/>
        <v>0</v>
      </c>
      <c r="V37" s="113">
        <f t="shared" ca="1" si="11"/>
        <v>0</v>
      </c>
    </row>
    <row r="38" spans="1:23" ht="14.25" customHeight="1" x14ac:dyDescent="0.2">
      <c r="B38" s="79" t="str">
        <f>IF('Concrete Plant (CP-9)'!$D$4&gt;1,"Site Name:","")</f>
        <v/>
      </c>
      <c r="C38" s="349"/>
      <c r="D38" s="356"/>
      <c r="E38" s="357"/>
      <c r="F38" s="175"/>
      <c r="G38" s="45"/>
      <c r="H38" s="127" t="str">
        <f>IF(J38="cement delivery to silo","CP-1 EP-2",IF(J38="cement supplement delivery to silo","CP-1 EP-3",IF(J38="weigh hopper loading","CP-1 EP-4",IF(J38="truck mix loading","CP-1 EP-5",IF(J38="central mix loading","CP-1 EP-6",IF(J38="","","CP-1 EP-1"))))))</f>
        <v/>
      </c>
      <c r="I38" s="127" t="str">
        <f t="shared" ref="I38:I47" si="14">IF(J38="","",IF(J38="aggregate delivery to ground storage","CP-9 EU-1",IF(J38="sand delivery to ground storage","CP-9 EU-2",IF(J38="aggregate transfer to conveyor","CP-9 EU-3",IF(J38="sand transfer to conveyor","CP-9 EU-4",IF(J38="aggregate transfer to elevated storage","CP-9 EU-5",IF(J38="sand transfer to elevated storage","CP-9 EU-6",IF(J38="weigh hopper loading","CP-9 EU-7",IF(J38="central mix loading","CP-9 EU-8",IF(J38="truck mix loading","CP-9 EU-9",IF(J38="cement delivery to silo","CP-9 EU-10",IF(J38="cement supplement delivery to silo","CP-9 EU-11"))))))))))))</f>
        <v/>
      </c>
      <c r="J38" s="82"/>
      <c r="K38" s="61"/>
      <c r="L38" s="156"/>
      <c r="M38" s="219" t="str">
        <f>IF(J38="truck mix loading",IF($F$41="yes",L38*0.05/2000,L38/2000),"")</f>
        <v/>
      </c>
      <c r="N38" s="219" t="str">
        <f>IF(J38="central mix loading",IF($F$41="yes",L38*0.05/2000,L38/2000),"")</f>
        <v/>
      </c>
      <c r="P38" s="90" t="s">
        <v>194</v>
      </c>
      <c r="Q38" s="105">
        <f t="shared" ca="1" si="9"/>
        <v>0</v>
      </c>
      <c r="R38" s="111">
        <f ca="1">IF(Q38=0,0,LOOKUP(P38,'Emission Factors'!$A$5:$A$16,'Emission Factors'!$H$5:$H$16))</f>
        <v>0</v>
      </c>
      <c r="S38" s="105">
        <f t="shared" ref="S38:S43" ca="1" si="15">Q38*R38</f>
        <v>0</v>
      </c>
      <c r="T38" s="105" t="str">
        <f ca="1">IF(Q38=0,"",IF($I$11&gt;0,$I$11,""))</f>
        <v/>
      </c>
      <c r="U38" s="105">
        <f ca="1">IF($J$11&gt;0,"",IF($D$9&gt;0,$D$9*R38/2000,IF($D$10&gt;0,$D$10*365*R38/2000,IF($D$11&gt;0,$D$11*365*R38*Q38/2000,IF(T38="",S38*8760/2000,T38*8760/2000)))))</f>
        <v>0</v>
      </c>
      <c r="V38" s="113">
        <f t="shared" ca="1" si="11"/>
        <v>0</v>
      </c>
    </row>
    <row r="39" spans="1:23" ht="14.25" customHeight="1" x14ac:dyDescent="0.2">
      <c r="B39" s="79" t="str">
        <f>IF('Concrete Plant (CP-9)'!$D$4&gt;1,"County:","")</f>
        <v/>
      </c>
      <c r="C39" s="339"/>
      <c r="D39" s="342"/>
      <c r="E39" s="343"/>
      <c r="F39" s="175"/>
      <c r="G39" s="45"/>
      <c r="H39" s="127" t="str">
        <f t="shared" ref="H39:H47" si="16">IF(J39="cement delivery to silo","CP-1 EP-2",IF(J39="cement supplement delivery to silo","CP-1 EP-3",IF(J39="weigh hopper loading","CP-1 EP-4",IF(J39="truck mix loading","CP-1 EP-5",IF(J39="central mix loading","CP-1 EP-6",IF(J39="","","CP-1 EP-1"))))))</f>
        <v/>
      </c>
      <c r="I39" s="127" t="str">
        <f t="shared" si="14"/>
        <v/>
      </c>
      <c r="J39" s="82"/>
      <c r="K39" s="61"/>
      <c r="L39" s="156"/>
      <c r="M39" s="219" t="str">
        <f t="shared" ref="M39:M47" si="17">IF(J39="truck mix loading",IF($F$41="yes",L39*0.05/2000,L39/2000),"")</f>
        <v/>
      </c>
      <c r="N39" s="219" t="str">
        <f t="shared" ref="N39:N47" si="18">IF(J39="central mix loading",IF($F$41="yes",L39*0.05/2000,L39/2000),"")</f>
        <v/>
      </c>
      <c r="P39" s="90" t="s">
        <v>195</v>
      </c>
      <c r="Q39" s="105">
        <f t="shared" ca="1" si="9"/>
        <v>0</v>
      </c>
      <c r="R39" s="111">
        <f ca="1">IF(Q39=0,0,LOOKUP(P39,'Emission Factors'!$A$5:$A$16,'Emission Factors'!$H$5:$H$16))</f>
        <v>0</v>
      </c>
      <c r="S39" s="105">
        <f t="shared" ca="1" si="15"/>
        <v>0</v>
      </c>
      <c r="T39" s="105" t="str">
        <f ca="1">IF(Q39=0,"",IF($I$11&gt;0,$I$11,""))</f>
        <v/>
      </c>
      <c r="U39" s="105">
        <f ca="1">IF($J$11&gt;0,"",IF($D$9&gt;0,$D$9*R39/2000,IF($D$10&gt;0,$D$10*365*R39/2000,IF($D$11&gt;0,$D$11*365*R39*Q39/2000,IF(T39="",S39*8760/2000,T39*8760/2000)))))</f>
        <v>0</v>
      </c>
      <c r="V39" s="113">
        <f t="shared" ca="1" si="11"/>
        <v>0</v>
      </c>
    </row>
    <row r="40" spans="1:23" ht="14.25" customHeight="1" x14ac:dyDescent="0.2">
      <c r="B40" s="79" t="str">
        <f>IF('Concrete Plant (CP-9)'!$D$4&gt;1,"Batching Period (Dates):","")</f>
        <v/>
      </c>
      <c r="C40" s="352"/>
      <c r="D40" s="358"/>
      <c r="E40" s="359"/>
      <c r="F40" s="175"/>
      <c r="G40" s="45"/>
      <c r="H40" s="127" t="str">
        <f t="shared" si="16"/>
        <v/>
      </c>
      <c r="I40" s="127" t="str">
        <f t="shared" si="14"/>
        <v/>
      </c>
      <c r="J40" s="82"/>
      <c r="K40" s="61"/>
      <c r="L40" s="156"/>
      <c r="M40" s="219" t="str">
        <f t="shared" si="17"/>
        <v/>
      </c>
      <c r="N40" s="219" t="str">
        <f t="shared" si="18"/>
        <v/>
      </c>
      <c r="P40" s="90" t="s">
        <v>196</v>
      </c>
      <c r="Q40" s="105">
        <f t="shared" ca="1" si="9"/>
        <v>0</v>
      </c>
      <c r="R40" s="111">
        <f ca="1">IF(Q40=0,0,LOOKUP(P40,'Emission Factors'!$A$5:$A$16,'Emission Factors'!$H$5:$H$16))</f>
        <v>0</v>
      </c>
      <c r="S40" s="105">
        <f t="shared" ca="1" si="15"/>
        <v>0</v>
      </c>
      <c r="T40" s="105" t="str">
        <f ca="1">IF(Q40=0,"",IF($I$11&gt;0,$I$11,""))</f>
        <v/>
      </c>
      <c r="U40" s="105">
        <f ca="1">IF($J$11&gt;0,"",IF($D$9&gt;0,$D$9*R40/2000,IF($D$10&gt;0,$D$10*365*R40/2000,IF($D$11&gt;0,$D$11*365*R40*Q40/2000,IF(T40="",S40*8760/2000,T40*8760/2000)))))</f>
        <v>0</v>
      </c>
      <c r="V40" s="113">
        <f t="shared" ca="1" si="11"/>
        <v>0</v>
      </c>
    </row>
    <row r="41" spans="1:23" ht="14.25" customHeight="1" x14ac:dyDescent="0.2">
      <c r="B41" s="51" t="str">
        <f>IF(OR(COUNTIF(J38:J47,"Truck Mix Loading")&gt;0,(COUNTIF(J38:J47,"Central Mix Loading")&gt;0)),"Is the Central/Truck Mix Loading process controlled by a baghouse?","")</f>
        <v/>
      </c>
      <c r="C41" s="51"/>
      <c r="D41" s="51"/>
      <c r="E41" s="51"/>
      <c r="F41" s="221"/>
      <c r="G41" s="45"/>
      <c r="H41" s="127" t="str">
        <f t="shared" si="16"/>
        <v/>
      </c>
      <c r="I41" s="127" t="str">
        <f t="shared" si="14"/>
        <v/>
      </c>
      <c r="J41" s="82"/>
      <c r="K41" s="61"/>
      <c r="L41" s="156"/>
      <c r="M41" s="219" t="str">
        <f t="shared" si="17"/>
        <v/>
      </c>
      <c r="N41" s="219" t="str">
        <f t="shared" si="18"/>
        <v/>
      </c>
      <c r="P41" s="90" t="s">
        <v>203</v>
      </c>
      <c r="Q41" s="105">
        <f t="shared" ca="1" si="9"/>
        <v>0</v>
      </c>
      <c r="R41" s="111">
        <f ca="1">IF(Q41=0,0,LOOKUP(P41,'Emission Factors'!$A$5:$A$16,'Emission Factors'!$H$5:$H$16))</f>
        <v>0</v>
      </c>
      <c r="S41" s="105">
        <f t="shared" ca="1" si="15"/>
        <v>0</v>
      </c>
      <c r="T41" s="105" t="str">
        <f ca="1">IF(Q41=0,"",IF($I$11&gt;0,$I$11,""))</f>
        <v/>
      </c>
      <c r="U41" s="105">
        <f ca="1">IF($J$11&gt;0,"",IF($D$9&gt;0,$D$9*R41/2000,IF($D$10&gt;0,$D$10*365*R41/2000,IF($D$11&gt;0,$D$11*365*R41*Q41/2000,IF(T41="",S41*8760/2000,T41*8760/2000)))))</f>
        <v>0</v>
      </c>
      <c r="V41" s="113">
        <f t="shared" ca="1" si="11"/>
        <v>0</v>
      </c>
      <c r="W41" s="67">
        <f>IF(COUNTIF($F$24:$F$168,"no")&gt;0,0,95)</f>
        <v>95</v>
      </c>
    </row>
    <row r="42" spans="1:23" ht="14.25" customHeight="1" x14ac:dyDescent="0.2">
      <c r="F42" s="177"/>
      <c r="G42" s="45"/>
      <c r="H42" s="127" t="str">
        <f t="shared" si="16"/>
        <v/>
      </c>
      <c r="I42" s="127" t="str">
        <f t="shared" si="14"/>
        <v/>
      </c>
      <c r="J42" s="82"/>
      <c r="K42" s="61"/>
      <c r="L42" s="156"/>
      <c r="M42" s="219" t="str">
        <f t="shared" si="17"/>
        <v/>
      </c>
      <c r="N42" s="219" t="str">
        <f t="shared" si="18"/>
        <v/>
      </c>
      <c r="P42" s="90" t="s">
        <v>197</v>
      </c>
      <c r="Q42" s="105">
        <f t="shared" ca="1" si="9"/>
        <v>0</v>
      </c>
      <c r="R42" s="111">
        <f ca="1">IF(Q42=0,0,LOOKUP(P42,'Emission Factors'!$A$5:$A$16,'Emission Factors'!$H$5:$H$16))</f>
        <v>0</v>
      </c>
      <c r="S42" s="105">
        <f t="shared" ca="1" si="15"/>
        <v>0</v>
      </c>
      <c r="T42" s="105" t="str">
        <f ca="1">IF(Q42=0,"",IF($I$11&gt;0,$I$11,IF(COUNTIF($F$24:$F$168,"no")&gt;0,"",S42*(1-0.95))))</f>
        <v/>
      </c>
      <c r="U42" s="105">
        <f ca="1">IF($J$11&gt;0,"",IF($D$9&gt;0,$D$9*R42*((100-$W$30)/100)/2000,IF($D$10&gt;0,$D$10*365*R42*((100-$W$30)/100)/2000,IF($D$11&gt;0,$D$11*365*R42*((100-$W$30)/100)*Q42/2000,IF(T42="",S42*8760/2000,T42*8760/2000)))))</f>
        <v>0</v>
      </c>
      <c r="V42" s="113">
        <f ca="1">(N180*R42)</f>
        <v>0</v>
      </c>
    </row>
    <row r="43" spans="1:23" ht="27.75" customHeight="1" x14ac:dyDescent="0.2">
      <c r="B43" s="312" t="str">
        <f>IF(AND(B45="",B46="",B47="",B48="",B49=""),"","Process (complete stack information if applicable):")</f>
        <v/>
      </c>
      <c r="C43" s="312" t="str">
        <f>IF(AND(B45="",B46="",B47="",B48="",B49=""),"","Stack Height (ft):")</f>
        <v/>
      </c>
      <c r="D43" s="312" t="str">
        <f>IF(AND(B45="",B46="",B47="",B48="",B49=""),"","Stack Diameter (inches):")</f>
        <v/>
      </c>
      <c r="E43" s="312" t="str">
        <f>IF(AND(B45="",B46="",B47="",B48="",B49=""),"","Flow Rate (acfm):")</f>
        <v/>
      </c>
      <c r="F43" s="312" t="str">
        <f>IF(AND(B45="",B46="",B47="",B48="",B49=""),"","Temp (Deg F):")</f>
        <v/>
      </c>
      <c r="G43" s="45"/>
      <c r="H43" s="127" t="str">
        <f t="shared" si="16"/>
        <v/>
      </c>
      <c r="I43" s="127" t="str">
        <f t="shared" si="14"/>
        <v/>
      </c>
      <c r="J43" s="82"/>
      <c r="K43" s="61"/>
      <c r="L43" s="156"/>
      <c r="M43" s="219" t="str">
        <f t="shared" si="17"/>
        <v/>
      </c>
      <c r="N43" s="219" t="str">
        <f t="shared" si="18"/>
        <v/>
      </c>
      <c r="P43" s="90" t="s">
        <v>198</v>
      </c>
      <c r="Q43" s="105">
        <f t="shared" ca="1" si="9"/>
        <v>0</v>
      </c>
      <c r="R43" s="111">
        <f ca="1">IF(Q43=0,0,LOOKUP(P43,'Emission Factors'!$A$5:$A$16,'Emission Factors'!$H$5:$H$16))</f>
        <v>0</v>
      </c>
      <c r="S43" s="105">
        <f t="shared" ca="1" si="15"/>
        <v>0</v>
      </c>
      <c r="T43" s="105" t="str">
        <f ca="1">IF(Q43=0,"",IF($I$11&gt;0,$I$11,IF(COUNTIF($F$24:$F$168,"no")&gt;0,"",S43*(1-0.95))))</f>
        <v/>
      </c>
      <c r="U43" s="105">
        <f ca="1">IF($J$11&gt;0,"",IF($D$9&gt;0,$D$9*R43*((100-$W$30)/100)/2000,IF($D$10&gt;0,$D$10*365*R43*((100-$W$30)/100)/2000,IF($D$11&gt;0,$D$11*365*R43*((100-$W$30)/100)*Q43/2000,IF(T43="",S43*8760/2000,T43*8760/2000)))))</f>
        <v>0</v>
      </c>
      <c r="V43" s="113">
        <f ca="1">(M180*R43)</f>
        <v>0</v>
      </c>
    </row>
    <row r="44" spans="1:23" ht="14.25" customHeight="1" x14ac:dyDescent="0.2">
      <c r="B44" s="312"/>
      <c r="C44" s="312"/>
      <c r="D44" s="312"/>
      <c r="E44" s="312"/>
      <c r="F44" s="312"/>
      <c r="G44" s="45"/>
      <c r="H44" s="127" t="str">
        <f t="shared" si="16"/>
        <v/>
      </c>
      <c r="I44" s="127" t="str">
        <f t="shared" si="14"/>
        <v/>
      </c>
      <c r="J44" s="82"/>
      <c r="K44" s="61"/>
      <c r="L44" s="156"/>
      <c r="M44" s="219" t="str">
        <f t="shared" si="17"/>
        <v/>
      </c>
      <c r="N44" s="219" t="str">
        <f t="shared" si="18"/>
        <v/>
      </c>
      <c r="P44" s="90" t="s">
        <v>199</v>
      </c>
      <c r="Q44" s="105">
        <f t="shared" ca="1" si="9"/>
        <v>0</v>
      </c>
      <c r="R44" s="111">
        <f ca="1">IF(Q44=0,0,LOOKUP(P44,'Emission Factors'!$A$5:$A$16,'Emission Factors'!$H$5:$H$16))</f>
        <v>0</v>
      </c>
      <c r="S44" s="148"/>
      <c r="T44" s="105">
        <f ca="1">IF(Q44=0,0,IF($I$10&gt;0,$I$10,Q44*R44))</f>
        <v>0</v>
      </c>
      <c r="U44" s="105">
        <f ca="1">IF($J$11&gt;0,"",IF($D$9&gt;0,$D$9*R44/2000,IF($D$10&gt;0,$D$10*365*R44/2000,IF($D$11&gt;0,$D$11*365*R44*Q44/2000,IF($I$11&gt;0,0,T44*8760/2000)))))</f>
        <v>0</v>
      </c>
      <c r="V44" s="113">
        <f ca="1">(R13*R44/2000)</f>
        <v>0</v>
      </c>
    </row>
    <row r="45" spans="1:23" ht="14.25" customHeight="1" x14ac:dyDescent="0.2">
      <c r="B45" s="45" t="str">
        <f>IF(COUNTIF(J38:J47,"Cement Delivery to Silo")&gt;0,"EP-2 Cement Silo Stack:","")</f>
        <v/>
      </c>
      <c r="C45" s="221"/>
      <c r="D45" s="221"/>
      <c r="E45" s="221"/>
      <c r="F45" s="221"/>
      <c r="H45" s="127" t="str">
        <f t="shared" si="16"/>
        <v/>
      </c>
      <c r="I45" s="127" t="str">
        <f t="shared" si="14"/>
        <v/>
      </c>
      <c r="J45" s="82"/>
      <c r="K45" s="61"/>
      <c r="L45" s="156"/>
      <c r="M45" s="219" t="str">
        <f t="shared" si="17"/>
        <v/>
      </c>
      <c r="N45" s="219" t="str">
        <f t="shared" si="18"/>
        <v/>
      </c>
      <c r="P45" s="90" t="s">
        <v>200</v>
      </c>
      <c r="Q45" s="105">
        <f t="shared" ca="1" si="9"/>
        <v>0</v>
      </c>
      <c r="R45" s="111">
        <f ca="1">IF(Q45=0,0,LOOKUP(P45,'Emission Factors'!$A$5:$A$16,'Emission Factors'!$H$5:$H$16))</f>
        <v>0</v>
      </c>
      <c r="S45" s="148"/>
      <c r="T45" s="105">
        <f ca="1">IF(Q45=0,0,IF($I$10&gt;0,$I$10,Q45*R45))</f>
        <v>0</v>
      </c>
      <c r="U45" s="105">
        <f ca="1">IF($J$11&gt;0,"",IF($D$9&gt;0,$D$9*R45/2000,IF($D$10&gt;0,$D$10*365*R45/2000,IF($D$11&gt;0,$D$11*365*R45*Q45/2000,IF($I$11&gt;0,0,T45*8760/2000)))))</f>
        <v>0</v>
      </c>
      <c r="V45" s="113">
        <f ca="1">(R14*R45/2000)</f>
        <v>0</v>
      </c>
    </row>
    <row r="46" spans="1:23" ht="14.25" customHeight="1" x14ac:dyDescent="0.2">
      <c r="B46" s="45" t="str">
        <f>IF(COUNTIF(J38:J47,"Cement Supplement Delivery to Silo")&gt;0,"EP-3 Cement Supplement Silo Stack:","")</f>
        <v/>
      </c>
      <c r="C46" s="221"/>
      <c r="D46" s="221"/>
      <c r="E46" s="221"/>
      <c r="F46" s="221"/>
      <c r="G46" s="76"/>
      <c r="H46" s="127" t="str">
        <f t="shared" si="16"/>
        <v/>
      </c>
      <c r="I46" s="127" t="str">
        <f t="shared" si="14"/>
        <v/>
      </c>
      <c r="J46" s="82"/>
      <c r="K46" s="61"/>
      <c r="L46" s="156"/>
      <c r="M46" s="219" t="str">
        <f t="shared" si="17"/>
        <v/>
      </c>
      <c r="N46" s="219" t="str">
        <f t="shared" si="18"/>
        <v/>
      </c>
      <c r="O46" s="76"/>
    </row>
    <row r="47" spans="1:23" ht="14.25" customHeight="1" x14ac:dyDescent="0.2">
      <c r="B47" s="45" t="str">
        <f>IF(COUNTIF(J38:J47,"Weigh Hopper Loading")&gt;0,"EP-4 Weigh Hopper Loading Stack:","")</f>
        <v/>
      </c>
      <c r="C47" s="221"/>
      <c r="D47" s="221"/>
      <c r="E47" s="221"/>
      <c r="F47" s="221"/>
      <c r="H47" s="127" t="str">
        <f t="shared" si="16"/>
        <v/>
      </c>
      <c r="I47" s="127" t="str">
        <f t="shared" si="14"/>
        <v/>
      </c>
      <c r="J47" s="82"/>
      <c r="K47" s="61"/>
      <c r="L47" s="156"/>
      <c r="M47" s="219" t="str">
        <f t="shared" si="17"/>
        <v/>
      </c>
      <c r="N47" s="219" t="str">
        <f t="shared" si="18"/>
        <v/>
      </c>
    </row>
    <row r="48" spans="1:23" ht="28.5" customHeight="1" x14ac:dyDescent="0.2">
      <c r="B48" s="45" t="str">
        <f>IF(COUNTIF(J38:J47,"Truck Mix Loading")&gt;0,"EP-5 Truck Mix Loading Stack:","")</f>
        <v/>
      </c>
      <c r="C48" s="221"/>
      <c r="D48" s="221"/>
      <c r="E48" s="221"/>
      <c r="F48" s="221"/>
      <c r="G48" s="146"/>
      <c r="H48" s="74" t="str">
        <f>IF('Concrete Plant (CP-9)'!$D$4&gt;1,"Stock Pile Area","")</f>
        <v/>
      </c>
      <c r="I48" s="74"/>
      <c r="J48" s="74"/>
      <c r="L48" s="76"/>
      <c r="P48" s="68" t="s">
        <v>40</v>
      </c>
      <c r="Q48" s="309" t="s">
        <v>151</v>
      </c>
      <c r="R48" s="309" t="s">
        <v>152</v>
      </c>
      <c r="S48" s="308" t="s">
        <v>147</v>
      </c>
      <c r="T48" s="308" t="s">
        <v>130</v>
      </c>
      <c r="U48" s="308" t="s">
        <v>14</v>
      </c>
      <c r="V48" s="308" t="s">
        <v>148</v>
      </c>
    </row>
    <row r="49" spans="2:22" ht="14.25" customHeight="1" x14ac:dyDescent="0.2">
      <c r="B49" s="45" t="str">
        <f>IF(COUNTIF(J38:J47,"Central Mix Loading")&gt;0,"EP-6 Central Mix Loading Stack:","")</f>
        <v/>
      </c>
      <c r="C49" s="221"/>
      <c r="D49" s="221"/>
      <c r="E49" s="221"/>
      <c r="F49" s="221"/>
      <c r="G49" s="71"/>
      <c r="I49" s="51" t="str">
        <f>IF('Concrete Plant (CP-9)'!$D$4&gt;1,"Emission Unit #","")</f>
        <v/>
      </c>
      <c r="J49" s="81" t="str">
        <f>IF('Concrete Plant (CP-9)'!$D$4&gt;1,"Maximum Storage Area (acres)","")</f>
        <v/>
      </c>
      <c r="K49" s="81" t="str">
        <f>IF('Concrete Plant (CP-9)'!$D$4&gt;1,"Actual Storage Area (acres)","")</f>
        <v/>
      </c>
      <c r="L49" s="81" t="str">
        <f>IF('Concrete Plant (CP-9)'!$D$4&gt;1,"Actual Days in Existence (days)","")</f>
        <v/>
      </c>
      <c r="M49" s="71"/>
      <c r="N49" s="71"/>
      <c r="P49" s="92" t="s">
        <v>153</v>
      </c>
      <c r="Q49" s="143">
        <f>Q17</f>
        <v>0</v>
      </c>
      <c r="R49" s="143">
        <v>3.64</v>
      </c>
      <c r="S49" s="143">
        <f>Q49*R49*(1/24)</f>
        <v>0</v>
      </c>
      <c r="T49" s="143"/>
      <c r="U49" s="143">
        <f>Q49*R49*365/2000</f>
        <v>0</v>
      </c>
      <c r="V49" s="143">
        <f>R17*R49/2000</f>
        <v>0</v>
      </c>
    </row>
    <row r="50" spans="2:22" ht="14.25" customHeight="1" x14ac:dyDescent="0.2">
      <c r="B50" s="73"/>
      <c r="C50" s="163"/>
      <c r="D50" s="163"/>
      <c r="E50" s="163"/>
      <c r="F50" s="176"/>
      <c r="I50" s="63"/>
      <c r="J50" s="144"/>
      <c r="K50" s="144"/>
      <c r="L50" s="144"/>
      <c r="M50" s="146"/>
      <c r="N50" s="146"/>
    </row>
    <row r="51" spans="2:22" ht="14.25" customHeight="1" x14ac:dyDescent="0.2">
      <c r="B51" s="71"/>
      <c r="C51" s="146"/>
      <c r="D51" s="146"/>
      <c r="E51" s="146"/>
      <c r="F51" s="146"/>
      <c r="G51" s="45"/>
      <c r="H51" s="71"/>
      <c r="I51" s="71"/>
      <c r="J51" s="71"/>
      <c r="K51" s="71"/>
      <c r="Q51" s="68"/>
      <c r="R51" s="68"/>
      <c r="S51" s="68"/>
    </row>
    <row r="52" spans="2:22" ht="27.75" customHeight="1" x14ac:dyDescent="0.25">
      <c r="B52" s="78" t="str">
        <f>IF('Concrete Plant (CP-9)'!$D$4&gt;2,"Batch Plant","")</f>
        <v/>
      </c>
      <c r="C52" s="71" t="str">
        <f>IF('Concrete Plant (CP-9)'!$D$4&gt;2,"Site 3","")</f>
        <v/>
      </c>
      <c r="D52" s="71"/>
      <c r="E52" s="71"/>
      <c r="F52" s="71"/>
      <c r="G52" s="45"/>
      <c r="H52" s="310" t="str">
        <f>IF('Concrete Plant (CP-9)'!$D$4&gt;2,"Emission Point #","")</f>
        <v/>
      </c>
      <c r="I52" s="310" t="str">
        <f>IF('Concrete Plant (CP-9)'!$D$4&gt;2,"Emission     Unit #","")</f>
        <v/>
      </c>
      <c r="J52" s="310" t="str">
        <f>IF('Concrete Plant (CP-9)'!$D$4&gt;2,"Processes","")</f>
        <v/>
      </c>
      <c r="K52" s="311" t="str">
        <f>IF('Concrete Plant (CP-9)'!$D$4&gt;2,"Combined Maximum Hourly Design Rate for all Like Processes (cubic yard/hr)","")</f>
        <v/>
      </c>
      <c r="L52" s="310" t="str">
        <f>IF('Concrete Plant (CP-9)'!$D$4&gt;2,('Facility Information'!G5&amp;" Annual Throughput (cubic yards)"),"")</f>
        <v/>
      </c>
      <c r="M52" s="217"/>
      <c r="N52" s="217"/>
      <c r="Q52" s="68"/>
      <c r="R52" s="68"/>
      <c r="S52" s="68"/>
    </row>
    <row r="53" spans="2:22" ht="14.25" customHeight="1" x14ac:dyDescent="0.2">
      <c r="B53" s="79" t="str">
        <f>IF('Concrete Plant (CP-9)'!$D$4&gt;2,"Site Name:","")</f>
        <v/>
      </c>
      <c r="C53" s="349"/>
      <c r="D53" s="356"/>
      <c r="E53" s="357"/>
      <c r="F53" s="175"/>
      <c r="G53" s="45"/>
      <c r="H53" s="127" t="str">
        <f>IF(J53="cement delivery to silo","CP-1 EP-2",IF(J53="cement supplement delivery to silo","CP-1 EP-3",IF(J53="weigh hopper loading","CP-1 EP-4",IF(J53="truck mix loading","CP-1 EP-5",IF(J53="central mix loading","CP-1 EP-6",IF(J53="","","CP-1 EP-1"))))))</f>
        <v/>
      </c>
      <c r="I53" s="127" t="str">
        <f t="shared" ref="I53:I62" si="19">IF(J53="","",IF(J53="aggregate delivery to ground storage","CP-9 EU-1",IF(J53="sand delivery to ground storage","CP-9 EU-2",IF(J53="aggregate transfer to conveyor","CP-9 EU-3",IF(J53="sand transfer to conveyor","CP-9 EU-4",IF(J53="aggregate transfer to elevated storage","CP-9 EU-5",IF(J53="sand transfer to elevated storage","CP-9 EU-6",IF(J53="weigh hopper loading","CP-9 EU-7",IF(J53="central mix loading","CP-9 EU-8",IF(J53="truck mix loading","CP-9 EU-9",IF(J53="cement delivery to silo","CP-9 EU-10",IF(J53="cement supplement delivery to silo","CP-9 EU-11"))))))))))))</f>
        <v/>
      </c>
      <c r="J53" s="82"/>
      <c r="K53" s="61"/>
      <c r="L53" s="156"/>
      <c r="M53" s="219" t="str">
        <f>IF(J53="truck mix loading",IF($F$56="yes",L53*0.05/2000,L53/2000),"")</f>
        <v/>
      </c>
      <c r="N53" s="219" t="str">
        <f>IF(J53="central mix loading",IF($F$56="yes",L53*0.05/2000,L53/2000),"")</f>
        <v/>
      </c>
      <c r="Q53" s="68"/>
      <c r="R53" s="68"/>
      <c r="S53" s="68"/>
    </row>
    <row r="54" spans="2:22" ht="14.25" customHeight="1" x14ac:dyDescent="0.2">
      <c r="B54" s="79" t="str">
        <f>IF('Concrete Plant (CP-9)'!$D$4&gt;2,"County:","")</f>
        <v/>
      </c>
      <c r="C54" s="339"/>
      <c r="D54" s="342"/>
      <c r="E54" s="343"/>
      <c r="F54" s="175"/>
      <c r="G54" s="45"/>
      <c r="H54" s="127" t="str">
        <f t="shared" ref="H54:H62" si="20">IF(J54="cement delivery to silo","CP-1 EP-2",IF(J54="cement supplement delivery to silo","CP-1 EP-3",IF(J54="weigh hopper loading","CP-1 EP-4",IF(J54="truck mix loading","CP-1 EP-5",IF(J54="central mix loading","CP-1 EP-6",IF(J54="","","CP-1 EP-1"))))))</f>
        <v/>
      </c>
      <c r="I54" s="127" t="str">
        <f t="shared" si="19"/>
        <v/>
      </c>
      <c r="J54" s="82"/>
      <c r="K54" s="61"/>
      <c r="L54" s="156"/>
      <c r="M54" s="219" t="str">
        <f t="shared" ref="M54:M62" si="21">IF(J54="truck mix loading",IF($F$56="yes",L54*0.05/2000,L54/2000),"")</f>
        <v/>
      </c>
      <c r="N54" s="219" t="str">
        <f t="shared" ref="N54:N62" si="22">IF(J54="central mix loading",IF($F$56="yes",L54*0.05/2000,L54/2000),"")</f>
        <v/>
      </c>
      <c r="Q54" s="68"/>
      <c r="R54" s="68"/>
      <c r="S54" s="68"/>
    </row>
    <row r="55" spans="2:22" ht="14.25" customHeight="1" x14ac:dyDescent="0.2">
      <c r="B55" s="79" t="str">
        <f>IF('Concrete Plant (CP-9)'!$D$4&gt;2,"Batching Period (Dates):","")</f>
        <v/>
      </c>
      <c r="C55" s="352"/>
      <c r="D55" s="358"/>
      <c r="E55" s="359"/>
      <c r="F55" s="175"/>
      <c r="G55" s="45"/>
      <c r="H55" s="127" t="str">
        <f t="shared" si="20"/>
        <v/>
      </c>
      <c r="I55" s="127" t="str">
        <f t="shared" si="19"/>
        <v/>
      </c>
      <c r="J55" s="82"/>
      <c r="K55" s="61"/>
      <c r="L55" s="156"/>
      <c r="M55" s="219" t="str">
        <f t="shared" si="21"/>
        <v/>
      </c>
      <c r="N55" s="219" t="str">
        <f t="shared" si="22"/>
        <v/>
      </c>
      <c r="Q55" s="68"/>
      <c r="R55" s="68"/>
      <c r="S55" s="68"/>
    </row>
    <row r="56" spans="2:22" ht="14.25" customHeight="1" x14ac:dyDescent="0.2">
      <c r="B56" s="51" t="str">
        <f>IF(OR(COUNTIF(J53:J62,"Truck Mix Loading")&gt;0,(COUNTIF(J53:J62,"Central Mix Loading")&gt;0)),"Is the Central/Truck Mix Loading process controlled by a baghouse?","")</f>
        <v/>
      </c>
      <c r="C56" s="51"/>
      <c r="D56" s="51"/>
      <c r="E56" s="51"/>
      <c r="F56" s="221"/>
      <c r="G56" s="45"/>
      <c r="H56" s="127" t="str">
        <f t="shared" si="20"/>
        <v/>
      </c>
      <c r="I56" s="127" t="str">
        <f t="shared" si="19"/>
        <v/>
      </c>
      <c r="J56" s="82"/>
      <c r="K56" s="61"/>
      <c r="L56" s="156"/>
      <c r="M56" s="219" t="str">
        <f t="shared" si="21"/>
        <v/>
      </c>
      <c r="N56" s="219" t="str">
        <f t="shared" si="22"/>
        <v/>
      </c>
      <c r="Q56" s="68"/>
      <c r="R56" s="68"/>
      <c r="S56" s="68"/>
    </row>
    <row r="57" spans="2:22" ht="14.25" customHeight="1" x14ac:dyDescent="0.2">
      <c r="F57" s="177"/>
      <c r="G57" s="45"/>
      <c r="H57" s="127" t="str">
        <f t="shared" si="20"/>
        <v/>
      </c>
      <c r="I57" s="127" t="str">
        <f t="shared" si="19"/>
        <v/>
      </c>
      <c r="J57" s="82"/>
      <c r="K57" s="61"/>
      <c r="L57" s="156"/>
      <c r="M57" s="219" t="str">
        <f t="shared" si="21"/>
        <v/>
      </c>
      <c r="N57" s="219" t="str">
        <f t="shared" si="22"/>
        <v/>
      </c>
      <c r="Q57" s="68"/>
      <c r="R57" s="68"/>
      <c r="S57" s="68"/>
    </row>
    <row r="58" spans="2:22" ht="27.75" customHeight="1" x14ac:dyDescent="0.2">
      <c r="B58" s="312" t="str">
        <f>IF(AND(B60="",B61="",B62="",B63="",B64=""),"","Process (complete stack information if applicable):")</f>
        <v/>
      </c>
      <c r="C58" s="312" t="str">
        <f>IF(AND(B60="",B61="",B62="",B63="",B64=""),"","Stack Height (ft):")</f>
        <v/>
      </c>
      <c r="D58" s="312" t="str">
        <f>IF(AND(B60="",B61="",B62="",B63="",B64=""),"","Stack Diameter (inches):")</f>
        <v/>
      </c>
      <c r="E58" s="312" t="str">
        <f>IF(AND(B60="",B61="",B62="",B63="",B64=""),"","Flow Rate (acfm):")</f>
        <v/>
      </c>
      <c r="F58" s="312" t="str">
        <f>IF(AND(B60="",B61="",B62="",B63="",B64=""),"","Temp (Deg F):")</f>
        <v/>
      </c>
      <c r="H58" s="127" t="str">
        <f t="shared" si="20"/>
        <v/>
      </c>
      <c r="I58" s="127" t="str">
        <f t="shared" si="19"/>
        <v/>
      </c>
      <c r="J58" s="82"/>
      <c r="K58" s="61"/>
      <c r="L58" s="156"/>
      <c r="M58" s="219" t="str">
        <f t="shared" si="21"/>
        <v/>
      </c>
      <c r="N58" s="219" t="str">
        <f t="shared" si="22"/>
        <v/>
      </c>
    </row>
    <row r="59" spans="2:22" ht="14.25" customHeight="1" x14ac:dyDescent="0.2">
      <c r="B59" s="312"/>
      <c r="C59" s="312"/>
      <c r="D59" s="312"/>
      <c r="E59" s="312"/>
      <c r="F59" s="312"/>
      <c r="G59" s="76"/>
      <c r="H59" s="127" t="str">
        <f t="shared" si="20"/>
        <v/>
      </c>
      <c r="I59" s="127" t="str">
        <f t="shared" si="19"/>
        <v/>
      </c>
      <c r="J59" s="82"/>
      <c r="K59" s="61"/>
      <c r="L59" s="156"/>
      <c r="M59" s="219" t="str">
        <f t="shared" si="21"/>
        <v/>
      </c>
      <c r="N59" s="219" t="str">
        <f t="shared" si="22"/>
        <v/>
      </c>
    </row>
    <row r="60" spans="2:22" ht="14.25" customHeight="1" x14ac:dyDescent="0.2">
      <c r="B60" s="45" t="str">
        <f>IF(COUNTIF(J53:J62,"Cement Delivery to Silo")&gt;0,"EP-2 Cement Silo Stack:","")</f>
        <v/>
      </c>
      <c r="C60" s="221"/>
      <c r="D60" s="221"/>
      <c r="E60" s="221"/>
      <c r="F60" s="221"/>
      <c r="H60" s="127" t="str">
        <f t="shared" si="20"/>
        <v/>
      </c>
      <c r="I60" s="127" t="str">
        <f t="shared" si="19"/>
        <v/>
      </c>
      <c r="J60" s="82"/>
      <c r="K60" s="61"/>
      <c r="L60" s="156"/>
      <c r="M60" s="219" t="str">
        <f t="shared" si="21"/>
        <v/>
      </c>
      <c r="N60" s="219" t="str">
        <f t="shared" si="22"/>
        <v/>
      </c>
    </row>
    <row r="61" spans="2:22" ht="14.25" customHeight="1" x14ac:dyDescent="0.2">
      <c r="B61" s="45" t="str">
        <f>IF(COUNTIF(J53:J62,"Cement Supplement Delivery to Silo")&gt;0,"EP-3 Cement Supplement Silo Stack:","")</f>
        <v/>
      </c>
      <c r="C61" s="221"/>
      <c r="D61" s="221"/>
      <c r="E61" s="221"/>
      <c r="F61" s="221"/>
      <c r="H61" s="127" t="str">
        <f t="shared" si="20"/>
        <v/>
      </c>
      <c r="I61" s="127" t="str">
        <f t="shared" si="19"/>
        <v/>
      </c>
      <c r="J61" s="82"/>
      <c r="K61" s="61"/>
      <c r="L61" s="156"/>
      <c r="M61" s="219" t="str">
        <f t="shared" si="21"/>
        <v/>
      </c>
      <c r="N61" s="219" t="str">
        <f t="shared" si="22"/>
        <v/>
      </c>
    </row>
    <row r="62" spans="2:22" ht="14.25" customHeight="1" x14ac:dyDescent="0.2">
      <c r="B62" s="45" t="str">
        <f>IF(COUNTIF(J53:J62,"Weigh Hopper Loading")&gt;0,"EP-4 Weigh Hopper Loading Stack:","")</f>
        <v/>
      </c>
      <c r="C62" s="221"/>
      <c r="D62" s="221"/>
      <c r="E62" s="221"/>
      <c r="F62" s="221"/>
      <c r="H62" s="127" t="str">
        <f t="shared" si="20"/>
        <v/>
      </c>
      <c r="I62" s="127" t="str">
        <f t="shared" si="19"/>
        <v/>
      </c>
      <c r="J62" s="82"/>
      <c r="K62" s="61"/>
      <c r="L62" s="156"/>
      <c r="M62" s="219" t="str">
        <f t="shared" si="21"/>
        <v/>
      </c>
      <c r="N62" s="219" t="str">
        <f t="shared" si="22"/>
        <v/>
      </c>
    </row>
    <row r="63" spans="2:22" ht="14.25" customHeight="1" x14ac:dyDescent="0.2">
      <c r="B63" s="45" t="str">
        <f>IF(COUNTIF(J53:J62,"Truck Mix Loading")&gt;0,"EP-5 Truck Mix Loading Stack:","")</f>
        <v/>
      </c>
      <c r="C63" s="221"/>
      <c r="D63" s="221"/>
      <c r="E63" s="221"/>
      <c r="F63" s="221"/>
      <c r="H63" s="45"/>
      <c r="I63" s="45"/>
    </row>
    <row r="64" spans="2:22" ht="14.25" customHeight="1" x14ac:dyDescent="0.2">
      <c r="B64" s="45" t="str">
        <f>IF(COUNTIF(J53:J62,"Central Mix Loading")&gt;0,"EP-6 Central Mix Loading Stack:","")</f>
        <v/>
      </c>
      <c r="C64" s="221"/>
      <c r="D64" s="221"/>
      <c r="E64" s="221"/>
      <c r="F64" s="221"/>
      <c r="G64" s="45"/>
      <c r="H64" s="74" t="str">
        <f>IF('Concrete Plant (CP-9)'!$D$4&gt;2,"Stock Pile Area","")</f>
        <v/>
      </c>
      <c r="I64" s="74"/>
      <c r="J64" s="75"/>
    </row>
    <row r="65" spans="2:14" ht="14.25" customHeight="1" x14ac:dyDescent="0.2">
      <c r="B65" s="73"/>
      <c r="C65" s="163"/>
      <c r="D65" s="163"/>
      <c r="E65" s="163"/>
      <c r="F65" s="176"/>
      <c r="G65" s="45"/>
      <c r="I65" s="51" t="str">
        <f>IF('Concrete Plant (CP-9)'!$D$4&gt;2,"Emission Unit #","")</f>
        <v/>
      </c>
      <c r="J65" s="80" t="str">
        <f>IF('Concrete Plant (CP-9)'!$D$4&gt;2,"Maximum Storage Area (acres)","")</f>
        <v/>
      </c>
      <c r="K65" s="81" t="str">
        <f>IF('Concrete Plant (CP-9)'!$D$4&gt;2,"Actual Storage Area (acres)","")</f>
        <v/>
      </c>
      <c r="L65" s="80" t="str">
        <f>IF('Concrete Plant (CP-9)'!$D$4&gt;2,"Actual Days in Existence (days)","")</f>
        <v/>
      </c>
      <c r="M65" s="146"/>
      <c r="N65" s="146"/>
    </row>
    <row r="66" spans="2:14" ht="14.25" customHeight="1" x14ac:dyDescent="0.2">
      <c r="B66" s="73"/>
      <c r="C66" s="163"/>
      <c r="D66" s="163"/>
      <c r="E66" s="163"/>
      <c r="F66" s="176"/>
      <c r="G66" s="45"/>
      <c r="I66" s="65"/>
      <c r="J66" s="144"/>
      <c r="K66" s="66"/>
      <c r="L66" s="144"/>
      <c r="M66" s="146"/>
      <c r="N66" s="146"/>
    </row>
    <row r="67" spans="2:14" ht="14.25" customHeight="1" x14ac:dyDescent="0.2">
      <c r="B67" s="73"/>
      <c r="C67" s="163"/>
      <c r="D67" s="163"/>
      <c r="E67" s="163"/>
      <c r="F67" s="176"/>
      <c r="G67" s="45"/>
    </row>
    <row r="68" spans="2:14" ht="28.5" customHeight="1" x14ac:dyDescent="0.25">
      <c r="B68" s="78" t="str">
        <f>IF('Concrete Plant (CP-9)'!$D$4&gt;3,"Batch Plant","")</f>
        <v/>
      </c>
      <c r="C68" s="71" t="str">
        <f>IF('Concrete Plant (CP-9)'!$D$4&gt;3,"Site 4","")</f>
        <v/>
      </c>
      <c r="D68" s="71"/>
      <c r="E68" s="71"/>
      <c r="F68" s="71"/>
      <c r="G68" s="45"/>
      <c r="H68" s="310" t="str">
        <f>IF('Concrete Plant (CP-9)'!$D$4&gt;3,"Emission Point #","")</f>
        <v/>
      </c>
      <c r="I68" s="310" t="str">
        <f>IF('Concrete Plant (CP-9)'!$D$4&gt;3,"Emission     Unit #","")</f>
        <v/>
      </c>
      <c r="J68" s="310" t="str">
        <f>IF('Concrete Plant (CP-9)'!$D$4&gt;3,"Processes","")</f>
        <v/>
      </c>
      <c r="K68" s="311" t="str">
        <f>IF('Concrete Plant (CP-9)'!$D$4&gt;3,"Combined Maximum Hourly Design Rate for all Like Processes (cubic yard/hr)","")</f>
        <v/>
      </c>
      <c r="L68" s="310" t="str">
        <f>IF('Concrete Plant (CP-9)'!$D$4&gt;3,('Facility Information'!G5&amp;" Annual Throughput (cubic yards)"),"")</f>
        <v/>
      </c>
      <c r="M68" s="217"/>
      <c r="N68" s="217"/>
    </row>
    <row r="69" spans="2:14" ht="14.25" customHeight="1" x14ac:dyDescent="0.2">
      <c r="B69" s="79" t="str">
        <f>IF('Concrete Plant (CP-9)'!$D$4&gt;3,"Site Name:","")</f>
        <v/>
      </c>
      <c r="C69" s="349"/>
      <c r="D69" s="356"/>
      <c r="E69" s="357"/>
      <c r="F69" s="175"/>
      <c r="G69" s="45"/>
      <c r="H69" s="127" t="str">
        <f>IF(J69="cement delivery to silo","CP-1 EP-2",IF(J69="cement supplement delivery to silo","CP-1 EP-3",IF(J69="weigh hopper loading","CP-1 EP-4",IF(J69="truck mix loading","CP-1 EP-5",IF(J69="central mix loading","CP-1 EP-6",IF(J69="","","CP-1 EP-1"))))))</f>
        <v/>
      </c>
      <c r="I69" s="127" t="str">
        <f t="shared" ref="I69:I78" si="23">IF(J69="","",IF(J69="aggregate delivery to ground storage","CP-9 EU-1",IF(J69="sand delivery to ground storage","CP-9 EU-2",IF(J69="aggregate transfer to conveyor","CP-9 EU-3",IF(J69="sand transfer to conveyor","CP-9 EU-4",IF(J69="aggregate transfer to elevated storage","CP-9 EU-5",IF(J69="sand transfer to elevated storage","CP-9 EU-6",IF(J69="weigh hopper loading","CP-9 EU-7",IF(J69="central mix loading","CP-9 EU-8",IF(J69="truck mix loading","CP-9 EU-9",IF(J69="cement delivery to silo","CP-9 EU-10",IF(J69="cement supplement delivery to silo","CP-9 EU-11"))))))))))))</f>
        <v/>
      </c>
      <c r="J69" s="82"/>
      <c r="K69" s="61"/>
      <c r="L69" s="156"/>
      <c r="M69" s="219" t="str">
        <f>IF(J69="truck mix loading",IF($F$72="yes",L69*0.05/2000,L69/2000),"")</f>
        <v/>
      </c>
      <c r="N69" s="219" t="str">
        <f>IF(J69="central mix loading",IF($F$72="yes",L69*0.05/2000,L69/2000),"")</f>
        <v/>
      </c>
    </row>
    <row r="70" spans="2:14" ht="14.25" customHeight="1" x14ac:dyDescent="0.2">
      <c r="B70" s="79" t="str">
        <f>IF('Concrete Plant (CP-9)'!$D$4&gt;3,"County:","")</f>
        <v/>
      </c>
      <c r="C70" s="339"/>
      <c r="D70" s="342"/>
      <c r="E70" s="343"/>
      <c r="F70" s="175"/>
      <c r="G70" s="45"/>
      <c r="H70" s="127" t="str">
        <f t="shared" ref="H70:H78" si="24">IF(J70="cement delivery to silo","CP-1 EP-2",IF(J70="cement supplement delivery to silo","CP-1 EP-3",IF(J70="weigh hopper loading","CP-1 EP-4",IF(J70="truck mix loading","CP-1 EP-5",IF(J70="central mix loading","CP-1 EP-6",IF(J70="","","CP-1 EP-1"))))))</f>
        <v/>
      </c>
      <c r="I70" s="127" t="str">
        <f t="shared" si="23"/>
        <v/>
      </c>
      <c r="J70" s="82"/>
      <c r="K70" s="61"/>
      <c r="L70" s="156"/>
      <c r="M70" s="219" t="str">
        <f t="shared" ref="M70:M78" si="25">IF(J70="truck mix loading",IF($F$72="yes",L70*0.05/2000,L70/2000),"")</f>
        <v/>
      </c>
      <c r="N70" s="219" t="str">
        <f t="shared" ref="N70:N78" si="26">IF(J70="central mix loading",IF($F$72="yes",L70*0.05/2000,L70/2000),"")</f>
        <v/>
      </c>
    </row>
    <row r="71" spans="2:14" ht="14.25" customHeight="1" x14ac:dyDescent="0.2">
      <c r="B71" s="79" t="str">
        <f>IF('Concrete Plant (CP-9)'!$D$4&gt;3,"Batching Period (Dates):","")</f>
        <v/>
      </c>
      <c r="C71" s="352"/>
      <c r="D71" s="358"/>
      <c r="E71" s="359"/>
      <c r="F71" s="175"/>
      <c r="G71" s="45"/>
      <c r="H71" s="127" t="str">
        <f t="shared" si="24"/>
        <v/>
      </c>
      <c r="I71" s="127" t="str">
        <f t="shared" si="23"/>
        <v/>
      </c>
      <c r="J71" s="82"/>
      <c r="K71" s="61"/>
      <c r="L71" s="156"/>
      <c r="M71" s="219" t="str">
        <f t="shared" si="25"/>
        <v/>
      </c>
      <c r="N71" s="219" t="str">
        <f t="shared" si="26"/>
        <v/>
      </c>
    </row>
    <row r="72" spans="2:14" ht="14.25" customHeight="1" x14ac:dyDescent="0.2">
      <c r="B72" s="51" t="str">
        <f>IF(OR(COUNTIF(J69:J78,"Truck Mix Loading")&gt;0,(COUNTIF(J69:J78,"Central Mix Loading")&gt;0)),"Is the Central/Truck Mix Loading process controlled by a baghouse?","")</f>
        <v/>
      </c>
      <c r="C72" s="51"/>
      <c r="D72" s="51"/>
      <c r="E72" s="51"/>
      <c r="F72" s="221"/>
      <c r="H72" s="127" t="str">
        <f t="shared" si="24"/>
        <v/>
      </c>
      <c r="I72" s="127" t="str">
        <f t="shared" si="23"/>
        <v/>
      </c>
      <c r="J72" s="82"/>
      <c r="K72" s="61"/>
      <c r="L72" s="156"/>
      <c r="M72" s="219" t="str">
        <f t="shared" si="25"/>
        <v/>
      </c>
      <c r="N72" s="219" t="str">
        <f t="shared" si="26"/>
        <v/>
      </c>
    </row>
    <row r="73" spans="2:14" ht="14.25" customHeight="1" x14ac:dyDescent="0.2">
      <c r="F73" s="177"/>
      <c r="G73" s="76"/>
      <c r="H73" s="127" t="str">
        <f t="shared" si="24"/>
        <v/>
      </c>
      <c r="I73" s="127" t="str">
        <f t="shared" si="23"/>
        <v/>
      </c>
      <c r="J73" s="82"/>
      <c r="K73" s="61"/>
      <c r="L73" s="156"/>
      <c r="M73" s="219" t="str">
        <f t="shared" si="25"/>
        <v/>
      </c>
      <c r="N73" s="219" t="str">
        <f t="shared" si="26"/>
        <v/>
      </c>
    </row>
    <row r="74" spans="2:14" ht="27.75" customHeight="1" x14ac:dyDescent="0.2">
      <c r="B74" s="312" t="str">
        <f>IF(AND(B76="",B77="",B78="",B79="",B80=""),"","Process (complete stack information if applicable):")</f>
        <v/>
      </c>
      <c r="C74" s="312" t="str">
        <f>IF(AND(B76="",B77="",B78="",B79="",B80=""),"","Stack Height (ft):")</f>
        <v/>
      </c>
      <c r="D74" s="312" t="str">
        <f>IF(AND(B76="",B77="",B78="",B79="",B80=""),"","Stack Diameter (inches):")</f>
        <v/>
      </c>
      <c r="E74" s="312" t="str">
        <f>IF(AND(B76="",B77="",B78="",B79="",B80=""),"","Flow Rate (acfm):")</f>
        <v/>
      </c>
      <c r="F74" s="312" t="str">
        <f>IF(AND(B76="",B77="",B78="",B79="",B80=""),"","Temp (Deg F):")</f>
        <v/>
      </c>
      <c r="H74" s="127" t="str">
        <f t="shared" si="24"/>
        <v/>
      </c>
      <c r="I74" s="127" t="str">
        <f t="shared" si="23"/>
        <v/>
      </c>
      <c r="J74" s="82"/>
      <c r="K74" s="61"/>
      <c r="L74" s="156"/>
      <c r="M74" s="219" t="str">
        <f t="shared" si="25"/>
        <v/>
      </c>
      <c r="N74" s="219" t="str">
        <f t="shared" si="26"/>
        <v/>
      </c>
    </row>
    <row r="75" spans="2:14" ht="14.25" customHeight="1" x14ac:dyDescent="0.2">
      <c r="B75" s="312"/>
      <c r="C75" s="312"/>
      <c r="D75" s="312"/>
      <c r="E75" s="312"/>
      <c r="F75" s="312"/>
      <c r="H75" s="127" t="str">
        <f t="shared" si="24"/>
        <v/>
      </c>
      <c r="I75" s="127" t="str">
        <f t="shared" si="23"/>
        <v/>
      </c>
      <c r="J75" s="82"/>
      <c r="K75" s="61"/>
      <c r="L75" s="156"/>
      <c r="M75" s="219" t="str">
        <f t="shared" si="25"/>
        <v/>
      </c>
      <c r="N75" s="219" t="str">
        <f t="shared" si="26"/>
        <v/>
      </c>
    </row>
    <row r="76" spans="2:14" ht="14.25" customHeight="1" x14ac:dyDescent="0.2">
      <c r="B76" s="45" t="str">
        <f>IF(COUNTIF(J69:J78,"Cement Delivery to Silo")&gt;0,"EP-2 Cement Silo Stack:","")</f>
        <v/>
      </c>
      <c r="C76" s="221"/>
      <c r="D76" s="221"/>
      <c r="E76" s="221"/>
      <c r="F76" s="221"/>
      <c r="H76" s="127" t="str">
        <f t="shared" si="24"/>
        <v/>
      </c>
      <c r="I76" s="127" t="str">
        <f t="shared" si="23"/>
        <v/>
      </c>
      <c r="J76" s="82"/>
      <c r="K76" s="61"/>
      <c r="L76" s="156"/>
      <c r="M76" s="219" t="str">
        <f t="shared" si="25"/>
        <v/>
      </c>
      <c r="N76" s="219" t="str">
        <f t="shared" si="26"/>
        <v/>
      </c>
    </row>
    <row r="77" spans="2:14" ht="14.25" customHeight="1" x14ac:dyDescent="0.2">
      <c r="B77" s="45" t="str">
        <f>IF(COUNTIF(J69:J78,"Cement Supplement Delivery to Silo")&gt;0,"EP-3 Cement Supplement Silo Stack:","")</f>
        <v/>
      </c>
      <c r="C77" s="221"/>
      <c r="D77" s="221"/>
      <c r="E77" s="221"/>
      <c r="F77" s="221"/>
      <c r="H77" s="127" t="str">
        <f t="shared" si="24"/>
        <v/>
      </c>
      <c r="I77" s="127" t="str">
        <f t="shared" si="23"/>
        <v/>
      </c>
      <c r="J77" s="82"/>
      <c r="K77" s="61"/>
      <c r="L77" s="156"/>
      <c r="M77" s="219" t="str">
        <f t="shared" si="25"/>
        <v/>
      </c>
      <c r="N77" s="219" t="str">
        <f t="shared" si="26"/>
        <v/>
      </c>
    </row>
    <row r="78" spans="2:14" ht="14.25" customHeight="1" x14ac:dyDescent="0.2">
      <c r="B78" s="45" t="str">
        <f>IF(COUNTIF(J69:J78,"Weigh Hopper Loading")&gt;0,"EP-4 Weigh Hopper Loading Stack:","")</f>
        <v/>
      </c>
      <c r="C78" s="221"/>
      <c r="D78" s="221"/>
      <c r="E78" s="221"/>
      <c r="F78" s="221"/>
      <c r="G78" s="45"/>
      <c r="H78" s="127" t="str">
        <f t="shared" si="24"/>
        <v/>
      </c>
      <c r="I78" s="127" t="str">
        <f t="shared" si="23"/>
        <v/>
      </c>
      <c r="J78" s="82"/>
      <c r="K78" s="61"/>
      <c r="L78" s="156"/>
      <c r="M78" s="219" t="str">
        <f t="shared" si="25"/>
        <v/>
      </c>
      <c r="N78" s="219" t="str">
        <f t="shared" si="26"/>
        <v/>
      </c>
    </row>
    <row r="79" spans="2:14" ht="14.25" customHeight="1" x14ac:dyDescent="0.2">
      <c r="B79" s="45" t="str">
        <f>IF(COUNTIF(J69:J78,"Truck Mix Loading")&gt;0,"EP-5 Truck Mix Loading Stack:","")</f>
        <v/>
      </c>
      <c r="C79" s="221"/>
      <c r="D79" s="221"/>
      <c r="E79" s="221"/>
      <c r="F79" s="221"/>
      <c r="G79" s="45"/>
      <c r="H79" s="45"/>
      <c r="I79" s="45"/>
    </row>
    <row r="80" spans="2:14" ht="14.25" customHeight="1" x14ac:dyDescent="0.2">
      <c r="B80" s="45" t="str">
        <f>IF(COUNTIF(J69:J78,"Central Mix Loading")&gt;0,"EP-6 Central Mix Loading Stack:","")</f>
        <v/>
      </c>
      <c r="C80" s="221"/>
      <c r="D80" s="221"/>
      <c r="E80" s="221"/>
      <c r="F80" s="221"/>
      <c r="G80" s="45"/>
      <c r="H80" s="74" t="str">
        <f>IF('Concrete Plant (CP-9)'!$D$4&gt;3,"Stock Pile Area","")</f>
        <v/>
      </c>
      <c r="I80" s="74"/>
      <c r="J80" s="75"/>
    </row>
    <row r="81" spans="2:14" ht="14.25" customHeight="1" x14ac:dyDescent="0.2">
      <c r="B81" s="73"/>
      <c r="C81" s="163"/>
      <c r="D81" s="163"/>
      <c r="E81" s="163"/>
      <c r="F81" s="176"/>
      <c r="G81" s="45"/>
      <c r="I81" s="51" t="str">
        <f>IF('Concrete Plant (CP-9)'!$D$4&gt;3,"Emission Unit #","")</f>
        <v/>
      </c>
      <c r="J81" s="80" t="str">
        <f>IF('Concrete Plant (CP-9)'!$D$4&gt;3,"Maximum Storage Area (acres)","")</f>
        <v/>
      </c>
      <c r="K81" s="81" t="str">
        <f>IF('Concrete Plant (CP-9)'!$D$4&gt;3,"Actual Storage Area (acres)","")</f>
        <v/>
      </c>
      <c r="L81" s="80" t="str">
        <f>IF('Concrete Plant (CP-9)'!$D$4&gt;3,"Actual Days in Existence (days)","")</f>
        <v/>
      </c>
      <c r="M81" s="146"/>
      <c r="N81" s="146"/>
    </row>
    <row r="82" spans="2:14" ht="14.25" customHeight="1" x14ac:dyDescent="0.2">
      <c r="B82" s="73"/>
      <c r="C82" s="163"/>
      <c r="D82" s="163"/>
      <c r="E82" s="163"/>
      <c r="F82" s="176"/>
      <c r="G82" s="45"/>
      <c r="I82" s="65"/>
      <c r="J82" s="144"/>
      <c r="K82" s="66"/>
      <c r="L82" s="144"/>
      <c r="M82" s="146"/>
      <c r="N82" s="146"/>
    </row>
    <row r="83" spans="2:14" ht="14.25" customHeight="1" x14ac:dyDescent="0.2">
      <c r="B83" s="73"/>
      <c r="C83" s="163"/>
      <c r="D83" s="163"/>
      <c r="E83" s="163"/>
      <c r="F83" s="176"/>
      <c r="G83" s="45"/>
    </row>
    <row r="84" spans="2:14" ht="28.5" customHeight="1" x14ac:dyDescent="0.25">
      <c r="B84" s="78" t="str">
        <f>IF('Concrete Plant (CP-9)'!$D$4&gt;4,"Batch Plant","")</f>
        <v/>
      </c>
      <c r="C84" s="71" t="str">
        <f>IF('Concrete Plant (CP-9)'!$D$4&gt;4,"Site 5","")</f>
        <v/>
      </c>
      <c r="D84" s="71"/>
      <c r="E84" s="71"/>
      <c r="F84" s="71"/>
      <c r="G84" s="45"/>
      <c r="H84" s="310" t="str">
        <f>IF('Concrete Plant (CP-9)'!$D$4&gt;4,"Emission Point #","")</f>
        <v/>
      </c>
      <c r="I84" s="310" t="str">
        <f>IF('Concrete Plant (CP-9)'!$D$4&gt;4,"Emission     Unit #","")</f>
        <v/>
      </c>
      <c r="J84" s="310" t="str">
        <f>IF('Concrete Plant (CP-9)'!$D$4&gt;4,"Processes","")</f>
        <v/>
      </c>
      <c r="K84" s="311" t="str">
        <f>IF('Concrete Plant (CP-9)'!$D$4&gt;4,"Combined Maximum Hourly Design Rate for all Like Processes (cubic yard/hr)","")</f>
        <v/>
      </c>
      <c r="L84" s="310" t="str">
        <f>IF('Concrete Plant (CP-9)'!$D$4&gt;4,('Facility Information'!G5&amp;" Annual Throughput (cubic yards)"),"")</f>
        <v/>
      </c>
      <c r="M84" s="217"/>
      <c r="N84" s="217"/>
    </row>
    <row r="85" spans="2:14" ht="14.25" customHeight="1" x14ac:dyDescent="0.2">
      <c r="B85" s="79" t="str">
        <f>IF('Concrete Plant (CP-9)'!$D$4&gt;4,"Site Name:","")</f>
        <v/>
      </c>
      <c r="C85" s="349"/>
      <c r="D85" s="356"/>
      <c r="E85" s="357"/>
      <c r="F85" s="175"/>
      <c r="G85" s="45"/>
      <c r="H85" s="127" t="str">
        <f>IF(J85="cement delivery to silo","CP-1 EP-2",IF(J85="cement supplement delivery to silo","CP-1 EP-3",IF(J85="weigh hopper loading","CP-1 EP-4",IF(J85="truck mix loading","CP-1 EP-5",IF(J85="central mix loading","CP-1 EP-6",IF(J85="","","CP-1 EP-1"))))))</f>
        <v/>
      </c>
      <c r="I85" s="127" t="str">
        <f t="shared" ref="I85:I94" si="27">IF(J85="","",IF(J85="aggregate delivery to ground storage","CP-9 EU-1",IF(J85="sand delivery to ground storage","CP-9 EU-2",IF(J85="aggregate transfer to conveyor","CP-9 EU-3",IF(J85="sand transfer to conveyor","CP-9 EU-4",IF(J85="aggregate transfer to elevated storage","CP-9 EU-5",IF(J85="sand transfer to elevated storage","CP-9 EU-6",IF(J85="weigh hopper loading","CP-9 EU-7",IF(J85="central mix loading","CP-9 EU-8",IF(J85="truck mix loading","CP-9 EU-9",IF(J85="cement delivery to silo","CP-9 EU-10",IF(J85="cement supplement delivery to silo","CP-9 EU-11"))))))))))))</f>
        <v/>
      </c>
      <c r="J85" s="82"/>
      <c r="K85" s="61"/>
      <c r="L85" s="156"/>
      <c r="M85" s="219" t="str">
        <f>IF(J85="truck mix loading",IF($F$88="yes",L85*0.05/2000,L85/2000),"")</f>
        <v/>
      </c>
      <c r="N85" s="219" t="str">
        <f>IF(J85="central mix loading",IF($F$88="yes",L85*0.05/2000,L85/2000),"")</f>
        <v/>
      </c>
    </row>
    <row r="86" spans="2:14" ht="14.25" customHeight="1" x14ac:dyDescent="0.2">
      <c r="B86" s="79" t="str">
        <f>IF('Concrete Plant (CP-9)'!$D$4&gt;4,"County:","")</f>
        <v/>
      </c>
      <c r="C86" s="339"/>
      <c r="D86" s="342"/>
      <c r="E86" s="343"/>
      <c r="F86" s="175"/>
      <c r="H86" s="127" t="str">
        <f t="shared" ref="H86:H94" si="28">IF(J86="cement delivery to silo","CP-1 EP-2",IF(J86="cement supplement delivery to silo","CP-1 EP-3",IF(J86="weigh hopper loading","CP-1 EP-4",IF(J86="truck mix loading","CP-1 EP-5",IF(J86="central mix loading","CP-1 EP-6",IF(J86="","","CP-1 EP-1"))))))</f>
        <v/>
      </c>
      <c r="I86" s="127" t="str">
        <f t="shared" si="27"/>
        <v/>
      </c>
      <c r="J86" s="82"/>
      <c r="K86" s="61"/>
      <c r="L86" s="156"/>
      <c r="M86" s="219" t="str">
        <f t="shared" ref="M86:M94" si="29">IF(J86="truck mix loading",IF($F$88="yes",L86*0.05/2000,L86/2000),"")</f>
        <v/>
      </c>
      <c r="N86" s="219" t="str">
        <f t="shared" ref="N86:N94" si="30">IF(J86="central mix loading",IF($F$88="yes",L86*0.05/2000,L86/2000),"")</f>
        <v/>
      </c>
    </row>
    <row r="87" spans="2:14" ht="14.25" customHeight="1" x14ac:dyDescent="0.2">
      <c r="B87" s="79" t="str">
        <f>IF('Concrete Plant (CP-9)'!$D$4&gt;4,"Batching Period (Dates):","")</f>
        <v/>
      </c>
      <c r="C87" s="352"/>
      <c r="D87" s="358"/>
      <c r="E87" s="359"/>
      <c r="F87" s="175"/>
      <c r="G87" s="76"/>
      <c r="H87" s="127" t="str">
        <f t="shared" si="28"/>
        <v/>
      </c>
      <c r="I87" s="127" t="str">
        <f t="shared" si="27"/>
        <v/>
      </c>
      <c r="J87" s="82"/>
      <c r="K87" s="61"/>
      <c r="L87" s="156"/>
      <c r="M87" s="219" t="str">
        <f t="shared" si="29"/>
        <v/>
      </c>
      <c r="N87" s="219" t="str">
        <f t="shared" si="30"/>
        <v/>
      </c>
    </row>
    <row r="88" spans="2:14" ht="14.25" customHeight="1" x14ac:dyDescent="0.2">
      <c r="B88" s="51" t="str">
        <f>IF(OR(COUNTIF(J85:J94,"Truck Mix Loading")&gt;0,(COUNTIF(J85:J94,"Central Mix Loading")&gt;0)),"Is the Central/Truck Mix Loading process controlled by a baghouse?","")</f>
        <v/>
      </c>
      <c r="C88" s="51"/>
      <c r="D88" s="51"/>
      <c r="E88" s="51"/>
      <c r="F88" s="221"/>
      <c r="H88" s="127" t="str">
        <f t="shared" si="28"/>
        <v/>
      </c>
      <c r="I88" s="127" t="str">
        <f t="shared" si="27"/>
        <v/>
      </c>
      <c r="J88" s="82"/>
      <c r="K88" s="61"/>
      <c r="L88" s="156"/>
      <c r="M88" s="219" t="str">
        <f t="shared" si="29"/>
        <v/>
      </c>
      <c r="N88" s="219" t="str">
        <f t="shared" si="30"/>
        <v/>
      </c>
    </row>
    <row r="89" spans="2:14" ht="14.25" customHeight="1" x14ac:dyDescent="0.2">
      <c r="F89" s="177"/>
      <c r="H89" s="127" t="str">
        <f t="shared" si="28"/>
        <v/>
      </c>
      <c r="I89" s="127" t="str">
        <f t="shared" si="27"/>
        <v/>
      </c>
      <c r="J89" s="82"/>
      <c r="K89" s="61"/>
      <c r="L89" s="156"/>
      <c r="M89" s="219" t="str">
        <f t="shared" si="29"/>
        <v/>
      </c>
      <c r="N89" s="219" t="str">
        <f t="shared" si="30"/>
        <v/>
      </c>
    </row>
    <row r="90" spans="2:14" ht="26.25" customHeight="1" x14ac:dyDescent="0.2">
      <c r="B90" s="312" t="str">
        <f>IF(AND(B92="",B93="",B94="",B95="",B96=""),"","Process (complete stack information if applicable):")</f>
        <v/>
      </c>
      <c r="C90" s="312" t="str">
        <f>IF(AND(B92="",B93="",B94="",B95="",B96=""),"","Stack Height (ft):")</f>
        <v/>
      </c>
      <c r="D90" s="312" t="str">
        <f>IF(AND(B92="",B93="",B94="",B95="",B96=""),"","Stack Diameter (inches):")</f>
        <v/>
      </c>
      <c r="E90" s="312" t="str">
        <f>IF(AND(B92="",B93="",B94="",B95="",B96=""),"","Flow Rate (acfm):")</f>
        <v/>
      </c>
      <c r="F90" s="312" t="str">
        <f>IF(AND(B92="",B93="",B94="",B95="",B96=""),"","Temp (Deg F):")</f>
        <v/>
      </c>
      <c r="H90" s="127" t="str">
        <f t="shared" si="28"/>
        <v/>
      </c>
      <c r="I90" s="127" t="str">
        <f t="shared" si="27"/>
        <v/>
      </c>
      <c r="J90" s="82"/>
      <c r="K90" s="61"/>
      <c r="L90" s="156"/>
      <c r="M90" s="219" t="str">
        <f t="shared" si="29"/>
        <v/>
      </c>
      <c r="N90" s="219" t="str">
        <f t="shared" si="30"/>
        <v/>
      </c>
    </row>
    <row r="91" spans="2:14" ht="14.25" customHeight="1" x14ac:dyDescent="0.2">
      <c r="B91" s="312"/>
      <c r="C91" s="312"/>
      <c r="D91" s="312"/>
      <c r="E91" s="312"/>
      <c r="F91" s="312"/>
      <c r="H91" s="127" t="str">
        <f t="shared" si="28"/>
        <v/>
      </c>
      <c r="I91" s="127" t="str">
        <f t="shared" si="27"/>
        <v/>
      </c>
      <c r="J91" s="82"/>
      <c r="K91" s="61"/>
      <c r="L91" s="156"/>
      <c r="M91" s="219" t="str">
        <f t="shared" si="29"/>
        <v/>
      </c>
      <c r="N91" s="219" t="str">
        <f t="shared" si="30"/>
        <v/>
      </c>
    </row>
    <row r="92" spans="2:14" ht="14.25" customHeight="1" x14ac:dyDescent="0.2">
      <c r="B92" s="45" t="str">
        <f>IF(COUNTIF(J85:J94,"Cement Delivery to Silo")&gt;0,"EP-2 Cement Silo Stack:","")</f>
        <v/>
      </c>
      <c r="C92" s="221"/>
      <c r="D92" s="221"/>
      <c r="E92" s="221"/>
      <c r="F92" s="221"/>
      <c r="G92" s="45"/>
      <c r="H92" s="127" t="str">
        <f t="shared" si="28"/>
        <v/>
      </c>
      <c r="I92" s="127" t="str">
        <f t="shared" si="27"/>
        <v/>
      </c>
      <c r="J92" s="82"/>
      <c r="K92" s="61"/>
      <c r="L92" s="156"/>
      <c r="M92" s="219" t="str">
        <f t="shared" si="29"/>
        <v/>
      </c>
      <c r="N92" s="219" t="str">
        <f t="shared" si="30"/>
        <v/>
      </c>
    </row>
    <row r="93" spans="2:14" ht="14.25" customHeight="1" x14ac:dyDescent="0.2">
      <c r="B93" s="45" t="str">
        <f>IF(COUNTIF(J85:J94,"Cement Supplement Delivery to Silo")&gt;0,"EP-3 Cement Supplement Silo Stack:","")</f>
        <v/>
      </c>
      <c r="C93" s="221"/>
      <c r="D93" s="221"/>
      <c r="E93" s="221"/>
      <c r="F93" s="221"/>
      <c r="G93" s="45"/>
      <c r="H93" s="127" t="str">
        <f t="shared" si="28"/>
        <v/>
      </c>
      <c r="I93" s="127" t="str">
        <f t="shared" si="27"/>
        <v/>
      </c>
      <c r="J93" s="82"/>
      <c r="K93" s="61"/>
      <c r="L93" s="156"/>
      <c r="M93" s="219" t="str">
        <f t="shared" si="29"/>
        <v/>
      </c>
      <c r="N93" s="219" t="str">
        <f t="shared" si="30"/>
        <v/>
      </c>
    </row>
    <row r="94" spans="2:14" ht="14.25" customHeight="1" x14ac:dyDescent="0.2">
      <c r="B94" s="45" t="str">
        <f>IF(COUNTIF(J85:J94,"Weigh Hopper Loading")&gt;0,"EP-4 Weigh Hopper Loading Stack:","")</f>
        <v/>
      </c>
      <c r="C94" s="221"/>
      <c r="D94" s="221"/>
      <c r="E94" s="221"/>
      <c r="F94" s="221"/>
      <c r="G94" s="45"/>
      <c r="H94" s="127" t="str">
        <f t="shared" si="28"/>
        <v/>
      </c>
      <c r="I94" s="127" t="str">
        <f t="shared" si="27"/>
        <v/>
      </c>
      <c r="J94" s="82"/>
      <c r="K94" s="61"/>
      <c r="L94" s="156"/>
      <c r="M94" s="219" t="str">
        <f t="shared" si="29"/>
        <v/>
      </c>
      <c r="N94" s="219" t="str">
        <f t="shared" si="30"/>
        <v/>
      </c>
    </row>
    <row r="95" spans="2:14" ht="14.25" customHeight="1" x14ac:dyDescent="0.2">
      <c r="B95" s="45" t="str">
        <f>IF(COUNTIF(J85:J94,"Truck Mix Loading")&gt;0,"EP-5 Truck Mix Loading Stack:","")</f>
        <v/>
      </c>
      <c r="C95" s="221"/>
      <c r="D95" s="221"/>
      <c r="E95" s="221"/>
      <c r="F95" s="221"/>
      <c r="G95" s="45"/>
      <c r="H95" s="45"/>
      <c r="I95" s="45"/>
    </row>
    <row r="96" spans="2:14" ht="14.25" customHeight="1" x14ac:dyDescent="0.2">
      <c r="B96" s="45" t="str">
        <f>IF(COUNTIF(J85:J94,"Central Mix Loading")&gt;0,"EP-6 Central Mix Loading Stack:","")</f>
        <v/>
      </c>
      <c r="C96" s="221"/>
      <c r="D96" s="221"/>
      <c r="E96" s="221"/>
      <c r="F96" s="221"/>
      <c r="G96" s="45"/>
      <c r="H96" s="74" t="str">
        <f>IF('Concrete Plant (CP-9)'!$D$4&gt;4,"Stock Pile Area","")</f>
        <v/>
      </c>
      <c r="I96" s="74"/>
      <c r="J96" s="75"/>
    </row>
    <row r="97" spans="2:14" ht="14.25" customHeight="1" x14ac:dyDescent="0.2">
      <c r="B97" s="73"/>
      <c r="C97" s="163"/>
      <c r="D97" s="163"/>
      <c r="E97" s="163"/>
      <c r="F97" s="176"/>
      <c r="G97" s="45"/>
      <c r="I97" s="51" t="str">
        <f>IF('Concrete Plant (CP-9)'!$D$4&gt;4,"Emission Unit #","")</f>
        <v/>
      </c>
      <c r="J97" s="80" t="str">
        <f>IF('Concrete Plant (CP-9)'!$D$4&gt;4,"Maximum Storage Area (acres)","")</f>
        <v/>
      </c>
      <c r="K97" s="81" t="str">
        <f>IF('Concrete Plant (CP-9)'!$D$4&gt;4,"Actual Storage Area (acres)","")</f>
        <v/>
      </c>
      <c r="L97" s="80" t="str">
        <f>IF('Concrete Plant (CP-9)'!$D$4&gt;4,"Actual Days in Existence (days)","")</f>
        <v/>
      </c>
      <c r="M97" s="146"/>
      <c r="N97" s="146"/>
    </row>
    <row r="98" spans="2:14" ht="14.25" customHeight="1" x14ac:dyDescent="0.2">
      <c r="B98" s="73"/>
      <c r="C98" s="163"/>
      <c r="D98" s="163"/>
      <c r="E98" s="163"/>
      <c r="F98" s="176"/>
      <c r="G98" s="45"/>
      <c r="I98" s="62"/>
      <c r="J98" s="144"/>
      <c r="K98" s="66"/>
      <c r="L98" s="144"/>
      <c r="M98" s="146"/>
      <c r="N98" s="146"/>
    </row>
    <row r="99" spans="2:14" ht="14.25" customHeight="1" x14ac:dyDescent="0.2">
      <c r="B99" s="73"/>
      <c r="C99" s="163"/>
      <c r="D99" s="163"/>
      <c r="E99" s="163"/>
      <c r="F99" s="176"/>
      <c r="G99" s="45"/>
      <c r="H99" s="45"/>
    </row>
    <row r="100" spans="2:14" ht="27" customHeight="1" x14ac:dyDescent="0.25">
      <c r="B100" s="78" t="str">
        <f>IF('Concrete Plant (CP-9)'!$D$4&gt;5,"Batch Plant","")</f>
        <v/>
      </c>
      <c r="C100" s="70" t="str">
        <f>IF('Concrete Plant (CP-9)'!$D$4&gt;5,"Site 6","")</f>
        <v/>
      </c>
      <c r="D100" s="71"/>
      <c r="E100" s="71"/>
      <c r="F100" s="71"/>
      <c r="G100" s="45"/>
      <c r="H100" s="310" t="str">
        <f>IF('Concrete Plant (CP-9)'!$D$4&gt;5,"Emission Point #","")</f>
        <v/>
      </c>
      <c r="I100" s="310" t="str">
        <f>IF('Concrete Plant (CP-9)'!$D$4&gt;5,"Emission     Unit #","")</f>
        <v/>
      </c>
      <c r="J100" s="310" t="str">
        <f>IF('Concrete Plant (CP-9)'!$D$4&gt;5,"Processes","")</f>
        <v/>
      </c>
      <c r="K100" s="311" t="str">
        <f>IF('Concrete Plant (CP-9)'!$D$4&gt;5,"Combined Maximum Hourly Design Rate for all Like Processes (cubic yard/hr)","")</f>
        <v/>
      </c>
      <c r="L100" s="310" t="str">
        <f>IF('Concrete Plant (CP-9)'!$D$4&gt;5,('Facility Information'!G5&amp;" Annual Throughput (cubic yards)"),"")</f>
        <v/>
      </c>
      <c r="M100" s="217"/>
      <c r="N100" s="217"/>
    </row>
    <row r="101" spans="2:14" ht="14.25" customHeight="1" x14ac:dyDescent="0.2">
      <c r="B101" s="79" t="str">
        <f>IF('Concrete Plant (CP-9)'!$D$4&gt;5,"Site Name:","")</f>
        <v/>
      </c>
      <c r="C101" s="339"/>
      <c r="D101" s="342"/>
      <c r="E101" s="343"/>
      <c r="F101" s="175"/>
      <c r="G101" s="76"/>
      <c r="H101" s="127" t="str">
        <f>IF(J101="cement delivery to silo","CP-1 EP-2",IF(J101="cement supplement delivery to silo","CP-1 EP-3",IF(J101="weigh hopper loading","CP-1 EP-4",IF(J101="truck mix loading","CP-1 EP-5",IF(J101="central mix loading","CP-1 EP-6",IF(J101="","","CP-1 EP-1"))))))</f>
        <v/>
      </c>
      <c r="I101" s="127" t="str">
        <f t="shared" ref="I101:I110" si="31">IF(J101="","",IF(J101="aggregate delivery to ground storage","CP-9 EU-1",IF(J101="sand delivery to ground storage","CP-9 EU-2",IF(J101="aggregate transfer to conveyor","CP-9 EU-3",IF(J101="sand transfer to conveyor","CP-9 EU-4",IF(J101="aggregate transfer to elevated storage","CP-9 EU-5",IF(J101="sand transfer to elevated storage","CP-9 EU-6",IF(J101="weigh hopper loading","CP-9 EU-7",IF(J101="central mix loading","CP-9 EU-8",IF(J101="truck mix loading","CP-9 EU-9",IF(J101="cement delivery to silo","CP-9 EU-10",IF(J101="cement supplement delivery to silo","CP-9 EU-11"))))))))))))</f>
        <v/>
      </c>
      <c r="J101" s="82"/>
      <c r="K101" s="61"/>
      <c r="L101" s="156"/>
      <c r="M101" s="219" t="str">
        <f>IF(J101="truck mix loading",IF($F$104="yes",L101*0.05/2000,L101/2000),"")</f>
        <v/>
      </c>
      <c r="N101" s="219" t="str">
        <f>IF(J101="central mix loading",IF($F$104="yes",L101*0.05/2000,L101/2000),"")</f>
        <v/>
      </c>
    </row>
    <row r="102" spans="2:14" ht="14.25" customHeight="1" x14ac:dyDescent="0.2">
      <c r="B102" s="79" t="str">
        <f>IF('Concrete Plant (CP-9)'!$D$4&gt;5,"County:","")</f>
        <v/>
      </c>
      <c r="C102" s="352"/>
      <c r="D102" s="358"/>
      <c r="E102" s="359"/>
      <c r="F102" s="175"/>
      <c r="H102" s="127" t="str">
        <f t="shared" ref="H102:H110" si="32">IF(J102="cement delivery to silo","CP-1 EP-2",IF(J102="cement supplement delivery to silo","CP-1 EP-3",IF(J102="weigh hopper loading","CP-1 EP-4",IF(J102="truck mix loading","CP-1 EP-5",IF(J102="central mix loading","CP-1 EP-6",IF(J102="","","CP-1 EP-1"))))))</f>
        <v/>
      </c>
      <c r="I102" s="127" t="str">
        <f t="shared" si="31"/>
        <v/>
      </c>
      <c r="J102" s="82"/>
      <c r="K102" s="61"/>
      <c r="L102" s="156"/>
      <c r="M102" s="219" t="str">
        <f t="shared" ref="M102:M110" si="33">IF(J102="truck mix loading",IF($F$104="yes",L102*0.05/2000,L102/2000),"")</f>
        <v/>
      </c>
      <c r="N102" s="219" t="str">
        <f t="shared" ref="N102:N110" si="34">IF(J102="central mix loading",IF($F$104="yes",L102*0.05/2000,L102/2000),"")</f>
        <v/>
      </c>
    </row>
    <row r="103" spans="2:14" ht="14.25" customHeight="1" x14ac:dyDescent="0.2">
      <c r="B103" s="79" t="str">
        <f>IF('Concrete Plant (CP-9)'!$D$4&gt;5,"Batching Period (Dates):","")</f>
        <v/>
      </c>
      <c r="C103" s="352"/>
      <c r="D103" s="358"/>
      <c r="E103" s="359"/>
      <c r="F103" s="175"/>
      <c r="H103" s="127" t="str">
        <f t="shared" si="32"/>
        <v/>
      </c>
      <c r="I103" s="127" t="str">
        <f t="shared" si="31"/>
        <v/>
      </c>
      <c r="J103" s="82"/>
      <c r="K103" s="61"/>
      <c r="L103" s="156"/>
      <c r="M103" s="219" t="str">
        <f t="shared" si="33"/>
        <v/>
      </c>
      <c r="N103" s="219" t="str">
        <f t="shared" si="34"/>
        <v/>
      </c>
    </row>
    <row r="104" spans="2:14" ht="14.25" customHeight="1" x14ac:dyDescent="0.2">
      <c r="B104" s="51" t="str">
        <f>IF(OR(COUNTIF(J101:J110,"Truck Mix Loading")&gt;0,(COUNTIF(J101:J110,"Central Mix Loading")&gt;0)),"Is the Central/Truck Mix Loading process controlled by a baghouse?","")</f>
        <v/>
      </c>
      <c r="C104" s="51"/>
      <c r="D104" s="51"/>
      <c r="E104" s="51"/>
      <c r="F104" s="221"/>
      <c r="H104" s="127" t="str">
        <f t="shared" si="32"/>
        <v/>
      </c>
      <c r="I104" s="127" t="str">
        <f t="shared" si="31"/>
        <v/>
      </c>
      <c r="J104" s="82"/>
      <c r="K104" s="61"/>
      <c r="L104" s="156"/>
      <c r="M104" s="219" t="str">
        <f t="shared" si="33"/>
        <v/>
      </c>
      <c r="N104" s="219" t="str">
        <f t="shared" si="34"/>
        <v/>
      </c>
    </row>
    <row r="105" spans="2:14" ht="14.25" customHeight="1" x14ac:dyDescent="0.2">
      <c r="F105" s="177"/>
      <c r="H105" s="127" t="str">
        <f t="shared" si="32"/>
        <v/>
      </c>
      <c r="I105" s="127" t="str">
        <f t="shared" si="31"/>
        <v/>
      </c>
      <c r="J105" s="82"/>
      <c r="K105" s="61"/>
      <c r="L105" s="156"/>
      <c r="M105" s="219" t="str">
        <f t="shared" si="33"/>
        <v/>
      </c>
      <c r="N105" s="219" t="str">
        <f t="shared" si="34"/>
        <v/>
      </c>
    </row>
    <row r="106" spans="2:14" ht="27" customHeight="1" x14ac:dyDescent="0.2">
      <c r="B106" s="312" t="str">
        <f>IF(AND(B108="",B109="",B110="",B111="",B112=""),"","Process (complete stack information if applicable):")</f>
        <v/>
      </c>
      <c r="C106" s="312" t="str">
        <f>IF(AND(B108="",B109="",B110="",B111="",B112=""),"","Stack Height (ft):")</f>
        <v/>
      </c>
      <c r="D106" s="312" t="str">
        <f>IF(AND(B108="",B109="",B110="",B111="",B112=""),"","Stack Diameter (inches):")</f>
        <v/>
      </c>
      <c r="E106" s="312" t="str">
        <f>IF(AND(B108="",B109="",B110="",B111="",B112=""),"","Flow Rate (acfm):")</f>
        <v/>
      </c>
      <c r="F106" s="312" t="str">
        <f>IF(AND(B108="",B109="",B110="",B111="",B112=""),"","Temp (Deg F):")</f>
        <v/>
      </c>
      <c r="G106" s="45"/>
      <c r="H106" s="127" t="str">
        <f t="shared" si="32"/>
        <v/>
      </c>
      <c r="I106" s="127" t="str">
        <f t="shared" si="31"/>
        <v/>
      </c>
      <c r="J106" s="82"/>
      <c r="K106" s="61"/>
      <c r="L106" s="156"/>
      <c r="M106" s="219" t="str">
        <f t="shared" si="33"/>
        <v/>
      </c>
      <c r="N106" s="219" t="str">
        <f t="shared" si="34"/>
        <v/>
      </c>
    </row>
    <row r="107" spans="2:14" ht="14.25" customHeight="1" x14ac:dyDescent="0.2">
      <c r="B107" s="312"/>
      <c r="C107" s="312"/>
      <c r="D107" s="312"/>
      <c r="E107" s="312"/>
      <c r="F107" s="312"/>
      <c r="G107" s="45"/>
      <c r="H107" s="127" t="str">
        <f t="shared" si="32"/>
        <v/>
      </c>
      <c r="I107" s="127" t="str">
        <f t="shared" si="31"/>
        <v/>
      </c>
      <c r="J107" s="82"/>
      <c r="K107" s="61"/>
      <c r="L107" s="156"/>
      <c r="M107" s="219" t="str">
        <f t="shared" si="33"/>
        <v/>
      </c>
      <c r="N107" s="219" t="str">
        <f t="shared" si="34"/>
        <v/>
      </c>
    </row>
    <row r="108" spans="2:14" ht="14.25" customHeight="1" x14ac:dyDescent="0.2">
      <c r="B108" s="45" t="str">
        <f>IF(COUNTIF(J101:J110,"Cement Delivery to Silo")&gt;0,"EP-2 Cement Silo Stack:","")</f>
        <v/>
      </c>
      <c r="C108" s="221"/>
      <c r="D108" s="221"/>
      <c r="E108" s="221"/>
      <c r="F108" s="221"/>
      <c r="G108" s="45"/>
      <c r="H108" s="127" t="str">
        <f t="shared" si="32"/>
        <v/>
      </c>
      <c r="I108" s="127" t="str">
        <f t="shared" si="31"/>
        <v/>
      </c>
      <c r="J108" s="82"/>
      <c r="K108" s="61"/>
      <c r="L108" s="156"/>
      <c r="M108" s="219" t="str">
        <f t="shared" si="33"/>
        <v/>
      </c>
      <c r="N108" s="219" t="str">
        <f t="shared" si="34"/>
        <v/>
      </c>
    </row>
    <row r="109" spans="2:14" ht="14.25" customHeight="1" x14ac:dyDescent="0.2">
      <c r="B109" s="45" t="str">
        <f>IF(COUNTIF(J101:J110,"Cement Supplement Delivery to Silo")&gt;0,"EP-3 Cement Supplement Silo Stack:","")</f>
        <v/>
      </c>
      <c r="C109" s="221"/>
      <c r="D109" s="221"/>
      <c r="E109" s="221"/>
      <c r="F109" s="221"/>
      <c r="G109" s="45"/>
      <c r="H109" s="127" t="str">
        <f t="shared" si="32"/>
        <v/>
      </c>
      <c r="I109" s="127" t="str">
        <f t="shared" si="31"/>
        <v/>
      </c>
      <c r="J109" s="82"/>
      <c r="K109" s="61"/>
      <c r="L109" s="156"/>
      <c r="M109" s="219" t="str">
        <f t="shared" si="33"/>
        <v/>
      </c>
      <c r="N109" s="219" t="str">
        <f t="shared" si="34"/>
        <v/>
      </c>
    </row>
    <row r="110" spans="2:14" ht="14.25" customHeight="1" x14ac:dyDescent="0.2">
      <c r="B110" s="45" t="str">
        <f>IF(COUNTIF(J101:J110,"Weigh Hopper Loading")&gt;0,"EP-4 Weigh Hopper Loading Stack:","")</f>
        <v/>
      </c>
      <c r="C110" s="221"/>
      <c r="D110" s="221"/>
      <c r="E110" s="221"/>
      <c r="F110" s="221"/>
      <c r="G110" s="45"/>
      <c r="H110" s="127" t="str">
        <f t="shared" si="32"/>
        <v/>
      </c>
      <c r="I110" s="127" t="str">
        <f t="shared" si="31"/>
        <v/>
      </c>
      <c r="J110" s="82"/>
      <c r="K110" s="61"/>
      <c r="L110" s="156"/>
      <c r="M110" s="219" t="str">
        <f t="shared" si="33"/>
        <v/>
      </c>
      <c r="N110" s="219" t="str">
        <f t="shared" si="34"/>
        <v/>
      </c>
    </row>
    <row r="111" spans="2:14" ht="14.25" customHeight="1" x14ac:dyDescent="0.2">
      <c r="B111" s="45" t="str">
        <f>IF(COUNTIF(J101:J110,"Truck Mix Loading")&gt;0,"EP-5 Truck Mix Loading Stack:","")</f>
        <v/>
      </c>
      <c r="C111" s="221"/>
      <c r="D111" s="221"/>
      <c r="E111" s="221"/>
      <c r="F111" s="221"/>
      <c r="G111" s="45"/>
      <c r="H111" s="45"/>
      <c r="I111" s="45"/>
    </row>
    <row r="112" spans="2:14" ht="14.25" customHeight="1" x14ac:dyDescent="0.2">
      <c r="B112" s="45" t="str">
        <f>IF(COUNTIF(J101:J110,"Central Mix Loading")&gt;0,"EP-6 Central Mix Loading Stack:","")</f>
        <v/>
      </c>
      <c r="C112" s="221"/>
      <c r="D112" s="221"/>
      <c r="E112" s="221"/>
      <c r="F112" s="221"/>
      <c r="G112" s="45"/>
      <c r="H112" s="74" t="str">
        <f>IF('Concrete Plant (CP-9)'!$D$4&gt;5,"Stock Pile Area","")</f>
        <v/>
      </c>
      <c r="I112" s="74"/>
      <c r="J112" s="75"/>
    </row>
    <row r="113" spans="2:14" ht="14.25" customHeight="1" x14ac:dyDescent="0.2">
      <c r="B113" s="73"/>
      <c r="C113" s="163"/>
      <c r="D113" s="163"/>
      <c r="E113" s="163"/>
      <c r="F113" s="176"/>
      <c r="G113" s="45"/>
      <c r="I113" s="51" t="str">
        <f>IF('Concrete Plant (CP-9)'!$D$4&gt;5,"Emission Unit #","")</f>
        <v/>
      </c>
      <c r="J113" s="80" t="str">
        <f>IF('Concrete Plant (CP-9)'!$D$4&gt;5,"Maximum Storage Area (acres)","")</f>
        <v/>
      </c>
      <c r="K113" s="81" t="str">
        <f>IF('Concrete Plant (CP-9)'!$D$4&gt;5,"Actual Storage Area (acres)","")</f>
        <v/>
      </c>
      <c r="L113" s="80" t="str">
        <f>IF('Concrete Plant (CP-9)'!$D$4&gt;5,"Actual Days in Existence (days)","")</f>
        <v/>
      </c>
      <c r="M113" s="146"/>
      <c r="N113" s="146"/>
    </row>
    <row r="114" spans="2:14" ht="14.25" customHeight="1" x14ac:dyDescent="0.2">
      <c r="B114" s="73"/>
      <c r="C114" s="163"/>
      <c r="D114" s="163"/>
      <c r="E114" s="163"/>
      <c r="F114" s="176"/>
      <c r="G114" s="45"/>
      <c r="I114" s="65"/>
      <c r="J114" s="144"/>
      <c r="K114" s="66"/>
      <c r="L114" s="144"/>
      <c r="M114" s="146"/>
      <c r="N114" s="146"/>
    </row>
    <row r="115" spans="2:14" ht="14.25" customHeight="1" x14ac:dyDescent="0.2">
      <c r="B115" s="73"/>
      <c r="C115" s="163"/>
      <c r="D115" s="163"/>
      <c r="E115" s="163"/>
      <c r="F115" s="176"/>
      <c r="G115" s="45"/>
      <c r="I115" s="139"/>
      <c r="J115" s="125"/>
      <c r="K115" s="125"/>
      <c r="L115" s="125"/>
      <c r="M115" s="146"/>
      <c r="N115" s="146"/>
    </row>
    <row r="116" spans="2:14" ht="28.5" customHeight="1" x14ac:dyDescent="0.25">
      <c r="B116" s="78" t="str">
        <f>IF('Concrete Plant (CP-9)'!$D$4&gt;6,"Batch Plant","")</f>
        <v/>
      </c>
      <c r="C116" s="71" t="str">
        <f>IF('Concrete Plant (CP-9)'!$D$4&gt;6,"Site 7","")</f>
        <v/>
      </c>
      <c r="D116" s="71"/>
      <c r="E116" s="71"/>
      <c r="F116" s="71"/>
      <c r="G116" s="76"/>
      <c r="H116" s="310" t="str">
        <f>IF('Concrete Plant (CP-9)'!$D$4&gt;6,"Emission Point #","")</f>
        <v/>
      </c>
      <c r="I116" s="310" t="str">
        <f>IF('Concrete Plant (CP-9)'!$D$4&gt;6,"Emission     Unit #","")</f>
        <v/>
      </c>
      <c r="J116" s="310" t="str">
        <f>IF('Concrete Plant (CP-9)'!$D$4&gt;6,"Processes","")</f>
        <v/>
      </c>
      <c r="K116" s="311" t="str">
        <f>IF('Concrete Plant (CP-9)'!$D$4&gt;6,"Combined Maximum Hourly Design Rate for all Like Processes (cubic yard/hr)","")</f>
        <v/>
      </c>
      <c r="L116" s="310" t="str">
        <f>IF('Concrete Plant (CP-9)'!$D$4&gt;6,('Facility Information'!G5&amp;" Annual Throughput (cubic yards)"),"")</f>
        <v/>
      </c>
      <c r="M116" s="217"/>
      <c r="N116" s="217"/>
    </row>
    <row r="117" spans="2:14" ht="14.25" customHeight="1" x14ac:dyDescent="0.2">
      <c r="B117" s="79" t="str">
        <f>IF('Concrete Plant (CP-9)'!$D$4&gt;6,"Site Name:","")</f>
        <v/>
      </c>
      <c r="C117" s="349"/>
      <c r="D117" s="356"/>
      <c r="E117" s="357"/>
      <c r="F117" s="175"/>
      <c r="H117" s="127" t="str">
        <f>IF(J117="cement delivery to silo","CP-1 EP-2",IF(J117="cement supplement delivery to silo","CP-1 EP-3",IF(J117="weigh hopper loading","CP-1 EP-4",IF(J117="truck mix loading","CP-1 EP-5",IF(J117="central mix loading","CP-1 EP-6",IF(J117="","","CP-1 EP-1"))))))</f>
        <v/>
      </c>
      <c r="I117" s="127" t="str">
        <f t="shared" ref="I117:I126" si="35">IF(J117="","",IF(J117="aggregate delivery to ground storage","CP-9 EU-1",IF(J117="sand delivery to ground storage","CP-9 EU-2",IF(J117="aggregate transfer to conveyor","CP-9 EU-3",IF(J117="sand transfer to conveyor","CP-9 EU-4",IF(J117="aggregate transfer to elevated storage","CP-9 EU-5",IF(J117="sand transfer to elevated storage","CP-9 EU-6",IF(J117="weigh hopper loading","CP-9 EU-7",IF(J117="central mix loading","CP-9 EU-8",IF(J117="truck mix loading","CP-9 EU-9",IF(J117="cement delivery to silo","CP-9 EU-10",IF(J117="cement supplement delivery to silo","CP-9 EU-11"))))))))))))</f>
        <v/>
      </c>
      <c r="J117" s="82"/>
      <c r="K117" s="61"/>
      <c r="L117" s="156"/>
      <c r="M117" s="219" t="str">
        <f>IF(J117="truck mix loading",IF($F$120="yes",L117*0.05/2000,L117/2000),"")</f>
        <v/>
      </c>
      <c r="N117" s="219" t="str">
        <f>IF(J117="central mix loading",IF($F$120="yes",L117*0.05/2000,L117/2000),"")</f>
        <v/>
      </c>
    </row>
    <row r="118" spans="2:14" ht="14.25" customHeight="1" x14ac:dyDescent="0.2">
      <c r="B118" s="79" t="str">
        <f>IF('Concrete Plant (CP-9)'!$D$4&gt;6,"County:","")</f>
        <v/>
      </c>
      <c r="C118" s="339"/>
      <c r="D118" s="342"/>
      <c r="E118" s="343"/>
      <c r="F118" s="175"/>
      <c r="H118" s="127" t="str">
        <f t="shared" ref="H118:H126" si="36">IF(J118="cement delivery to silo","CP-1 EP-2",IF(J118="cement supplement delivery to silo","CP-1 EP-3",IF(J118="weigh hopper loading","CP-1 EP-4",IF(J118="truck mix loading","CP-1 EP-5",IF(J118="central mix loading","CP-1 EP-6",IF(J118="","","CP-1 EP-1"))))))</f>
        <v/>
      </c>
      <c r="I118" s="127" t="str">
        <f t="shared" si="35"/>
        <v/>
      </c>
      <c r="J118" s="82"/>
      <c r="K118" s="61"/>
      <c r="L118" s="156"/>
      <c r="M118" s="219" t="str">
        <f t="shared" ref="M118:M126" si="37">IF(J118="truck mix loading",IF($F$120="yes",L118*0.05/2000,L118/2000),"")</f>
        <v/>
      </c>
      <c r="N118" s="219" t="str">
        <f t="shared" ref="N118:N126" si="38">IF(J118="central mix loading",IF($F$120="yes",L118*0.05/2000,L118/2000),"")</f>
        <v/>
      </c>
    </row>
    <row r="119" spans="2:14" ht="14.25" customHeight="1" x14ac:dyDescent="0.2">
      <c r="B119" s="79" t="str">
        <f>IF('Concrete Plant (CP-9)'!$D$4&gt;6,"Batching Period (Dates):","")</f>
        <v/>
      </c>
      <c r="C119" s="352"/>
      <c r="D119" s="358"/>
      <c r="E119" s="359"/>
      <c r="F119" s="175"/>
      <c r="H119" s="127" t="str">
        <f t="shared" si="36"/>
        <v/>
      </c>
      <c r="I119" s="127" t="str">
        <f t="shared" si="35"/>
        <v/>
      </c>
      <c r="J119" s="82"/>
      <c r="K119" s="61"/>
      <c r="L119" s="156"/>
      <c r="M119" s="219" t="str">
        <f t="shared" si="37"/>
        <v/>
      </c>
      <c r="N119" s="219" t="str">
        <f t="shared" si="38"/>
        <v/>
      </c>
    </row>
    <row r="120" spans="2:14" ht="14.25" customHeight="1" x14ac:dyDescent="0.2">
      <c r="B120" s="51" t="str">
        <f>IF(OR(COUNTIF(J117:J126,"Truck Mix Loading")&gt;0,(COUNTIF(J117:J126,"Central Mix Loading")&gt;0)),"Is the Central/Truck Mix Loading process controlled by a baghouse?","")</f>
        <v/>
      </c>
      <c r="C120" s="51"/>
      <c r="D120" s="51"/>
      <c r="E120" s="51"/>
      <c r="F120" s="221"/>
      <c r="G120" s="45"/>
      <c r="H120" s="127" t="str">
        <f t="shared" si="36"/>
        <v/>
      </c>
      <c r="I120" s="127" t="str">
        <f t="shared" si="35"/>
        <v/>
      </c>
      <c r="J120" s="82"/>
      <c r="K120" s="61"/>
      <c r="L120" s="156"/>
      <c r="M120" s="219" t="str">
        <f t="shared" si="37"/>
        <v/>
      </c>
      <c r="N120" s="219" t="str">
        <f t="shared" si="38"/>
        <v/>
      </c>
    </row>
    <row r="121" spans="2:14" ht="14.25" customHeight="1" x14ac:dyDescent="0.2">
      <c r="F121" s="177"/>
      <c r="G121" s="45"/>
      <c r="H121" s="127" t="str">
        <f t="shared" si="36"/>
        <v/>
      </c>
      <c r="I121" s="127" t="str">
        <f t="shared" si="35"/>
        <v/>
      </c>
      <c r="J121" s="82"/>
      <c r="K121" s="61"/>
      <c r="L121" s="156"/>
      <c r="M121" s="219" t="str">
        <f t="shared" si="37"/>
        <v/>
      </c>
      <c r="N121" s="219" t="str">
        <f t="shared" si="38"/>
        <v/>
      </c>
    </row>
    <row r="122" spans="2:14" ht="27.75" customHeight="1" x14ac:dyDescent="0.2">
      <c r="B122" s="312" t="str">
        <f>IF(AND(B124="",B125="",B126="",B127="",B128=""),"","Process (complete stack information if applicable):")</f>
        <v/>
      </c>
      <c r="C122" s="312" t="str">
        <f>IF(AND(B124="",B125="",B126="",B127="",B128=""),"","Stack Height (ft):")</f>
        <v/>
      </c>
      <c r="D122" s="312" t="str">
        <f>IF(AND(B124="",B125="",B126="",B127="",B128=""),"","Stack Diameter (inches):")</f>
        <v/>
      </c>
      <c r="E122" s="312" t="str">
        <f>IF(AND(B124="",B125="",B126="",B127="",B128=""),"","Flow Rate (acfm):")</f>
        <v/>
      </c>
      <c r="F122" s="312" t="str">
        <f>IF(AND(B124="",B125="",B126="",B127="",B128=""),"","Temp (Deg F):")</f>
        <v/>
      </c>
      <c r="G122" s="45"/>
      <c r="H122" s="127" t="str">
        <f t="shared" si="36"/>
        <v/>
      </c>
      <c r="I122" s="127" t="str">
        <f t="shared" si="35"/>
        <v/>
      </c>
      <c r="J122" s="82"/>
      <c r="K122" s="61"/>
      <c r="L122" s="156"/>
      <c r="M122" s="219" t="str">
        <f t="shared" si="37"/>
        <v/>
      </c>
      <c r="N122" s="219" t="str">
        <f t="shared" si="38"/>
        <v/>
      </c>
    </row>
    <row r="123" spans="2:14" ht="14.25" customHeight="1" x14ac:dyDescent="0.2">
      <c r="B123" s="312"/>
      <c r="C123" s="312"/>
      <c r="D123" s="312"/>
      <c r="E123" s="312"/>
      <c r="F123" s="312"/>
      <c r="G123" s="45"/>
      <c r="H123" s="127" t="str">
        <f t="shared" si="36"/>
        <v/>
      </c>
      <c r="I123" s="127" t="str">
        <f t="shared" si="35"/>
        <v/>
      </c>
      <c r="J123" s="82"/>
      <c r="K123" s="61"/>
      <c r="L123" s="156"/>
      <c r="M123" s="219" t="str">
        <f t="shared" si="37"/>
        <v/>
      </c>
      <c r="N123" s="219" t="str">
        <f t="shared" si="38"/>
        <v/>
      </c>
    </row>
    <row r="124" spans="2:14" ht="14.25" customHeight="1" x14ac:dyDescent="0.2">
      <c r="B124" s="45" t="str">
        <f>IF(COUNTIF(J117:J126,"Cement Delivery to Silo")&gt;0,"EP-2 Cement Silo Stack:","")</f>
        <v/>
      </c>
      <c r="C124" s="221"/>
      <c r="D124" s="221"/>
      <c r="E124" s="221"/>
      <c r="F124" s="221"/>
      <c r="G124" s="45"/>
      <c r="H124" s="127" t="str">
        <f t="shared" si="36"/>
        <v/>
      </c>
      <c r="I124" s="127" t="str">
        <f t="shared" si="35"/>
        <v/>
      </c>
      <c r="J124" s="82"/>
      <c r="K124" s="61"/>
      <c r="L124" s="156"/>
      <c r="M124" s="219" t="str">
        <f t="shared" si="37"/>
        <v/>
      </c>
      <c r="N124" s="219" t="str">
        <f t="shared" si="38"/>
        <v/>
      </c>
    </row>
    <row r="125" spans="2:14" ht="14.25" customHeight="1" x14ac:dyDescent="0.2">
      <c r="B125" s="45" t="str">
        <f>IF(COUNTIF(J117:J126,"Cement Supplement Delivery to Silo")&gt;0,"EP-3 Cement Supplement Silo Stack:","")</f>
        <v/>
      </c>
      <c r="C125" s="221"/>
      <c r="D125" s="221"/>
      <c r="E125" s="221"/>
      <c r="F125" s="221"/>
      <c r="G125" s="45"/>
      <c r="H125" s="127" t="str">
        <f t="shared" si="36"/>
        <v/>
      </c>
      <c r="I125" s="127" t="str">
        <f t="shared" si="35"/>
        <v/>
      </c>
      <c r="J125" s="82"/>
      <c r="K125" s="61"/>
      <c r="L125" s="156"/>
      <c r="M125" s="219" t="str">
        <f t="shared" si="37"/>
        <v/>
      </c>
      <c r="N125" s="219" t="str">
        <f t="shared" si="38"/>
        <v/>
      </c>
    </row>
    <row r="126" spans="2:14" ht="14.25" customHeight="1" x14ac:dyDescent="0.2">
      <c r="B126" s="45" t="str">
        <f>IF(COUNTIF(J117:J126,"Weigh Hopper Loading")&gt;0,"EP-4 Weigh Hopper Loading Stack:","")</f>
        <v/>
      </c>
      <c r="C126" s="221"/>
      <c r="D126" s="221"/>
      <c r="E126" s="221"/>
      <c r="F126" s="221"/>
      <c r="G126" s="45"/>
      <c r="H126" s="127" t="str">
        <f t="shared" si="36"/>
        <v/>
      </c>
      <c r="I126" s="127" t="str">
        <f t="shared" si="35"/>
        <v/>
      </c>
      <c r="J126" s="82"/>
      <c r="K126" s="61"/>
      <c r="L126" s="156"/>
      <c r="M126" s="219" t="str">
        <f t="shared" si="37"/>
        <v/>
      </c>
      <c r="N126" s="219" t="str">
        <f t="shared" si="38"/>
        <v/>
      </c>
    </row>
    <row r="127" spans="2:14" ht="14.25" customHeight="1" x14ac:dyDescent="0.2">
      <c r="B127" s="45" t="str">
        <f>IF(COUNTIF(J117:J126,"Truck Mix Loading")&gt;0,"EP-5 Truck Mix Loading Stack:","")</f>
        <v/>
      </c>
      <c r="C127" s="221"/>
      <c r="D127" s="221"/>
      <c r="E127" s="221"/>
      <c r="F127" s="221"/>
      <c r="G127" s="45"/>
      <c r="H127" s="45"/>
      <c r="I127" s="45"/>
    </row>
    <row r="128" spans="2:14" ht="14.25" customHeight="1" x14ac:dyDescent="0.2">
      <c r="B128" s="45" t="str">
        <f>IF(COUNTIF(J117:J126,"Central Mix Loading")&gt;0,"EP-6 Central Mix Loading Stack:","")</f>
        <v/>
      </c>
      <c r="C128" s="221"/>
      <c r="D128" s="221"/>
      <c r="E128" s="221"/>
      <c r="F128" s="221"/>
      <c r="G128" s="45"/>
      <c r="H128" s="74" t="str">
        <f>IF('Concrete Plant (CP-9)'!$D$4&gt;6,"Stock Pile Area","")</f>
        <v/>
      </c>
      <c r="I128" s="74"/>
      <c r="J128" s="75"/>
    </row>
    <row r="129" spans="2:14" ht="14.25" customHeight="1" x14ac:dyDescent="0.2">
      <c r="B129" s="73"/>
      <c r="C129" s="163"/>
      <c r="D129" s="163"/>
      <c r="E129" s="163"/>
      <c r="F129" s="176"/>
      <c r="G129" s="45"/>
      <c r="I129" s="51" t="str">
        <f>IF('Concrete Plant (CP-9)'!$D$4&gt;6,"Emission Unit #","")</f>
        <v/>
      </c>
      <c r="J129" s="80" t="str">
        <f>IF('Concrete Plant (CP-9)'!$D$4&gt;6,"Maximum Storage Area (acres)","")</f>
        <v/>
      </c>
      <c r="K129" s="81" t="str">
        <f>IF('Concrete Plant (CP-9)'!$D$4&gt;6,"Actual Storage Area (acres)","")</f>
        <v/>
      </c>
      <c r="L129" s="80" t="str">
        <f>IF('Concrete Plant (CP-9)'!$D$4&gt;6,"Actual Days in Existence (days)","")</f>
        <v/>
      </c>
      <c r="M129" s="146"/>
      <c r="N129" s="146"/>
    </row>
    <row r="130" spans="2:14" ht="14.25" customHeight="1" x14ac:dyDescent="0.2">
      <c r="B130" s="73"/>
      <c r="C130" s="163"/>
      <c r="D130" s="163"/>
      <c r="E130" s="163"/>
      <c r="F130" s="176"/>
      <c r="I130" s="65"/>
      <c r="J130" s="144"/>
      <c r="K130" s="66"/>
      <c r="L130" s="144"/>
      <c r="M130" s="146"/>
      <c r="N130" s="146"/>
    </row>
    <row r="131" spans="2:14" ht="14.25" customHeight="1" x14ac:dyDescent="0.2">
      <c r="B131" s="73"/>
      <c r="C131" s="163"/>
      <c r="D131" s="163"/>
      <c r="E131" s="163"/>
      <c r="F131" s="176"/>
      <c r="G131" s="76"/>
    </row>
    <row r="132" spans="2:14" ht="30.75" customHeight="1" x14ac:dyDescent="0.25">
      <c r="B132" s="78" t="str">
        <f>IF('Concrete Plant (CP-9)'!$D$4&gt;7,"Batch Plant","")</f>
        <v/>
      </c>
      <c r="C132" s="71" t="str">
        <f>IF('Concrete Plant (CP-9)'!$D$4&gt;7,"Site 8","")</f>
        <v/>
      </c>
      <c r="D132" s="71"/>
      <c r="E132" s="71"/>
      <c r="F132" s="71"/>
      <c r="H132" s="310" t="str">
        <f>IF('Concrete Plant (CP-9)'!$D$4&gt;7,"Emission Point #","")</f>
        <v/>
      </c>
      <c r="I132" s="310" t="str">
        <f>IF('Concrete Plant (CP-9)'!$D$4&gt;7,"Emission     Unit #","")</f>
        <v/>
      </c>
      <c r="J132" s="310" t="str">
        <f>IF('Concrete Plant (CP-9)'!$D$4&gt;7,"Processes","")</f>
        <v/>
      </c>
      <c r="K132" s="311" t="str">
        <f>IF('Concrete Plant (CP-9)'!$D$4&gt;7,"Combined Maximum Hourly Design Rate for all Like Processes (cubic yard/hr)","")</f>
        <v/>
      </c>
      <c r="L132" s="310" t="str">
        <f>IF('Concrete Plant (CP-9)'!$D$4&gt;7,('Facility Information'!G5&amp;" Annual Throughput (cubic yards)"),"")</f>
        <v/>
      </c>
      <c r="M132" s="217"/>
      <c r="N132" s="217"/>
    </row>
    <row r="133" spans="2:14" ht="14.25" customHeight="1" x14ac:dyDescent="0.2">
      <c r="B133" s="79" t="str">
        <f>IF('Concrete Plant (CP-9)'!$D$4&gt;7,"Site Name:","")</f>
        <v/>
      </c>
      <c r="C133" s="349"/>
      <c r="D133" s="356"/>
      <c r="E133" s="357"/>
      <c r="F133" s="175"/>
      <c r="H133" s="127" t="str">
        <f>IF(J133="cement delivery to silo","CP-1 EP-2",IF(J133="cement supplement delivery to silo","CP-1 EP-3",IF(J133="weigh hopper loading","CP-1 EP-4",IF(J133="truck mix loading","CP-1 EP-5",IF(J133="central mix loading","CP-1 EP-6",IF(J133="","","CP-1 EP-1"))))))</f>
        <v/>
      </c>
      <c r="I133" s="127" t="str">
        <f t="shared" ref="I133:I142" si="39">IF(J133="","",IF(J133="aggregate delivery to ground storage","CP-9 EU-1",IF(J133="sand delivery to ground storage","CP-9 EU-2",IF(J133="aggregate transfer to conveyor","CP-9 EU-3",IF(J133="sand transfer to conveyor","CP-9 EU-4",IF(J133="aggregate transfer to elevated storage","CP-9 EU-5",IF(J133="sand transfer to elevated storage","CP-9 EU-6",IF(J133="weigh hopper loading","CP-9 EU-7",IF(J133="central mix loading","CP-9 EU-8",IF(J133="truck mix loading","CP-9 EU-9",IF(J133="cement delivery to silo","CP-9 EU-10",IF(J133="cement supplement delivery to silo","CP-9 EU-11"))))))))))))</f>
        <v/>
      </c>
      <c r="J133" s="82"/>
      <c r="K133" s="61"/>
      <c r="L133" s="156"/>
      <c r="M133" s="219" t="str">
        <f>IF(J133="truck mix loading",IF($F$136="yes",L133*0.05/2000,L133/2000),"")</f>
        <v/>
      </c>
      <c r="N133" s="219" t="str">
        <f>IF(J133="central mix loading",IF($F$136="yes",L133*0.05/2000,L133/2000),"")</f>
        <v/>
      </c>
    </row>
    <row r="134" spans="2:14" ht="14.25" customHeight="1" x14ac:dyDescent="0.2">
      <c r="B134" s="79" t="str">
        <f>IF('Concrete Plant (CP-9)'!$D$4&gt;7,"County:","")</f>
        <v/>
      </c>
      <c r="C134" s="339"/>
      <c r="D134" s="342"/>
      <c r="E134" s="343"/>
      <c r="F134" s="175"/>
      <c r="G134" s="45"/>
      <c r="H134" s="127" t="str">
        <f t="shared" ref="H134:H142" si="40">IF(J134="cement delivery to silo","CP-1 EP-2",IF(J134="cement supplement delivery to silo","CP-1 EP-3",IF(J134="weigh hopper loading","CP-1 EP-4",IF(J134="truck mix loading","CP-1 EP-5",IF(J134="central mix loading","CP-1 EP-6",IF(J134="","","CP-1 EP-1"))))))</f>
        <v/>
      </c>
      <c r="I134" s="127" t="str">
        <f t="shared" si="39"/>
        <v/>
      </c>
      <c r="J134" s="82"/>
      <c r="K134" s="61"/>
      <c r="L134" s="156"/>
      <c r="M134" s="219" t="str">
        <f t="shared" ref="M134:M142" si="41">IF(J134="truck mix loading",IF($F$136="yes",L134*0.05/2000,L134/2000),"")</f>
        <v/>
      </c>
      <c r="N134" s="219" t="str">
        <f t="shared" ref="N134:N142" si="42">IF(J134="central mix loading",IF($F$136="yes",L134*0.05/2000,L134/2000),"")</f>
        <v/>
      </c>
    </row>
    <row r="135" spans="2:14" ht="14.25" customHeight="1" x14ac:dyDescent="0.2">
      <c r="B135" s="79" t="str">
        <f>IF('Concrete Plant (CP-9)'!$D$4&gt;7,"Batching Period (Dates):","")</f>
        <v/>
      </c>
      <c r="C135" s="352"/>
      <c r="D135" s="358"/>
      <c r="E135" s="359"/>
      <c r="F135" s="175"/>
      <c r="G135" s="45"/>
      <c r="H135" s="127" t="str">
        <f t="shared" si="40"/>
        <v/>
      </c>
      <c r="I135" s="127" t="str">
        <f t="shared" si="39"/>
        <v/>
      </c>
      <c r="J135" s="82"/>
      <c r="K135" s="61"/>
      <c r="L135" s="156"/>
      <c r="M135" s="219" t="str">
        <f t="shared" si="41"/>
        <v/>
      </c>
      <c r="N135" s="219" t="str">
        <f t="shared" si="42"/>
        <v/>
      </c>
    </row>
    <row r="136" spans="2:14" ht="14.25" customHeight="1" x14ac:dyDescent="0.2">
      <c r="B136" s="51" t="str">
        <f>IF(OR(COUNTIF(J133:J142,"Truck Mix Loading")&gt;0,(COUNTIF(J133:J142,"Central Mix Loading")&gt;0)),"Is the Central/Truck Mix Loading process controlled by a baghouse?","")</f>
        <v/>
      </c>
      <c r="C136" s="51"/>
      <c r="D136" s="51"/>
      <c r="E136" s="51"/>
      <c r="F136" s="221"/>
      <c r="G136" s="45"/>
      <c r="H136" s="127" t="str">
        <f t="shared" si="40"/>
        <v/>
      </c>
      <c r="I136" s="127" t="str">
        <f t="shared" si="39"/>
        <v/>
      </c>
      <c r="J136" s="82"/>
      <c r="K136" s="61"/>
      <c r="L136" s="156"/>
      <c r="M136" s="219" t="str">
        <f t="shared" si="41"/>
        <v/>
      </c>
      <c r="N136" s="219" t="str">
        <f t="shared" si="42"/>
        <v/>
      </c>
    </row>
    <row r="137" spans="2:14" ht="14.25" customHeight="1" x14ac:dyDescent="0.2">
      <c r="F137" s="177"/>
      <c r="G137" s="45"/>
      <c r="H137" s="127" t="str">
        <f t="shared" si="40"/>
        <v/>
      </c>
      <c r="I137" s="127" t="str">
        <f t="shared" si="39"/>
        <v/>
      </c>
      <c r="J137" s="82"/>
      <c r="K137" s="61"/>
      <c r="L137" s="156"/>
      <c r="M137" s="219" t="str">
        <f t="shared" si="41"/>
        <v/>
      </c>
      <c r="N137" s="219" t="str">
        <f t="shared" si="42"/>
        <v/>
      </c>
    </row>
    <row r="138" spans="2:14" ht="26.25" customHeight="1" x14ac:dyDescent="0.2">
      <c r="B138" s="312" t="str">
        <f>IF(AND(B140="",B141="",B142="",B143="",B144=""),"","Process (complete stack information if applicable):")</f>
        <v/>
      </c>
      <c r="C138" s="312" t="str">
        <f>IF(AND(B140="",B141="",B142="",B143="",B144=""),"","Stack Height (ft):")</f>
        <v/>
      </c>
      <c r="D138" s="312" t="str">
        <f>IF(AND(B140="",B141="",B142="",B143="",B144=""),"","Stack Diameter (inches):")</f>
        <v/>
      </c>
      <c r="E138" s="312" t="str">
        <f>IF(AND(B140="",B141="",B142="",B143="",B144=""),"","Flow Rate (acfm):")</f>
        <v/>
      </c>
      <c r="F138" s="312" t="str">
        <f>IF(AND(B140="",B141="",B142="",B143="",B144=""),"","Temp (Deg F):")</f>
        <v/>
      </c>
      <c r="G138" s="45"/>
      <c r="H138" s="127" t="str">
        <f t="shared" si="40"/>
        <v/>
      </c>
      <c r="I138" s="127" t="str">
        <f t="shared" si="39"/>
        <v/>
      </c>
      <c r="J138" s="82"/>
      <c r="K138" s="61"/>
      <c r="L138" s="156"/>
      <c r="M138" s="219" t="str">
        <f t="shared" si="41"/>
        <v/>
      </c>
      <c r="N138" s="219" t="str">
        <f t="shared" si="42"/>
        <v/>
      </c>
    </row>
    <row r="139" spans="2:14" ht="14.25" customHeight="1" x14ac:dyDescent="0.2">
      <c r="B139" s="312"/>
      <c r="C139" s="312"/>
      <c r="D139" s="312"/>
      <c r="E139" s="312"/>
      <c r="F139" s="312"/>
      <c r="G139" s="45"/>
      <c r="H139" s="127" t="str">
        <f t="shared" si="40"/>
        <v/>
      </c>
      <c r="I139" s="127" t="str">
        <f t="shared" si="39"/>
        <v/>
      </c>
      <c r="J139" s="82"/>
      <c r="K139" s="61"/>
      <c r="L139" s="156"/>
      <c r="M139" s="219" t="str">
        <f t="shared" si="41"/>
        <v/>
      </c>
      <c r="N139" s="219" t="str">
        <f t="shared" si="42"/>
        <v/>
      </c>
    </row>
    <row r="140" spans="2:14" ht="14.25" customHeight="1" x14ac:dyDescent="0.2">
      <c r="B140" s="45" t="str">
        <f>IF(COUNTIF(J133:J142,"Cement Delivery to Silo")&gt;0,"EP-2 Cement Silo Stack:","")</f>
        <v/>
      </c>
      <c r="C140" s="221"/>
      <c r="D140" s="221"/>
      <c r="E140" s="221"/>
      <c r="F140" s="221"/>
      <c r="G140" s="45"/>
      <c r="H140" s="127" t="str">
        <f t="shared" si="40"/>
        <v/>
      </c>
      <c r="I140" s="127" t="str">
        <f t="shared" si="39"/>
        <v/>
      </c>
      <c r="J140" s="82"/>
      <c r="K140" s="61"/>
      <c r="L140" s="156"/>
      <c r="M140" s="219" t="str">
        <f t="shared" si="41"/>
        <v/>
      </c>
      <c r="N140" s="219" t="str">
        <f t="shared" si="42"/>
        <v/>
      </c>
    </row>
    <row r="141" spans="2:14" ht="14.25" customHeight="1" x14ac:dyDescent="0.2">
      <c r="B141" s="45" t="str">
        <f>IF(COUNTIF(J133:J142,"Cement Supplement Delivery to Silo")&gt;0,"EP-3 Cement Supplement Silo Stack:","")</f>
        <v/>
      </c>
      <c r="C141" s="221"/>
      <c r="D141" s="221"/>
      <c r="E141" s="221"/>
      <c r="F141" s="221"/>
      <c r="G141" s="45"/>
      <c r="H141" s="127" t="str">
        <f t="shared" si="40"/>
        <v/>
      </c>
      <c r="I141" s="127" t="str">
        <f t="shared" si="39"/>
        <v/>
      </c>
      <c r="J141" s="82"/>
      <c r="K141" s="61"/>
      <c r="L141" s="156"/>
      <c r="M141" s="219" t="str">
        <f t="shared" si="41"/>
        <v/>
      </c>
      <c r="N141" s="219" t="str">
        <f t="shared" si="42"/>
        <v/>
      </c>
    </row>
    <row r="142" spans="2:14" ht="14.25" customHeight="1" x14ac:dyDescent="0.2">
      <c r="B142" s="45" t="str">
        <f>IF(COUNTIF(J133:J142,"Weigh Hopper Loading")&gt;0,"EP-4 Weigh Hopper Loading Stack:","")</f>
        <v/>
      </c>
      <c r="C142" s="221"/>
      <c r="D142" s="221"/>
      <c r="E142" s="221"/>
      <c r="F142" s="221"/>
      <c r="G142" s="45"/>
      <c r="H142" s="127" t="str">
        <f t="shared" si="40"/>
        <v/>
      </c>
      <c r="I142" s="127" t="str">
        <f t="shared" si="39"/>
        <v/>
      </c>
      <c r="J142" s="82"/>
      <c r="K142" s="61"/>
      <c r="L142" s="156"/>
      <c r="M142" s="219" t="str">
        <f t="shared" si="41"/>
        <v/>
      </c>
      <c r="N142" s="219" t="str">
        <f t="shared" si="42"/>
        <v/>
      </c>
    </row>
    <row r="143" spans="2:14" ht="14.25" customHeight="1" x14ac:dyDescent="0.2">
      <c r="B143" s="45" t="str">
        <f>IF(COUNTIF(J133:J142,"Truck Mix Loading")&gt;0,"EP-5 Truck Mix Loading Stack:","")</f>
        <v/>
      </c>
      <c r="C143" s="221"/>
      <c r="D143" s="221"/>
      <c r="E143" s="221"/>
      <c r="F143" s="221"/>
      <c r="G143" s="45"/>
      <c r="H143" s="45"/>
      <c r="I143" s="45"/>
    </row>
    <row r="144" spans="2:14" ht="14.25" customHeight="1" x14ac:dyDescent="0.2">
      <c r="B144" s="45" t="str">
        <f>IF(COUNTIF(J133:J142,"Central Mix Loading")&gt;0,"EP-6 Central Mix Loading Stack:","")</f>
        <v/>
      </c>
      <c r="C144" s="221"/>
      <c r="D144" s="221"/>
      <c r="E144" s="221"/>
      <c r="F144" s="221"/>
      <c r="H144" s="74" t="str">
        <f>IF('Concrete Plant (CP-9)'!$D$4&gt;7,"Stock Pile Area","")</f>
        <v/>
      </c>
      <c r="I144" s="74"/>
      <c r="J144" s="75"/>
    </row>
    <row r="145" spans="2:14" ht="14.25" customHeight="1" x14ac:dyDescent="0.2">
      <c r="B145" s="73"/>
      <c r="C145" s="163"/>
      <c r="D145" s="163"/>
      <c r="E145" s="163"/>
      <c r="F145" s="176"/>
      <c r="G145" s="76"/>
      <c r="I145" s="51" t="str">
        <f>IF('Concrete Plant (CP-9)'!$D$4&gt;7,"Emission Unit #","")</f>
        <v/>
      </c>
      <c r="J145" s="80" t="str">
        <f>IF('Concrete Plant (CP-9)'!$D$4&gt;7,"Maximum Storage Area (acres)","")</f>
        <v/>
      </c>
      <c r="K145" s="81" t="str">
        <f>IF('Concrete Plant (CP-9)'!$D$4&gt;7,"Actual Storage Area (acres)","")</f>
        <v/>
      </c>
      <c r="L145" s="80" t="str">
        <f>IF('Concrete Plant (CP-9)'!$D$4&gt;7,"Actual Days in Existence (days)","")</f>
        <v/>
      </c>
      <c r="M145" s="146"/>
      <c r="N145" s="146"/>
    </row>
    <row r="146" spans="2:14" ht="14.25" customHeight="1" x14ac:dyDescent="0.2">
      <c r="B146" s="73"/>
      <c r="C146" s="163"/>
      <c r="D146" s="163"/>
      <c r="E146" s="163"/>
      <c r="F146" s="176"/>
      <c r="I146" s="65"/>
      <c r="J146" s="144"/>
      <c r="K146" s="66"/>
      <c r="L146" s="144"/>
      <c r="M146" s="146"/>
      <c r="N146" s="146"/>
    </row>
    <row r="147" spans="2:14" ht="20.25" customHeight="1" x14ac:dyDescent="0.2">
      <c r="B147" s="73"/>
      <c r="C147" s="163"/>
      <c r="D147" s="163"/>
      <c r="E147" s="163"/>
      <c r="F147" s="176"/>
    </row>
    <row r="148" spans="2:14" ht="28.5" customHeight="1" x14ac:dyDescent="0.25">
      <c r="B148" s="78" t="str">
        <f>IF('Concrete Plant (CP-9)'!$D$4&gt;8,"Batch Plant","")</f>
        <v/>
      </c>
      <c r="C148" s="71" t="str">
        <f>IF('Concrete Plant (CP-9)'!$D$4&gt;8,"Site 9","")</f>
        <v/>
      </c>
      <c r="D148" s="71"/>
      <c r="E148" s="71"/>
      <c r="F148" s="71"/>
      <c r="H148" s="310" t="str">
        <f>IF('Concrete Plant (CP-9)'!$D$4&gt;8,"Emission Point #","")</f>
        <v/>
      </c>
      <c r="I148" s="310" t="str">
        <f>IF('Concrete Plant (CP-9)'!$D$4&gt;8,"Emission     Unit #","")</f>
        <v/>
      </c>
      <c r="J148" s="310" t="str">
        <f>IF('Concrete Plant (CP-9)'!$D$4&gt;8,"Processes","")</f>
        <v/>
      </c>
      <c r="K148" s="311" t="str">
        <f>IF('Concrete Plant (CP-9)'!$D$4&gt;8,"Combined Maximum Hourly Design Rate for all Like Processes (cubic yard/hr)","")</f>
        <v/>
      </c>
      <c r="L148" s="310" t="str">
        <f>IF('Concrete Plant (CP-9)'!$D$4&gt;8,('Facility Information'!G5&amp;" Annual Throughput (cubic yards)"),"")</f>
        <v/>
      </c>
      <c r="M148" s="217"/>
      <c r="N148" s="217"/>
    </row>
    <row r="149" spans="2:14" ht="14.25" customHeight="1" x14ac:dyDescent="0.2">
      <c r="B149" s="79" t="str">
        <f>IF('Concrete Plant (CP-9)'!$D$4&gt;8,"Site Name:","")</f>
        <v/>
      </c>
      <c r="C149" s="349"/>
      <c r="D149" s="356"/>
      <c r="E149" s="357"/>
      <c r="F149" s="175"/>
      <c r="G149" s="45"/>
      <c r="H149" s="127" t="str">
        <f>IF(J149="cement delivery to silo","CP-1 EP-2",IF(J149="cement supplement delivery to silo","CP-1 EP-3",IF(J149="weigh hopper loading","CP-1 EP-4",IF(J149="truck mix loading","CP-1 EP-5",IF(J149="central mix loading","CP-1 EP-6",IF(J149="","","CP-1 EP-1"))))))</f>
        <v/>
      </c>
      <c r="I149" s="127" t="str">
        <f t="shared" ref="I149:I158" si="43">IF(J149="","",IF(J149="aggregate delivery to ground storage","CP-9 EU-1",IF(J149="sand delivery to ground storage","CP-9 EU-2",IF(J149="aggregate transfer to conveyor","CP-9 EU-3",IF(J149="sand transfer to conveyor","CP-9 EU-4",IF(J149="aggregate transfer to elevated storage","CP-9 EU-5",IF(J149="sand transfer to elevated storage","CP-9 EU-6",IF(J149="weigh hopper loading","CP-9 EU-7",IF(J149="central mix loading","CP-9 EU-8",IF(J149="truck mix loading","CP-9 EU-9",IF(J149="cement delivery to silo","CP-9 EU-10",IF(J149="cement supplement delivery to silo","CP-9 EU-11"))))))))))))</f>
        <v/>
      </c>
      <c r="J149" s="82"/>
      <c r="K149" s="61"/>
      <c r="L149" s="156"/>
      <c r="M149" s="219" t="str">
        <f>IF(J149="truck mix loading",IF($F$152="yes",L149*0.05/2000,L149/2000),"")</f>
        <v/>
      </c>
      <c r="N149" s="219" t="str">
        <f>IF(J149="central mix loading",IF($F$152="yes",L149*0.05/2000,L149/2000),"")</f>
        <v/>
      </c>
    </row>
    <row r="150" spans="2:14" ht="14.25" customHeight="1" x14ac:dyDescent="0.2">
      <c r="B150" s="79" t="str">
        <f>IF('Concrete Plant (CP-9)'!$D$4&gt;8,"County:","")</f>
        <v/>
      </c>
      <c r="C150" s="339"/>
      <c r="D150" s="342"/>
      <c r="E150" s="343"/>
      <c r="F150" s="175"/>
      <c r="G150" s="45"/>
      <c r="H150" s="127" t="str">
        <f t="shared" ref="H150:H158" si="44">IF(J150="cement delivery to silo","CP-1 EP-2",IF(J150="cement supplement delivery to silo","CP-1 EP-3",IF(J150="weigh hopper loading","CP-1 EP-4",IF(J150="truck mix loading","CP-1 EP-5",IF(J150="central mix loading","CP-1 EP-6",IF(J150="","","CP-1 EP-1"))))))</f>
        <v/>
      </c>
      <c r="I150" s="127" t="str">
        <f t="shared" si="43"/>
        <v/>
      </c>
      <c r="J150" s="82"/>
      <c r="K150" s="61"/>
      <c r="L150" s="156"/>
      <c r="M150" s="219" t="str">
        <f t="shared" ref="M150:M158" si="45">IF(J150="truck mix loading",IF($F$152="yes",L150*0.05/2000,L150/2000),"")</f>
        <v/>
      </c>
      <c r="N150" s="219" t="str">
        <f t="shared" ref="N150:N158" si="46">IF(J150="central mix loading",IF($F$152="yes",L150*0.05/2000,L150/2000),"")</f>
        <v/>
      </c>
    </row>
    <row r="151" spans="2:14" ht="14.25" customHeight="1" x14ac:dyDescent="0.2">
      <c r="B151" s="79" t="str">
        <f>IF('Concrete Plant (CP-9)'!$D$4&gt;8,"Batching Period (Dates):","")</f>
        <v/>
      </c>
      <c r="C151" s="352"/>
      <c r="D151" s="358"/>
      <c r="E151" s="359"/>
      <c r="F151" s="175"/>
      <c r="G151" s="45"/>
      <c r="H151" s="127" t="str">
        <f t="shared" si="44"/>
        <v/>
      </c>
      <c r="I151" s="127" t="str">
        <f t="shared" si="43"/>
        <v/>
      </c>
      <c r="J151" s="82"/>
      <c r="K151" s="61"/>
      <c r="L151" s="156"/>
      <c r="M151" s="219" t="str">
        <f t="shared" si="45"/>
        <v/>
      </c>
      <c r="N151" s="219" t="str">
        <f t="shared" si="46"/>
        <v/>
      </c>
    </row>
    <row r="152" spans="2:14" ht="14.25" customHeight="1" x14ac:dyDescent="0.2">
      <c r="B152" s="51" t="str">
        <f>IF(OR(COUNTIF(J149:J158,"Truck Mix Loading")&gt;0,(COUNTIF(J149:J158,"Central Mix Loading")&gt;0)),"Is the Central/Truck Mix Loading process controlled by a baghouse?","")</f>
        <v/>
      </c>
      <c r="C152" s="51"/>
      <c r="D152" s="51"/>
      <c r="E152" s="51"/>
      <c r="F152" s="221"/>
      <c r="G152" s="45"/>
      <c r="H152" s="127" t="str">
        <f t="shared" si="44"/>
        <v/>
      </c>
      <c r="I152" s="127" t="str">
        <f t="shared" si="43"/>
        <v/>
      </c>
      <c r="J152" s="82"/>
      <c r="K152" s="61"/>
      <c r="L152" s="156"/>
      <c r="M152" s="219" t="str">
        <f t="shared" si="45"/>
        <v/>
      </c>
      <c r="N152" s="219" t="str">
        <f t="shared" si="46"/>
        <v/>
      </c>
    </row>
    <row r="153" spans="2:14" ht="14.25" customHeight="1" x14ac:dyDescent="0.2">
      <c r="F153" s="177"/>
      <c r="G153" s="45"/>
      <c r="H153" s="127" t="str">
        <f t="shared" si="44"/>
        <v/>
      </c>
      <c r="I153" s="127" t="str">
        <f t="shared" si="43"/>
        <v/>
      </c>
      <c r="J153" s="82"/>
      <c r="K153" s="61"/>
      <c r="L153" s="156"/>
      <c r="M153" s="219" t="str">
        <f t="shared" si="45"/>
        <v/>
      </c>
      <c r="N153" s="219" t="str">
        <f t="shared" si="46"/>
        <v/>
      </c>
    </row>
    <row r="154" spans="2:14" ht="29.25" customHeight="1" x14ac:dyDescent="0.2">
      <c r="B154" s="312" t="str">
        <f>IF(AND(B156="",B157="",B158="",B159="",B160=""),"","Process (complete stack information if applicable):")</f>
        <v/>
      </c>
      <c r="C154" s="312" t="str">
        <f>IF(AND(B156="",B157="",B158="",B159="",B160=""),"","Stack Height (ft):")</f>
        <v/>
      </c>
      <c r="D154" s="312" t="str">
        <f>IF(AND(B156="",B157="",B158="",B159="",B160=""),"","Stack Diameter (inches):")</f>
        <v/>
      </c>
      <c r="E154" s="312" t="str">
        <f>IF(AND(B156="",B157="",B158="",B159="",B160=""),"","Flow Rate (acfm):")</f>
        <v/>
      </c>
      <c r="F154" s="312" t="str">
        <f>IF(AND(B156="",B157="",B158="",B159="",B160=""),"","Temp (Deg F):")</f>
        <v/>
      </c>
      <c r="G154" s="45"/>
      <c r="H154" s="127" t="str">
        <f t="shared" si="44"/>
        <v/>
      </c>
      <c r="I154" s="127" t="str">
        <f t="shared" si="43"/>
        <v/>
      </c>
      <c r="J154" s="82"/>
      <c r="K154" s="61"/>
      <c r="L154" s="156"/>
      <c r="M154" s="219" t="str">
        <f t="shared" si="45"/>
        <v/>
      </c>
      <c r="N154" s="219" t="str">
        <f t="shared" si="46"/>
        <v/>
      </c>
    </row>
    <row r="155" spans="2:14" ht="14.25" customHeight="1" x14ac:dyDescent="0.2">
      <c r="B155" s="312"/>
      <c r="C155" s="312"/>
      <c r="D155" s="312"/>
      <c r="E155" s="312"/>
      <c r="F155" s="312"/>
      <c r="G155" s="45"/>
      <c r="H155" s="127" t="str">
        <f t="shared" si="44"/>
        <v/>
      </c>
      <c r="I155" s="127" t="str">
        <f t="shared" si="43"/>
        <v/>
      </c>
      <c r="J155" s="82"/>
      <c r="K155" s="61"/>
      <c r="L155" s="156"/>
      <c r="M155" s="219" t="str">
        <f t="shared" si="45"/>
        <v/>
      </c>
      <c r="N155" s="219" t="str">
        <f t="shared" si="46"/>
        <v/>
      </c>
    </row>
    <row r="156" spans="2:14" ht="14.25" customHeight="1" x14ac:dyDescent="0.2">
      <c r="B156" s="45" t="str">
        <f>IF(COUNTIF(J149:J158,"Cement Delivery to Silo")&gt;0,"EP-2 Cement Silo Stack:","")</f>
        <v/>
      </c>
      <c r="C156" s="221"/>
      <c r="D156" s="221"/>
      <c r="E156" s="221"/>
      <c r="F156" s="221"/>
      <c r="G156" s="45"/>
      <c r="H156" s="127" t="str">
        <f t="shared" si="44"/>
        <v/>
      </c>
      <c r="I156" s="127" t="str">
        <f t="shared" si="43"/>
        <v/>
      </c>
      <c r="J156" s="82"/>
      <c r="K156" s="61"/>
      <c r="L156" s="156"/>
      <c r="M156" s="219" t="str">
        <f t="shared" si="45"/>
        <v/>
      </c>
      <c r="N156" s="219" t="str">
        <f t="shared" si="46"/>
        <v/>
      </c>
    </row>
    <row r="157" spans="2:14" ht="14.25" customHeight="1" x14ac:dyDescent="0.2">
      <c r="B157" s="45" t="str">
        <f>IF(COUNTIF(J149:J158,"Cement Supplement Delivery to Silo")&gt;0,"EP-3 Cement Supplement Silo Stack:","")</f>
        <v/>
      </c>
      <c r="C157" s="221"/>
      <c r="D157" s="221"/>
      <c r="E157" s="221"/>
      <c r="F157" s="221"/>
      <c r="G157" s="45"/>
      <c r="H157" s="127" t="str">
        <f t="shared" si="44"/>
        <v/>
      </c>
      <c r="I157" s="127" t="str">
        <f t="shared" si="43"/>
        <v/>
      </c>
      <c r="J157" s="82"/>
      <c r="K157" s="61"/>
      <c r="L157" s="156"/>
      <c r="M157" s="219" t="str">
        <f t="shared" si="45"/>
        <v/>
      </c>
      <c r="N157" s="219" t="str">
        <f t="shared" si="46"/>
        <v/>
      </c>
    </row>
    <row r="158" spans="2:14" ht="14.25" customHeight="1" x14ac:dyDescent="0.2">
      <c r="B158" s="45" t="str">
        <f>IF(COUNTIF(J149:J158,"Weigh Hopper Loading")&gt;0,"EP-4 Weigh Hopper Loading Stack:","")</f>
        <v/>
      </c>
      <c r="C158" s="221"/>
      <c r="D158" s="221"/>
      <c r="E158" s="221"/>
      <c r="F158" s="221"/>
      <c r="H158" s="127" t="str">
        <f t="shared" si="44"/>
        <v/>
      </c>
      <c r="I158" s="127" t="str">
        <f t="shared" si="43"/>
        <v/>
      </c>
      <c r="J158" s="82"/>
      <c r="K158" s="61"/>
      <c r="L158" s="156"/>
      <c r="M158" s="219" t="str">
        <f t="shared" si="45"/>
        <v/>
      </c>
      <c r="N158" s="219" t="str">
        <f t="shared" si="46"/>
        <v/>
      </c>
    </row>
    <row r="159" spans="2:14" ht="14.25" customHeight="1" x14ac:dyDescent="0.2">
      <c r="B159" s="45" t="str">
        <f>IF(COUNTIF(J149:J158,"Truck Mix Loading")&gt;0,"EP-5 Truck Mix Loading Stack:","")</f>
        <v/>
      </c>
      <c r="C159" s="221"/>
      <c r="D159" s="221"/>
      <c r="E159" s="221"/>
      <c r="F159" s="221"/>
      <c r="G159" s="76"/>
      <c r="H159" s="45"/>
      <c r="I159" s="45"/>
    </row>
    <row r="160" spans="2:14" ht="14.25" customHeight="1" x14ac:dyDescent="0.2">
      <c r="B160" s="45" t="str">
        <f>IF(COUNTIF(J149:J158,"Central Mix Loading")&gt;0,"EP-6 Central Mix Loading Stack:","")</f>
        <v/>
      </c>
      <c r="C160" s="221"/>
      <c r="D160" s="221"/>
      <c r="E160" s="221"/>
      <c r="F160" s="221"/>
      <c r="H160" s="74" t="str">
        <f>IF('Concrete Plant (CP-9)'!$D$4&gt;8,"Stock Pile Area","")</f>
        <v/>
      </c>
      <c r="I160" s="74"/>
      <c r="J160" s="75"/>
    </row>
    <row r="161" spans="2:14" ht="14.25" customHeight="1" x14ac:dyDescent="0.2">
      <c r="B161" s="73"/>
      <c r="C161" s="163"/>
      <c r="D161" s="163"/>
      <c r="E161" s="163"/>
      <c r="F161" s="176"/>
      <c r="I161" s="51" t="str">
        <f>IF('Concrete Plant (CP-9)'!$D$4&gt;8,"Emission Unit #","")</f>
        <v/>
      </c>
      <c r="J161" s="80" t="str">
        <f>IF('Concrete Plant (CP-9)'!$D$4&gt;8,"Maximum Storage Area (acres)","")</f>
        <v/>
      </c>
      <c r="K161" s="81" t="str">
        <f>IF('Concrete Plant (CP-9)'!$D$4&gt;8,"Actual Storage Area (acres)","")</f>
        <v/>
      </c>
      <c r="L161" s="80" t="str">
        <f>IF('Concrete Plant (CP-9)'!$D$4&gt;8,"Actual Days in Existence (days)","")</f>
        <v/>
      </c>
      <c r="M161" s="146"/>
      <c r="N161" s="146"/>
    </row>
    <row r="162" spans="2:14" ht="14.25" customHeight="1" x14ac:dyDescent="0.2">
      <c r="B162" s="73"/>
      <c r="C162" s="163"/>
      <c r="D162" s="163"/>
      <c r="E162" s="163"/>
      <c r="F162" s="176"/>
      <c r="I162" s="65"/>
      <c r="J162" s="144"/>
      <c r="K162" s="66"/>
      <c r="L162" s="144"/>
      <c r="M162" s="146"/>
      <c r="N162" s="146"/>
    </row>
    <row r="163" spans="2:14" ht="14.25" customHeight="1" x14ac:dyDescent="0.2">
      <c r="B163" s="73"/>
      <c r="C163" s="163"/>
      <c r="D163" s="163"/>
      <c r="E163" s="163"/>
      <c r="F163" s="176"/>
    </row>
    <row r="164" spans="2:14" ht="30" customHeight="1" x14ac:dyDescent="0.25">
      <c r="B164" s="78" t="str">
        <f>IF('Concrete Plant (CP-9)'!$D$4&gt;9,"Batch Plant","")</f>
        <v/>
      </c>
      <c r="C164" s="71" t="str">
        <f>IF('Concrete Plant (CP-9)'!$D$4&gt;9,"Site 10","")</f>
        <v/>
      </c>
      <c r="D164" s="71"/>
      <c r="E164" s="71"/>
      <c r="F164" s="71"/>
      <c r="H164" s="310" t="str">
        <f>IF('Concrete Plant (CP-9)'!$D$4&gt;9,"Emission Point #","")</f>
        <v/>
      </c>
      <c r="I164" s="310" t="str">
        <f>IF('Concrete Plant (CP-9)'!$D$4&gt;9,"Emission     Unit #","")</f>
        <v/>
      </c>
      <c r="J164" s="310" t="str">
        <f>IF('Concrete Plant (CP-9)'!$D$4&gt;9,"Processes","")</f>
        <v/>
      </c>
      <c r="K164" s="311" t="str">
        <f>IF('Concrete Plant (CP-9)'!$D$4&gt;9,"Combined Maximum Hourly Design Rate for all Like Processes (cubic yard/hr)","")</f>
        <v/>
      </c>
      <c r="L164" s="310" t="str">
        <f>IF('Concrete Plant (CP-9)'!$D$4&gt;9,('Facility Information'!G5&amp;" Annual Throughput (cubic yards)"),"")</f>
        <v/>
      </c>
      <c r="M164" s="217"/>
      <c r="N164" s="217"/>
    </row>
    <row r="165" spans="2:14" ht="14.25" customHeight="1" x14ac:dyDescent="0.2">
      <c r="B165" s="79" t="str">
        <f>IF('Concrete Plant (CP-9)'!$D$4&gt;9,"Site Name:","")</f>
        <v/>
      </c>
      <c r="C165" s="349"/>
      <c r="D165" s="356"/>
      <c r="E165" s="357"/>
      <c r="F165" s="175"/>
      <c r="H165" s="127" t="str">
        <f>IF(J165="cement delivery to silo","CP-1 EP-2",IF(J165="cement supplement delivery to silo","CP-1 EP-3",IF(J165="weigh hopper loading","CP-1 EP-4",IF(J165="truck mix loading","CP-1 EP-5",IF(J165="central mix loading","CP-1 EP-6",IF(J165="","","CP-1 EP-1"))))))</f>
        <v/>
      </c>
      <c r="I165" s="127" t="str">
        <f t="shared" ref="I165:I174" si="47">IF(J165="","",IF(J165="aggregate delivery to ground storage","CP-9 EU-1",IF(J165="sand delivery to ground storage","CP-9 EU-2",IF(J165="aggregate transfer to conveyor","CP-9 EU-3",IF(J165="sand transfer to conveyor","CP-9 EU-4",IF(J165="aggregate transfer to elevated storage","CP-9 EU-5",IF(J165="sand transfer to elevated storage","CP-9 EU-6",IF(J165="weigh hopper loading","CP-9 EU-7",IF(J165="central mix loading","CP-9 EU-8",IF(J165="truck mix loading","CP-9 EU-9",IF(J165="cement delivery to silo","CP-9 EU-10",IF(J165="cement supplement delivery to silo","CP-9 EU-11"))))))))))))</f>
        <v/>
      </c>
      <c r="J165" s="82"/>
      <c r="K165" s="61"/>
      <c r="L165" s="156"/>
      <c r="M165" s="219" t="str">
        <f>IF(J165="truck mix loading",IF($F$168="yes",L165*0.05/2000,L165/2000),"")</f>
        <v/>
      </c>
      <c r="N165" s="219" t="str">
        <f>IF(J165="central mix loading",IF($F$168="yes",L165*0.05/2000,L165/2000),"")</f>
        <v/>
      </c>
    </row>
    <row r="166" spans="2:14" ht="14.25" customHeight="1" x14ac:dyDescent="0.2">
      <c r="B166" s="79" t="str">
        <f>IF('Concrete Plant (CP-9)'!$D$4&gt;9,"County:","")</f>
        <v/>
      </c>
      <c r="C166" s="339"/>
      <c r="D166" s="342"/>
      <c r="E166" s="343"/>
      <c r="F166" s="175"/>
      <c r="H166" s="127" t="str">
        <f t="shared" ref="H166:H174" si="48">IF(J166="cement delivery to silo","CP-1 EP-2",IF(J166="cement supplement delivery to silo","CP-1 EP-3",IF(J166="weigh hopper loading","CP-1 EP-4",IF(J166="truck mix loading","CP-1 EP-5",IF(J166="central mix loading","CP-1 EP-6",IF(J166="","","CP-1 EP-1"))))))</f>
        <v/>
      </c>
      <c r="I166" s="127" t="str">
        <f t="shared" si="47"/>
        <v/>
      </c>
      <c r="J166" s="82"/>
      <c r="K166" s="61"/>
      <c r="L166" s="156"/>
      <c r="M166" s="219" t="str">
        <f t="shared" ref="M166:M174" si="49">IF(J166="truck mix loading",IF($F$168="yes",L166*0.05/2000,L166/2000),"")</f>
        <v/>
      </c>
      <c r="N166" s="219" t="str">
        <f t="shared" ref="N166:N174" si="50">IF(J166="central mix loading",IF($F$168="yes",L166*0.05/2000,L166/2000),"")</f>
        <v/>
      </c>
    </row>
    <row r="167" spans="2:14" ht="14.25" customHeight="1" x14ac:dyDescent="0.2">
      <c r="B167" s="79" t="str">
        <f>IF('Concrete Plant (CP-9)'!$D$4&gt;9,"Batching Period (Dates):","")</f>
        <v/>
      </c>
      <c r="C167" s="352"/>
      <c r="D167" s="358"/>
      <c r="E167" s="359"/>
      <c r="F167" s="175"/>
      <c r="H167" s="127" t="str">
        <f t="shared" si="48"/>
        <v/>
      </c>
      <c r="I167" s="127" t="str">
        <f t="shared" si="47"/>
        <v/>
      </c>
      <c r="J167" s="82"/>
      <c r="K167" s="61"/>
      <c r="L167" s="156"/>
      <c r="M167" s="219" t="str">
        <f t="shared" si="49"/>
        <v/>
      </c>
      <c r="N167" s="219" t="str">
        <f t="shared" si="50"/>
        <v/>
      </c>
    </row>
    <row r="168" spans="2:14" ht="14.25" customHeight="1" x14ac:dyDescent="0.2">
      <c r="B168" s="51" t="str">
        <f>IF(OR(COUNTIF(J165:J174,"Truck Mix Loading")&gt;0,(COUNTIF(J165:J174,"Central Mix Loading")&gt;0)),"Is the Central/Truck Mix Loading process controlled by a baghouse?","")</f>
        <v/>
      </c>
      <c r="C168" s="51"/>
      <c r="D168" s="51"/>
      <c r="E168" s="51"/>
      <c r="F168" s="221"/>
      <c r="H168" s="127" t="str">
        <f t="shared" si="48"/>
        <v/>
      </c>
      <c r="I168" s="127" t="str">
        <f t="shared" si="47"/>
        <v/>
      </c>
      <c r="J168" s="82"/>
      <c r="K168" s="61"/>
      <c r="L168" s="156"/>
      <c r="M168" s="219" t="str">
        <f t="shared" si="49"/>
        <v/>
      </c>
      <c r="N168" s="219" t="str">
        <f t="shared" si="50"/>
        <v/>
      </c>
    </row>
    <row r="169" spans="2:14" ht="14.25" customHeight="1" x14ac:dyDescent="0.2">
      <c r="F169" s="177"/>
      <c r="H169" s="127" t="str">
        <f t="shared" si="48"/>
        <v/>
      </c>
      <c r="I169" s="127" t="str">
        <f t="shared" si="47"/>
        <v/>
      </c>
      <c r="J169" s="82"/>
      <c r="K169" s="61"/>
      <c r="L169" s="156"/>
      <c r="M169" s="219" t="str">
        <f t="shared" si="49"/>
        <v/>
      </c>
      <c r="N169" s="219" t="str">
        <f t="shared" si="50"/>
        <v/>
      </c>
    </row>
    <row r="170" spans="2:14" ht="29.25" customHeight="1" x14ac:dyDescent="0.2">
      <c r="B170" s="312" t="str">
        <f>IF(AND(B172="",B173="",B174="",B175="",B176=""),"","Process (complete stack information if applicable):")</f>
        <v/>
      </c>
      <c r="C170" s="312" t="str">
        <f>IF(AND(B172="",B173="",B174="",B175="",B176=""),"","Stack Height (ft):")</f>
        <v/>
      </c>
      <c r="D170" s="312" t="str">
        <f>IF(AND(B172="",B173="",B174="",B175="",B176=""),"","Stack Diameter (inches):")</f>
        <v/>
      </c>
      <c r="E170" s="312" t="str">
        <f>IF(AND(B172="",B173="",B174="",B175="",B176=""),"","Flow Rate (acfm):")</f>
        <v/>
      </c>
      <c r="F170" s="312" t="str">
        <f>IF(AND(B172="",B173="",B174="",B175="",B176=""),"","Temp (Deg F):")</f>
        <v/>
      </c>
      <c r="H170" s="127" t="str">
        <f t="shared" si="48"/>
        <v/>
      </c>
      <c r="I170" s="127" t="str">
        <f t="shared" si="47"/>
        <v/>
      </c>
      <c r="J170" s="82"/>
      <c r="K170" s="61"/>
      <c r="L170" s="156"/>
      <c r="M170" s="219" t="str">
        <f t="shared" si="49"/>
        <v/>
      </c>
      <c r="N170" s="219" t="str">
        <f t="shared" si="50"/>
        <v/>
      </c>
    </row>
    <row r="171" spans="2:14" ht="14.25" customHeight="1" x14ac:dyDescent="0.2">
      <c r="B171" s="312"/>
      <c r="C171" s="312"/>
      <c r="D171" s="312"/>
      <c r="E171" s="312"/>
      <c r="F171" s="312"/>
      <c r="H171" s="127" t="str">
        <f t="shared" si="48"/>
        <v/>
      </c>
      <c r="I171" s="127" t="str">
        <f t="shared" si="47"/>
        <v/>
      </c>
      <c r="J171" s="82"/>
      <c r="K171" s="61"/>
      <c r="L171" s="156"/>
      <c r="M171" s="219" t="str">
        <f t="shared" si="49"/>
        <v/>
      </c>
      <c r="N171" s="219" t="str">
        <f t="shared" si="50"/>
        <v/>
      </c>
    </row>
    <row r="172" spans="2:14" ht="14.25" customHeight="1" x14ac:dyDescent="0.2">
      <c r="B172" s="45" t="str">
        <f>IF(COUNTIF(J165:J174,"Cement Delivery to Silo")&gt;0,"EP-2 Cement Silo Stack:","")</f>
        <v/>
      </c>
      <c r="C172" s="221"/>
      <c r="D172" s="221"/>
      <c r="E172" s="221"/>
      <c r="F172" s="221"/>
      <c r="H172" s="127" t="str">
        <f t="shared" si="48"/>
        <v/>
      </c>
      <c r="I172" s="127" t="str">
        <f t="shared" si="47"/>
        <v/>
      </c>
      <c r="J172" s="82"/>
      <c r="K172" s="61"/>
      <c r="L172" s="156"/>
      <c r="M172" s="219" t="str">
        <f t="shared" si="49"/>
        <v/>
      </c>
      <c r="N172" s="219" t="str">
        <f t="shared" si="50"/>
        <v/>
      </c>
    </row>
    <row r="173" spans="2:14" ht="14.25" customHeight="1" x14ac:dyDescent="0.2">
      <c r="B173" s="45" t="str">
        <f>IF(COUNTIF(J165:J174,"Cement Supplement Delivery to Silo")&gt;0,"EP-3 Cement Supplement Silo Stack:","")</f>
        <v/>
      </c>
      <c r="C173" s="221"/>
      <c r="D173" s="221"/>
      <c r="E173" s="221"/>
      <c r="F173" s="221"/>
      <c r="H173" s="127" t="str">
        <f t="shared" si="48"/>
        <v/>
      </c>
      <c r="I173" s="127" t="str">
        <f t="shared" si="47"/>
        <v/>
      </c>
      <c r="J173" s="82"/>
      <c r="K173" s="61"/>
      <c r="L173" s="156"/>
      <c r="M173" s="219" t="str">
        <f t="shared" si="49"/>
        <v/>
      </c>
      <c r="N173" s="219" t="str">
        <f t="shared" si="50"/>
        <v/>
      </c>
    </row>
    <row r="174" spans="2:14" ht="14.25" customHeight="1" x14ac:dyDescent="0.2">
      <c r="B174" s="45" t="str">
        <f>IF(COUNTIF(J165:J174,"Weigh Hopper Loading")&gt;0,"EP-4 Weigh Hopper Loading Stack:","")</f>
        <v/>
      </c>
      <c r="C174" s="221"/>
      <c r="D174" s="221"/>
      <c r="E174" s="221"/>
      <c r="F174" s="221"/>
      <c r="H174" s="127" t="str">
        <f t="shared" si="48"/>
        <v/>
      </c>
      <c r="I174" s="127" t="str">
        <f t="shared" si="47"/>
        <v/>
      </c>
      <c r="J174" s="82"/>
      <c r="K174" s="61"/>
      <c r="L174" s="156"/>
      <c r="M174" s="219" t="str">
        <f t="shared" si="49"/>
        <v/>
      </c>
      <c r="N174" s="219" t="str">
        <f t="shared" si="50"/>
        <v/>
      </c>
    </row>
    <row r="175" spans="2:14" ht="14.25" customHeight="1" x14ac:dyDescent="0.2">
      <c r="B175" s="45" t="str">
        <f>IF(COUNTIF(J165:J174,"Truck Mix Loading")&gt;0,"EP-5 Truck Mix Loading Stack:","")</f>
        <v/>
      </c>
      <c r="C175" s="221"/>
      <c r="D175" s="221"/>
      <c r="E175" s="221"/>
      <c r="F175" s="221"/>
      <c r="H175" s="45"/>
      <c r="I175" s="45"/>
    </row>
    <row r="176" spans="2:14" ht="14.25" customHeight="1" x14ac:dyDescent="0.2">
      <c r="B176" s="45" t="str">
        <f>IF(COUNTIF(J165:J174,"Central Mix Loading")&gt;0,"EP-6 Central Mix Loading Stack:","")</f>
        <v/>
      </c>
      <c r="C176" s="221"/>
      <c r="D176" s="221"/>
      <c r="E176" s="221"/>
      <c r="F176" s="221"/>
      <c r="H176" s="74" t="str">
        <f>IF('Concrete Plant (CP-9)'!$D$4&gt;9,"Stock Pile Area","")</f>
        <v/>
      </c>
      <c r="I176" s="74"/>
      <c r="J176" s="74"/>
      <c r="K176" s="76"/>
      <c r="L176" s="76"/>
      <c r="M176" s="71"/>
      <c r="N176" s="71"/>
    </row>
    <row r="177" spans="2:14" ht="14.25" customHeight="1" x14ac:dyDescent="0.2">
      <c r="B177" s="73"/>
      <c r="C177" s="163"/>
      <c r="D177" s="163"/>
      <c r="E177" s="163"/>
      <c r="F177" s="163"/>
      <c r="I177" s="51" t="str">
        <f>IF('Concrete Plant (CP-9)'!$D$4&gt;9,"Emission Unit #","")</f>
        <v/>
      </c>
      <c r="J177" s="140" t="str">
        <f>IF('Concrete Plant (CP-9)'!$D$4&gt;9,"Maximum Storage Area (acres)","")</f>
        <v/>
      </c>
      <c r="K177" s="81" t="str">
        <f>IF('Concrete Plant (CP-9)'!$D$4&gt;9,"Actual Storage Area (acres)","")</f>
        <v/>
      </c>
      <c r="L177" s="140" t="str">
        <f>IF('Concrete Plant (CP-9)'!$D$4&gt;9,"Actual Days in Existence (days)","")</f>
        <v/>
      </c>
      <c r="M177" s="146"/>
      <c r="N177" s="146"/>
    </row>
    <row r="178" spans="2:14" ht="14.25" customHeight="1" x14ac:dyDescent="0.2">
      <c r="B178" s="73"/>
      <c r="C178" s="163"/>
      <c r="D178" s="163"/>
      <c r="E178" s="163"/>
      <c r="F178" s="163"/>
      <c r="I178" s="65"/>
      <c r="J178" s="144"/>
      <c r="K178" s="66"/>
      <c r="L178" s="144"/>
      <c r="M178" s="146"/>
      <c r="N178" s="146"/>
    </row>
    <row r="179" spans="2:14" ht="14.25" customHeight="1" x14ac:dyDescent="0.2">
      <c r="B179" s="73"/>
      <c r="C179" s="163"/>
      <c r="D179" s="163"/>
      <c r="E179" s="163"/>
      <c r="F179" s="163"/>
    </row>
    <row r="180" spans="2:14" ht="14.25" customHeight="1" x14ac:dyDescent="0.2">
      <c r="M180" s="220">
        <f>SUM(M165:M174,M149:M158,M133:M142,M117:M126,M101:M110,M85:M94,M69:M78,M53:M62,M38:M47,M21:M30)</f>
        <v>0</v>
      </c>
      <c r="N180" s="220">
        <f>SUM(N165:N174,N149:N158,N133:N142,N117:N126,N101:N110,N85:N94,N69:N78,N53:N62,N38:N47,N21:N30)</f>
        <v>0</v>
      </c>
    </row>
  </sheetData>
  <sheetProtection algorithmName="SHA-512" hashValue="W/a4Pd431arqkJME0o9oZEpE+UjiVVmUH41YKGsF+UBMj4r1qfYrUBY9xnV+rVJYNFH+IB2CvPDWlmm8qja0xw==" saltValue="KR0VYTb+z+JHWj7bxCEIJw==" spinCount="100000" sheet="1" objects="1" scenarios="1"/>
  <conditionalFormatting sqref="I49:L49 B38:B40 B53:B55 B69:B71 B85:B87 B101:B103 B117:B119 B133:B135 B149:B151 B165:B167">
    <cfRule type="notContainsBlanks" dxfId="488" priority="246" stopIfTrue="1">
      <formula>LEN(TRIM(B38))&gt;0</formula>
    </cfRule>
  </conditionalFormatting>
  <conditionalFormatting sqref="B37:F37">
    <cfRule type="notContainsBlanks" dxfId="487" priority="247" stopIfTrue="1">
      <formula>LEN(TRIM(B37))&gt;0</formula>
    </cfRule>
  </conditionalFormatting>
  <conditionalFormatting sqref="I65:L65">
    <cfRule type="notContainsBlanks" dxfId="486" priority="245" stopIfTrue="1">
      <formula>LEN(TRIM(I65))&gt;0</formula>
    </cfRule>
  </conditionalFormatting>
  <conditionalFormatting sqref="B52:F52">
    <cfRule type="notContainsBlanks" dxfId="485" priority="248" stopIfTrue="1">
      <formula>LEN(TRIM(B52))&gt;0</formula>
    </cfRule>
  </conditionalFormatting>
  <conditionalFormatting sqref="I81:L81">
    <cfRule type="notContainsBlanks" dxfId="484" priority="242" stopIfTrue="1">
      <formula>LEN(TRIM(I81))&gt;0</formula>
    </cfRule>
  </conditionalFormatting>
  <conditionalFormatting sqref="B68:F68">
    <cfRule type="notContainsBlanks" dxfId="483" priority="243" stopIfTrue="1">
      <formula>LEN(TRIM(B68))&gt;0</formula>
    </cfRule>
  </conditionalFormatting>
  <conditionalFormatting sqref="I97:L97">
    <cfRule type="notContainsBlanks" dxfId="482" priority="240" stopIfTrue="1">
      <formula>LEN(TRIM(I97))&gt;0</formula>
    </cfRule>
  </conditionalFormatting>
  <conditionalFormatting sqref="B84:F84">
    <cfRule type="notContainsBlanks" dxfId="481" priority="241" stopIfTrue="1">
      <formula>LEN(TRIM(B84))&gt;0</formula>
    </cfRule>
  </conditionalFormatting>
  <conditionalFormatting sqref="I113:L113">
    <cfRule type="notContainsBlanks" dxfId="480" priority="238" stopIfTrue="1">
      <formula>LEN(TRIM(I113))&gt;0</formula>
    </cfRule>
  </conditionalFormatting>
  <conditionalFormatting sqref="B100:F100">
    <cfRule type="notContainsBlanks" dxfId="479" priority="239" stopIfTrue="1">
      <formula>LEN(TRIM(B100))&gt;0</formula>
    </cfRule>
  </conditionalFormatting>
  <conditionalFormatting sqref="I129:L129">
    <cfRule type="notContainsBlanks" dxfId="478" priority="236" stopIfTrue="1">
      <formula>LEN(TRIM(I129))&gt;0</formula>
    </cfRule>
  </conditionalFormatting>
  <conditionalFormatting sqref="B116:F116">
    <cfRule type="notContainsBlanks" dxfId="477" priority="237" stopIfTrue="1">
      <formula>LEN(TRIM(B116))&gt;0</formula>
    </cfRule>
  </conditionalFormatting>
  <conditionalFormatting sqref="I145:L145">
    <cfRule type="notContainsBlanks" dxfId="476" priority="234" stopIfTrue="1">
      <formula>LEN(TRIM(I145))&gt;0</formula>
    </cfRule>
  </conditionalFormatting>
  <conditionalFormatting sqref="B132:F132">
    <cfRule type="notContainsBlanks" dxfId="475" priority="235" stopIfTrue="1">
      <formula>LEN(TRIM(B132))&gt;0</formula>
    </cfRule>
  </conditionalFormatting>
  <conditionalFormatting sqref="I161:L161">
    <cfRule type="notContainsBlanks" dxfId="474" priority="232" stopIfTrue="1">
      <formula>LEN(TRIM(I161))&gt;0</formula>
    </cfRule>
  </conditionalFormatting>
  <conditionalFormatting sqref="B148:F148">
    <cfRule type="notContainsBlanks" dxfId="473" priority="233" stopIfTrue="1">
      <formula>LEN(TRIM(B148))&gt;0</formula>
    </cfRule>
  </conditionalFormatting>
  <conditionalFormatting sqref="I177:L177">
    <cfRule type="notContainsBlanks" dxfId="472" priority="231" stopIfTrue="1">
      <formula>LEN(TRIM(I177))&gt;0</formula>
    </cfRule>
  </conditionalFormatting>
  <conditionalFormatting sqref="I65:L66 H52 H63:L64 K54:L60 J54:J62 B57:F57 G50:G60 J52:L53 B52:F55">
    <cfRule type="cellIs" dxfId="471" priority="244" stopIfTrue="1" operator="equal">
      <formula>$B$52="batch plant"</formula>
    </cfRule>
  </conditionalFormatting>
  <conditionalFormatting sqref="I81:L82 H68 H79:L80 K70:L76 J70:J78 G63:G74 J68:L69 B68:F71">
    <cfRule type="cellIs" dxfId="470" priority="249" stopIfTrue="1" operator="equal">
      <formula>$B$68="batch plant"</formula>
    </cfRule>
  </conditionalFormatting>
  <conditionalFormatting sqref="I97:L98 H84 H95:L96 K86:L92 J86:J94 G77:G88 J84:L85 B84:F87">
    <cfRule type="cellIs" dxfId="469" priority="250" stopIfTrue="1" operator="equal">
      <formula>$B$84="batch plant"</formula>
    </cfRule>
  </conditionalFormatting>
  <conditionalFormatting sqref="I113:L114 H111:L112 G91:G99 G100:H100 H99 K102:L108 J102:J110 G101:G102 B105:F105 J100:L101 B100:F103">
    <cfRule type="cellIs" dxfId="468" priority="251" stopIfTrue="1" operator="equal">
      <formula>$B$100="batch plant"</formula>
    </cfRule>
  </conditionalFormatting>
  <conditionalFormatting sqref="I129:L130 H116 G105:G116 H127:L128 K118:L124 J118:J126 J116:L117 B116:F119">
    <cfRule type="cellIs" dxfId="467" priority="252" stopIfTrue="1" operator="equal">
      <formula>$B$116="batch plant"</formula>
    </cfRule>
  </conditionalFormatting>
  <conditionalFormatting sqref="I145:L146 H132 G119:G131 H143:L144 K134:L140 J134:J142 J132:L133 B132:F135">
    <cfRule type="cellIs" dxfId="466" priority="253" stopIfTrue="1" operator="equal">
      <formula>$B$132="batch plant"</formula>
    </cfRule>
  </conditionalFormatting>
  <conditionalFormatting sqref="I161:L162 H148 G133:G146 H159:L160 K150:L156 J150:J158 J148:L149 B148:F151">
    <cfRule type="cellIs" dxfId="465" priority="254" stopIfTrue="1" operator="equal">
      <formula>$B$148="batch plant"</formula>
    </cfRule>
  </conditionalFormatting>
  <conditionalFormatting sqref="I37">
    <cfRule type="cellIs" dxfId="464" priority="230" stopIfTrue="1" operator="equal">
      <formula>$B$37="crusher plant"</formula>
    </cfRule>
  </conditionalFormatting>
  <conditionalFormatting sqref="I52">
    <cfRule type="cellIs" dxfId="463" priority="229" stopIfTrue="1" operator="equal">
      <formula>$B$37="crusher plant"</formula>
    </cfRule>
  </conditionalFormatting>
  <conditionalFormatting sqref="I68">
    <cfRule type="cellIs" dxfId="462" priority="228" stopIfTrue="1" operator="equal">
      <formula>$B$37="crusher plant"</formula>
    </cfRule>
  </conditionalFormatting>
  <conditionalFormatting sqref="I84">
    <cfRule type="cellIs" dxfId="461" priority="227" stopIfTrue="1" operator="equal">
      <formula>$B$37="crusher plant"</formula>
    </cfRule>
  </conditionalFormatting>
  <conditionalFormatting sqref="I100">
    <cfRule type="cellIs" dxfId="460" priority="226" stopIfTrue="1" operator="equal">
      <formula>$B$37="crusher plant"</formula>
    </cfRule>
  </conditionalFormatting>
  <conditionalFormatting sqref="I116">
    <cfRule type="cellIs" dxfId="459" priority="225" stopIfTrue="1" operator="equal">
      <formula>$B$37="crusher plant"</formula>
    </cfRule>
  </conditionalFormatting>
  <conditionalFormatting sqref="I132">
    <cfRule type="cellIs" dxfId="458" priority="224" stopIfTrue="1" operator="equal">
      <formula>$B$37="crusher plant"</formula>
    </cfRule>
  </conditionalFormatting>
  <conditionalFormatting sqref="I148">
    <cfRule type="cellIs" dxfId="457" priority="223" stopIfTrue="1" operator="equal">
      <formula>$B$37="crusher plant"</formula>
    </cfRule>
  </conditionalFormatting>
  <conditionalFormatting sqref="I164">
    <cfRule type="cellIs" dxfId="456" priority="222" stopIfTrue="1" operator="equal">
      <formula>$B$37="crusher plant"</formula>
    </cfRule>
  </conditionalFormatting>
  <conditionalFormatting sqref="I21:I30">
    <cfRule type="notContainsBlanks" dxfId="455" priority="221">
      <formula>LEN(TRIM(I21))&gt;0</formula>
    </cfRule>
  </conditionalFormatting>
  <conditionalFormatting sqref="I38:I47">
    <cfRule type="expression" dxfId="454" priority="220">
      <formula>$B$37="batch plant"</formula>
    </cfRule>
  </conditionalFormatting>
  <conditionalFormatting sqref="I53:I62">
    <cfRule type="expression" dxfId="453" priority="219">
      <formula>$B$52="batch plant"</formula>
    </cfRule>
  </conditionalFormatting>
  <conditionalFormatting sqref="I69:I78">
    <cfRule type="expression" dxfId="452" priority="218">
      <formula>$B$68="batch plant"</formula>
    </cfRule>
  </conditionalFormatting>
  <conditionalFormatting sqref="I85:I94">
    <cfRule type="expression" dxfId="451" priority="217">
      <formula>$B$84="batch plant"</formula>
    </cfRule>
  </conditionalFormatting>
  <conditionalFormatting sqref="I101:I110">
    <cfRule type="expression" dxfId="450" priority="216">
      <formula>$B$100="batch plant"</formula>
    </cfRule>
  </conditionalFormatting>
  <conditionalFormatting sqref="I117:I126">
    <cfRule type="expression" dxfId="449" priority="215">
      <formula>$B$116="batch plant"</formula>
    </cfRule>
  </conditionalFormatting>
  <conditionalFormatting sqref="I133:I142">
    <cfRule type="expression" dxfId="448" priority="214">
      <formula>$B$132="batch plant"</formula>
    </cfRule>
  </conditionalFormatting>
  <conditionalFormatting sqref="I149:I158">
    <cfRule type="expression" dxfId="447" priority="213">
      <formula>$B$148="batch plant"</formula>
    </cfRule>
  </conditionalFormatting>
  <conditionalFormatting sqref="I165:I174">
    <cfRule type="expression" dxfId="446" priority="212">
      <formula>$B$164="batch plant"</formula>
    </cfRule>
  </conditionalFormatting>
  <conditionalFormatting sqref="C74:F75">
    <cfRule type="notContainsBlanks" dxfId="445" priority="110">
      <formula>LEN(TRIM(C74))&gt;0</formula>
    </cfRule>
  </conditionalFormatting>
  <conditionalFormatting sqref="B74:B75">
    <cfRule type="notContainsBlanks" dxfId="444" priority="109">
      <formula>LEN(TRIM(B74))&gt;0</formula>
    </cfRule>
  </conditionalFormatting>
  <conditionalFormatting sqref="J38:L47 I50:L50 C38:F40">
    <cfRule type="cellIs" dxfId="443" priority="204" operator="equal">
      <formula>$B$37="batch plant"</formula>
    </cfRule>
  </conditionalFormatting>
  <conditionalFormatting sqref="K61:L62">
    <cfRule type="cellIs" dxfId="442" priority="203" stopIfTrue="1" operator="equal">
      <formula>$B$52="batch plant"</formula>
    </cfRule>
  </conditionalFormatting>
  <conditionalFormatting sqref="B77:B80">
    <cfRule type="notContainsBlanks" dxfId="441" priority="102">
      <formula>LEN(TRIM(B77))&gt;0</formula>
    </cfRule>
  </conditionalFormatting>
  <conditionalFormatting sqref="C90:F91">
    <cfRule type="notContainsBlanks" dxfId="440" priority="100">
      <formula>LEN(TRIM(C90))&gt;0</formula>
    </cfRule>
  </conditionalFormatting>
  <conditionalFormatting sqref="K77:L78">
    <cfRule type="cellIs" dxfId="439" priority="197" stopIfTrue="1" operator="equal">
      <formula>$B$68="batch plant"</formula>
    </cfRule>
  </conditionalFormatting>
  <conditionalFormatting sqref="K93:L94">
    <cfRule type="cellIs" dxfId="438" priority="191" stopIfTrue="1" operator="equal">
      <formula>$B$84="batch plant"</formula>
    </cfRule>
  </conditionalFormatting>
  <conditionalFormatting sqref="B92">
    <cfRule type="notContainsBlanks" dxfId="437" priority="91">
      <formula>LEN(TRIM(B92))&gt;0</formula>
    </cfRule>
  </conditionalFormatting>
  <conditionalFormatting sqref="C106:F107">
    <cfRule type="notContainsBlanks" dxfId="436" priority="90">
      <formula>LEN(TRIM(C106))&gt;0</formula>
    </cfRule>
  </conditionalFormatting>
  <conditionalFormatting sqref="B106:B107">
    <cfRule type="notContainsBlanks" dxfId="435" priority="89">
      <formula>LEN(TRIM(B106))&gt;0</formula>
    </cfRule>
  </conditionalFormatting>
  <conditionalFormatting sqref="K109:L110">
    <cfRule type="cellIs" dxfId="434" priority="185" stopIfTrue="1" operator="equal">
      <formula>$B$100="batch plant"</formula>
    </cfRule>
  </conditionalFormatting>
  <conditionalFormatting sqref="K125:L126">
    <cfRule type="cellIs" dxfId="433" priority="180" stopIfTrue="1" operator="equal">
      <formula>$B$116="batch plant"</formula>
    </cfRule>
  </conditionalFormatting>
  <conditionalFormatting sqref="C122:F123">
    <cfRule type="notContainsBlanks" dxfId="432" priority="80">
      <formula>LEN(TRIM(C122))&gt;0</formula>
    </cfRule>
  </conditionalFormatting>
  <conditionalFormatting sqref="K141:L142">
    <cfRule type="cellIs" dxfId="431" priority="172" stopIfTrue="1" operator="equal">
      <formula>$B$132="batch plant"</formula>
    </cfRule>
  </conditionalFormatting>
  <conditionalFormatting sqref="B125:B128">
    <cfRule type="notContainsBlanks" dxfId="430" priority="72">
      <formula>LEN(TRIM(B125))&gt;0</formula>
    </cfRule>
  </conditionalFormatting>
  <conditionalFormatting sqref="B124">
    <cfRule type="notContainsBlanks" dxfId="429" priority="71">
      <formula>LEN(TRIM(B124))&gt;0</formula>
    </cfRule>
  </conditionalFormatting>
  <conditionalFormatting sqref="C138:F139">
    <cfRule type="notContainsBlanks" dxfId="428" priority="70">
      <formula>LEN(TRIM(C138))&gt;0</formula>
    </cfRule>
  </conditionalFormatting>
  <conditionalFormatting sqref="K157:L158">
    <cfRule type="cellIs" dxfId="427" priority="166" stopIfTrue="1" operator="equal">
      <formula>$B$148="batch plant"</formula>
    </cfRule>
  </conditionalFormatting>
  <conditionalFormatting sqref="B140">
    <cfRule type="notContainsBlanks" dxfId="426" priority="61">
      <formula>LEN(TRIM(B140))&gt;0</formula>
    </cfRule>
  </conditionalFormatting>
  <conditionalFormatting sqref="C154:F155">
    <cfRule type="notContainsBlanks" dxfId="425" priority="60">
      <formula>LEN(TRIM(C154))&gt;0</formula>
    </cfRule>
  </conditionalFormatting>
  <conditionalFormatting sqref="B154:B155">
    <cfRule type="notContainsBlanks" dxfId="424" priority="59">
      <formula>LEN(TRIM(B154))&gt;0</formula>
    </cfRule>
  </conditionalFormatting>
  <conditionalFormatting sqref="B164:F164">
    <cfRule type="notContainsBlanks" dxfId="423" priority="256" stopIfTrue="1">
      <formula>LEN(TRIM(B164))&gt;0</formula>
    </cfRule>
  </conditionalFormatting>
  <conditionalFormatting sqref="B164:F164">
    <cfRule type="cellIs" dxfId="422" priority="155" stopIfTrue="1" operator="equal">
      <formula>$B$148="batch plant"</formula>
    </cfRule>
  </conditionalFormatting>
  <conditionalFormatting sqref="J165:L165 J174:L174 K166:L172 J166:J173 F165:F167">
    <cfRule type="cellIs" dxfId="421" priority="154" stopIfTrue="1" operator="equal">
      <formula>$B$164="batch plant"</formula>
    </cfRule>
  </conditionalFormatting>
  <conditionalFormatting sqref="K173:L173">
    <cfRule type="cellIs" dxfId="420" priority="153" stopIfTrue="1" operator="equal">
      <formula>$B$164="batch plant"</formula>
    </cfRule>
  </conditionalFormatting>
  <conditionalFormatting sqref="I178:L178">
    <cfRule type="cellIs" dxfId="419" priority="152" stopIfTrue="1" operator="equal">
      <formula>$B$164="batch plant"</formula>
    </cfRule>
  </conditionalFormatting>
  <conditionalFormatting sqref="C165:E167">
    <cfRule type="cellIs" dxfId="418" priority="151" stopIfTrue="1" operator="equal">
      <formula>$B$164="batch plant"</formula>
    </cfRule>
  </conditionalFormatting>
  <conditionalFormatting sqref="H21:H30">
    <cfRule type="notContainsBlanks" dxfId="417" priority="149">
      <formula>LEN(TRIM(H21))&gt;0</formula>
    </cfRule>
  </conditionalFormatting>
  <conditionalFormatting sqref="H38:H47">
    <cfRule type="expression" dxfId="416" priority="148">
      <formula>$B$37="batch plant"</formula>
    </cfRule>
  </conditionalFormatting>
  <conditionalFormatting sqref="H53:H62">
    <cfRule type="expression" dxfId="415" priority="147">
      <formula>$B$52="batch plant"</formula>
    </cfRule>
  </conditionalFormatting>
  <conditionalFormatting sqref="H69:H78">
    <cfRule type="expression" dxfId="414" priority="146">
      <formula>$B$68="batch plant"</formula>
    </cfRule>
  </conditionalFormatting>
  <conditionalFormatting sqref="H85:H94">
    <cfRule type="expression" dxfId="413" priority="145">
      <formula>$B$84="batch plant"</formula>
    </cfRule>
  </conditionalFormatting>
  <conditionalFormatting sqref="H101:H110">
    <cfRule type="expression" dxfId="412" priority="144">
      <formula>$B$100="batch plant"</formula>
    </cfRule>
  </conditionalFormatting>
  <conditionalFormatting sqref="H117:H126">
    <cfRule type="expression" dxfId="411" priority="143">
      <formula>$B$116="batch plant"</formula>
    </cfRule>
  </conditionalFormatting>
  <conditionalFormatting sqref="H133:H142">
    <cfRule type="expression" dxfId="410" priority="142">
      <formula>$B$132="batch plant"</formula>
    </cfRule>
  </conditionalFormatting>
  <conditionalFormatting sqref="H149:H158">
    <cfRule type="expression" dxfId="409" priority="141">
      <formula>$B$148="batch plant"</formula>
    </cfRule>
  </conditionalFormatting>
  <conditionalFormatting sqref="H165:H174">
    <cfRule type="expression" dxfId="408" priority="140">
      <formula>$B$164="batch plant"</formula>
    </cfRule>
  </conditionalFormatting>
  <conditionalFormatting sqref="B29:B32">
    <cfRule type="notContainsBlanks" dxfId="407" priority="136">
      <formula>LEN(TRIM(B29))&gt;0</formula>
    </cfRule>
  </conditionalFormatting>
  <conditionalFormatting sqref="B28">
    <cfRule type="notContainsBlanks" dxfId="406" priority="135">
      <formula>LEN(TRIM(B28))&gt;0</formula>
    </cfRule>
  </conditionalFormatting>
  <conditionalFormatting sqref="C28:F28">
    <cfRule type="cellIs" dxfId="405" priority="134" operator="equal">
      <formula>$B$28=""</formula>
    </cfRule>
  </conditionalFormatting>
  <conditionalFormatting sqref="C29:F29">
    <cfRule type="cellIs" dxfId="404" priority="133" operator="equal">
      <formula>$B$29=""</formula>
    </cfRule>
  </conditionalFormatting>
  <conditionalFormatting sqref="C31:F31">
    <cfRule type="cellIs" dxfId="403" priority="132" operator="equal">
      <formula>$B$31=""</formula>
    </cfRule>
  </conditionalFormatting>
  <conditionalFormatting sqref="C26:F27">
    <cfRule type="notContainsBlanks" dxfId="402" priority="137">
      <formula>LEN(TRIM(C26))&gt;0</formula>
    </cfRule>
  </conditionalFormatting>
  <conditionalFormatting sqref="B26:B27">
    <cfRule type="notContainsBlanks" dxfId="401" priority="131">
      <formula>LEN(TRIM(B26))&gt;0</formula>
    </cfRule>
  </conditionalFormatting>
  <conditionalFormatting sqref="C28:F32">
    <cfRule type="notContainsBlanks" dxfId="400" priority="130">
      <formula>LEN(TRIM(C28))&gt;0</formula>
    </cfRule>
  </conditionalFormatting>
  <conditionalFormatting sqref="C32:F32">
    <cfRule type="cellIs" dxfId="399" priority="138" operator="equal">
      <formula>$B$32=""</formula>
    </cfRule>
  </conditionalFormatting>
  <conditionalFormatting sqref="C30:F30">
    <cfRule type="cellIs" dxfId="398" priority="139" operator="equal">
      <formula>$B$30=""</formula>
    </cfRule>
  </conditionalFormatting>
  <conditionalFormatting sqref="B43:F44">
    <cfRule type="notContainsBlanks" dxfId="397" priority="129">
      <formula>LEN(TRIM(B43))&gt;0</formula>
    </cfRule>
  </conditionalFormatting>
  <conditionalFormatting sqref="C45:F45">
    <cfRule type="cellIs" dxfId="396" priority="128" operator="equal">
      <formula>$B$45=""</formula>
    </cfRule>
  </conditionalFormatting>
  <conditionalFormatting sqref="C46:F46">
    <cfRule type="cellIs" dxfId="395" priority="127" operator="equal">
      <formula>$B$46=""</formula>
    </cfRule>
  </conditionalFormatting>
  <conditionalFormatting sqref="C47:F47">
    <cfRule type="cellIs" dxfId="394" priority="126" operator="equal">
      <formula>$B$47=""</formula>
    </cfRule>
  </conditionalFormatting>
  <conditionalFormatting sqref="C48:F48">
    <cfRule type="cellIs" dxfId="393" priority="125" operator="equal">
      <formula>$B$48=""</formula>
    </cfRule>
  </conditionalFormatting>
  <conditionalFormatting sqref="C49:F49">
    <cfRule type="cellIs" dxfId="392" priority="124" operator="equal">
      <formula>$B$49=""</formula>
    </cfRule>
  </conditionalFormatting>
  <conditionalFormatting sqref="C45:F49">
    <cfRule type="notContainsBlanks" dxfId="391" priority="123">
      <formula>LEN(TRIM(C45))&gt;0</formula>
    </cfRule>
  </conditionalFormatting>
  <conditionalFormatting sqref="B46:B49">
    <cfRule type="notContainsBlanks" dxfId="390" priority="122">
      <formula>LEN(TRIM(B46))&gt;0</formula>
    </cfRule>
  </conditionalFormatting>
  <conditionalFormatting sqref="B45">
    <cfRule type="notContainsBlanks" dxfId="389" priority="121">
      <formula>LEN(TRIM(B45))&gt;0</formula>
    </cfRule>
  </conditionalFormatting>
  <conditionalFormatting sqref="B61:B64">
    <cfRule type="notContainsBlanks" dxfId="388" priority="112">
      <formula>LEN(TRIM(B61))&gt;0</formula>
    </cfRule>
  </conditionalFormatting>
  <conditionalFormatting sqref="B60">
    <cfRule type="notContainsBlanks" dxfId="387" priority="111">
      <formula>LEN(TRIM(B60))&gt;0</formula>
    </cfRule>
  </conditionalFormatting>
  <conditionalFormatting sqref="C58:F59">
    <cfRule type="notContainsBlanks" dxfId="386" priority="120">
      <formula>LEN(TRIM(C58))&gt;0</formula>
    </cfRule>
  </conditionalFormatting>
  <conditionalFormatting sqref="B58:B59">
    <cfRule type="notContainsBlanks" dxfId="385" priority="119">
      <formula>LEN(TRIM(B58))&gt;0</formula>
    </cfRule>
  </conditionalFormatting>
  <conditionalFormatting sqref="C60:F60">
    <cfRule type="cellIs" dxfId="384" priority="118" operator="equal">
      <formula>$B$60=""</formula>
    </cfRule>
  </conditionalFormatting>
  <conditionalFormatting sqref="C61:F61">
    <cfRule type="cellIs" dxfId="383" priority="117" operator="equal">
      <formula>$B$61=""</formula>
    </cfRule>
  </conditionalFormatting>
  <conditionalFormatting sqref="C62:F62">
    <cfRule type="cellIs" dxfId="382" priority="116" operator="equal">
      <formula>$B$62=""</formula>
    </cfRule>
  </conditionalFormatting>
  <conditionalFormatting sqref="C63:F63">
    <cfRule type="cellIs" dxfId="381" priority="115" operator="equal">
      <formula>$B$63=""</formula>
    </cfRule>
  </conditionalFormatting>
  <conditionalFormatting sqref="C64:F64">
    <cfRule type="cellIs" dxfId="380" priority="114" operator="equal">
      <formula>$B$64=""</formula>
    </cfRule>
  </conditionalFormatting>
  <conditionalFormatting sqref="C60:F64">
    <cfRule type="notContainsBlanks" dxfId="379" priority="113">
      <formula>LEN(TRIM(C60))&gt;0</formula>
    </cfRule>
  </conditionalFormatting>
  <conditionalFormatting sqref="B76">
    <cfRule type="notContainsBlanks" dxfId="378" priority="101">
      <formula>LEN(TRIM(B76))&gt;0</formula>
    </cfRule>
  </conditionalFormatting>
  <conditionalFormatting sqref="C76:F76">
    <cfRule type="cellIs" dxfId="377" priority="108" operator="equal">
      <formula>$B$76=""</formula>
    </cfRule>
  </conditionalFormatting>
  <conditionalFormatting sqref="C77:F77">
    <cfRule type="cellIs" dxfId="376" priority="107" operator="equal">
      <formula>$B$77=""</formula>
    </cfRule>
  </conditionalFormatting>
  <conditionalFormatting sqref="C78:F78">
    <cfRule type="cellIs" dxfId="375" priority="106" operator="equal">
      <formula>$B$78=""</formula>
    </cfRule>
  </conditionalFormatting>
  <conditionalFormatting sqref="C79:F79">
    <cfRule type="cellIs" dxfId="374" priority="105" operator="equal">
      <formula>$B$79=""</formula>
    </cfRule>
  </conditionalFormatting>
  <conditionalFormatting sqref="C80:F80">
    <cfRule type="cellIs" dxfId="373" priority="104" operator="equal">
      <formula>$B$80=""</formula>
    </cfRule>
  </conditionalFormatting>
  <conditionalFormatting sqref="C76:F80">
    <cfRule type="notContainsBlanks" dxfId="372" priority="103">
      <formula>LEN(TRIM(C76))&gt;0</formula>
    </cfRule>
  </conditionalFormatting>
  <conditionalFormatting sqref="B90:B91">
    <cfRule type="notContainsBlanks" dxfId="371" priority="99">
      <formula>LEN(TRIM(B90))&gt;0</formula>
    </cfRule>
  </conditionalFormatting>
  <conditionalFormatting sqref="C92:F92">
    <cfRule type="cellIs" dxfId="370" priority="98" operator="equal">
      <formula>$B$92=""</formula>
    </cfRule>
  </conditionalFormatting>
  <conditionalFormatting sqref="C93:F93">
    <cfRule type="cellIs" dxfId="369" priority="97" operator="equal">
      <formula>$B$93=""</formula>
    </cfRule>
  </conditionalFormatting>
  <conditionalFormatting sqref="C94:F94">
    <cfRule type="cellIs" dxfId="368" priority="96" operator="equal">
      <formula>$B$94=""</formula>
    </cfRule>
  </conditionalFormatting>
  <conditionalFormatting sqref="C95:F95">
    <cfRule type="cellIs" dxfId="367" priority="95" operator="equal">
      <formula>$B$95=""</formula>
    </cfRule>
  </conditionalFormatting>
  <conditionalFormatting sqref="C96:F96">
    <cfRule type="cellIs" dxfId="366" priority="94" operator="equal">
      <formula>$B$96=""</formula>
    </cfRule>
  </conditionalFormatting>
  <conditionalFormatting sqref="C92:F96">
    <cfRule type="notContainsBlanks" dxfId="365" priority="93">
      <formula>LEN(TRIM(C92))&gt;0</formula>
    </cfRule>
  </conditionalFormatting>
  <conditionalFormatting sqref="B93:B96">
    <cfRule type="notContainsBlanks" dxfId="364" priority="92">
      <formula>LEN(TRIM(B93))&gt;0</formula>
    </cfRule>
  </conditionalFormatting>
  <conditionalFormatting sqref="B109:B112">
    <cfRule type="notContainsBlanks" dxfId="363" priority="82">
      <formula>LEN(TRIM(B109))&gt;0</formula>
    </cfRule>
  </conditionalFormatting>
  <conditionalFormatting sqref="B108">
    <cfRule type="notContainsBlanks" dxfId="362" priority="81">
      <formula>LEN(TRIM(B108))&gt;0</formula>
    </cfRule>
  </conditionalFormatting>
  <conditionalFormatting sqref="C108:F108">
    <cfRule type="cellIs" dxfId="361" priority="88" operator="equal">
      <formula>$B$108=""</formula>
    </cfRule>
  </conditionalFormatting>
  <conditionalFormatting sqref="C109:F109">
    <cfRule type="cellIs" dxfId="360" priority="87" operator="equal">
      <formula>$B$109=""</formula>
    </cfRule>
  </conditionalFormatting>
  <conditionalFormatting sqref="C110:F110">
    <cfRule type="cellIs" dxfId="359" priority="86" operator="equal">
      <formula>$B$110=""</formula>
    </cfRule>
  </conditionalFormatting>
  <conditionalFormatting sqref="C111:F111">
    <cfRule type="cellIs" dxfId="358" priority="85" operator="equal">
      <formula>$B$111=""</formula>
    </cfRule>
  </conditionalFormatting>
  <conditionalFormatting sqref="C112:F112">
    <cfRule type="cellIs" dxfId="357" priority="84" operator="equal">
      <formula>$B$112=""</formula>
    </cfRule>
  </conditionalFormatting>
  <conditionalFormatting sqref="C108:F112">
    <cfRule type="notContainsBlanks" dxfId="356" priority="83">
      <formula>LEN(TRIM(C108))&gt;0</formula>
    </cfRule>
  </conditionalFormatting>
  <conditionalFormatting sqref="B122:B123">
    <cfRule type="notContainsBlanks" dxfId="355" priority="79">
      <formula>LEN(TRIM(B122))&gt;0</formula>
    </cfRule>
  </conditionalFormatting>
  <conditionalFormatting sqref="C124:F124">
    <cfRule type="cellIs" dxfId="354" priority="78" operator="equal">
      <formula>$B$124=""</formula>
    </cfRule>
  </conditionalFormatting>
  <conditionalFormatting sqref="C125:F125">
    <cfRule type="cellIs" dxfId="353" priority="77" operator="equal">
      <formula>$B$125=""</formula>
    </cfRule>
  </conditionalFormatting>
  <conditionalFormatting sqref="C126:F126">
    <cfRule type="cellIs" dxfId="352" priority="76" operator="equal">
      <formula>$B$126=""</formula>
    </cfRule>
  </conditionalFormatting>
  <conditionalFormatting sqref="C127:F127">
    <cfRule type="cellIs" dxfId="351" priority="75" operator="equal">
      <formula>$B$127=""</formula>
    </cfRule>
  </conditionalFormatting>
  <conditionalFormatting sqref="C128:F128">
    <cfRule type="cellIs" dxfId="350" priority="74" operator="equal">
      <formula>$B$128=""</formula>
    </cfRule>
  </conditionalFormatting>
  <conditionalFormatting sqref="C124:F128">
    <cfRule type="notContainsBlanks" dxfId="349" priority="73">
      <formula>LEN(TRIM(C124))&gt;0</formula>
    </cfRule>
  </conditionalFormatting>
  <conditionalFormatting sqref="B138:B139">
    <cfRule type="notContainsBlanks" dxfId="348" priority="69">
      <formula>LEN(TRIM(B138))&gt;0</formula>
    </cfRule>
  </conditionalFormatting>
  <conditionalFormatting sqref="C140:F140">
    <cfRule type="cellIs" dxfId="347" priority="68" operator="equal">
      <formula>$B$140=""</formula>
    </cfRule>
  </conditionalFormatting>
  <conditionalFormatting sqref="C141:F141">
    <cfRule type="cellIs" dxfId="346" priority="67" operator="equal">
      <formula>$B$141=""</formula>
    </cfRule>
  </conditionalFormatting>
  <conditionalFormatting sqref="C142:F142">
    <cfRule type="cellIs" dxfId="345" priority="66" operator="equal">
      <formula>$B$142=""</formula>
    </cfRule>
  </conditionalFormatting>
  <conditionalFormatting sqref="C143:F143">
    <cfRule type="cellIs" dxfId="344" priority="65" operator="equal">
      <formula>$B$143=""</formula>
    </cfRule>
  </conditionalFormatting>
  <conditionalFormatting sqref="C144:F144">
    <cfRule type="cellIs" dxfId="343" priority="64" operator="equal">
      <formula>$B$144=""</formula>
    </cfRule>
  </conditionalFormatting>
  <conditionalFormatting sqref="C140:F144">
    <cfRule type="notContainsBlanks" dxfId="342" priority="63">
      <formula>LEN(TRIM(C140))&gt;0</formula>
    </cfRule>
  </conditionalFormatting>
  <conditionalFormatting sqref="B141:B144">
    <cfRule type="notContainsBlanks" dxfId="341" priority="62">
      <formula>LEN(TRIM(B141))&gt;0</formula>
    </cfRule>
  </conditionalFormatting>
  <conditionalFormatting sqref="C156:F156">
    <cfRule type="cellIs" dxfId="340" priority="58" operator="equal">
      <formula>$B$156=""</formula>
    </cfRule>
  </conditionalFormatting>
  <conditionalFormatting sqref="C157:F157">
    <cfRule type="cellIs" dxfId="339" priority="57" operator="equal">
      <formula>$B$157=""</formula>
    </cfRule>
  </conditionalFormatting>
  <conditionalFormatting sqref="C158:F158">
    <cfRule type="cellIs" dxfId="338" priority="56" operator="equal">
      <formula>$B$158=""</formula>
    </cfRule>
  </conditionalFormatting>
  <conditionalFormatting sqref="C159:F159">
    <cfRule type="cellIs" dxfId="337" priority="55" operator="equal">
      <formula>$B$159=""</formula>
    </cfRule>
  </conditionalFormatting>
  <conditionalFormatting sqref="C160:F160">
    <cfRule type="cellIs" dxfId="336" priority="54" operator="equal">
      <formula>$B$160=""</formula>
    </cfRule>
  </conditionalFormatting>
  <conditionalFormatting sqref="C156:F160">
    <cfRule type="notContainsBlanks" dxfId="335" priority="53">
      <formula>LEN(TRIM(C156))&gt;0</formula>
    </cfRule>
  </conditionalFormatting>
  <conditionalFormatting sqref="B157:B160">
    <cfRule type="notContainsBlanks" dxfId="334" priority="52">
      <formula>LEN(TRIM(B157))&gt;0</formula>
    </cfRule>
  </conditionalFormatting>
  <conditionalFormatting sqref="B156">
    <cfRule type="notContainsBlanks" dxfId="333" priority="51">
      <formula>LEN(TRIM(B156))&gt;0</formula>
    </cfRule>
  </conditionalFormatting>
  <conditionalFormatting sqref="B173:B176">
    <cfRule type="notContainsBlanks" dxfId="332" priority="42">
      <formula>LEN(TRIM(B173))&gt;0</formula>
    </cfRule>
  </conditionalFormatting>
  <conditionalFormatting sqref="C170:F171">
    <cfRule type="notContainsBlanks" dxfId="331" priority="50">
      <formula>LEN(TRIM(C170))&gt;0</formula>
    </cfRule>
  </conditionalFormatting>
  <conditionalFormatting sqref="B170:B171">
    <cfRule type="notContainsBlanks" dxfId="330" priority="49">
      <formula>LEN(TRIM(B170))&gt;0</formula>
    </cfRule>
  </conditionalFormatting>
  <conditionalFormatting sqref="C172:F172">
    <cfRule type="cellIs" dxfId="329" priority="48" operator="equal">
      <formula>$B$172=""</formula>
    </cfRule>
  </conditionalFormatting>
  <conditionalFormatting sqref="C173:F173">
    <cfRule type="cellIs" dxfId="328" priority="47" operator="equal">
      <formula>$B$173=""</formula>
    </cfRule>
  </conditionalFormatting>
  <conditionalFormatting sqref="C174:F174">
    <cfRule type="cellIs" dxfId="327" priority="46" operator="equal">
      <formula>$B$174=""</formula>
    </cfRule>
  </conditionalFormatting>
  <conditionalFormatting sqref="C175:F175">
    <cfRule type="cellIs" dxfId="326" priority="45" operator="equal">
      <formula>$B$175=""</formula>
    </cfRule>
  </conditionalFormatting>
  <conditionalFormatting sqref="C176:F176">
    <cfRule type="cellIs" dxfId="325" priority="44" operator="equal">
      <formula>$B$176=""</formula>
    </cfRule>
  </conditionalFormatting>
  <conditionalFormatting sqref="C172:F176">
    <cfRule type="notContainsBlanks" dxfId="324" priority="43">
      <formula>LEN(TRIM(C172))&gt;0</formula>
    </cfRule>
  </conditionalFormatting>
  <conditionalFormatting sqref="B172">
    <cfRule type="notContainsBlanks" dxfId="323" priority="41">
      <formula>LEN(TRIM(B172))&gt;0</formula>
    </cfRule>
  </conditionalFormatting>
  <conditionalFormatting sqref="F24">
    <cfRule type="cellIs" dxfId="322" priority="38" operator="equal">
      <formula>$B$24=""</formula>
    </cfRule>
  </conditionalFormatting>
  <conditionalFormatting sqref="B24:E24">
    <cfRule type="notContainsBlanks" dxfId="321" priority="257">
      <formula>LEN(TRIM(B24))&gt;0</formula>
    </cfRule>
  </conditionalFormatting>
  <conditionalFormatting sqref="F41">
    <cfRule type="cellIs" dxfId="320" priority="35" operator="equal">
      <formula>$B$41=""</formula>
    </cfRule>
  </conditionalFormatting>
  <conditionalFormatting sqref="B41:E41">
    <cfRule type="notContainsBlanks" dxfId="319" priority="37">
      <formula>LEN(TRIM(B41))&gt;0</formula>
    </cfRule>
  </conditionalFormatting>
  <conditionalFormatting sqref="F56">
    <cfRule type="cellIs" dxfId="318" priority="32" operator="equal">
      <formula>$B$56=""</formula>
    </cfRule>
  </conditionalFormatting>
  <conditionalFormatting sqref="B56:E56">
    <cfRule type="notContainsBlanks" dxfId="317" priority="34">
      <formula>LEN(TRIM(B56))&gt;0</formula>
    </cfRule>
  </conditionalFormatting>
  <conditionalFormatting sqref="F72">
    <cfRule type="cellIs" dxfId="316" priority="29" operator="equal">
      <formula>$B$72=""</formula>
    </cfRule>
  </conditionalFormatting>
  <conditionalFormatting sqref="B72:E72">
    <cfRule type="notContainsBlanks" dxfId="315" priority="31">
      <formula>LEN(TRIM(B72))&gt;0</formula>
    </cfRule>
  </conditionalFormatting>
  <conditionalFormatting sqref="F88">
    <cfRule type="cellIs" dxfId="314" priority="26" operator="equal">
      <formula>$B$88=""</formula>
    </cfRule>
  </conditionalFormatting>
  <conditionalFormatting sqref="B88:E88">
    <cfRule type="notContainsBlanks" dxfId="313" priority="28">
      <formula>LEN(TRIM(B88))&gt;0</formula>
    </cfRule>
  </conditionalFormatting>
  <conditionalFormatting sqref="F104">
    <cfRule type="cellIs" dxfId="312" priority="23" operator="equal">
      <formula>$B$104=""</formula>
    </cfRule>
  </conditionalFormatting>
  <conditionalFormatting sqref="B104:E104">
    <cfRule type="notContainsBlanks" dxfId="311" priority="25">
      <formula>LEN(TRIM(B104))&gt;0</formula>
    </cfRule>
  </conditionalFormatting>
  <conditionalFormatting sqref="F120">
    <cfRule type="cellIs" dxfId="310" priority="20" operator="equal">
      <formula>$B$120=""</formula>
    </cfRule>
  </conditionalFormatting>
  <conditionalFormatting sqref="B120:E120">
    <cfRule type="notContainsBlanks" dxfId="309" priority="22">
      <formula>LEN(TRIM(B120))&gt;0</formula>
    </cfRule>
  </conditionalFormatting>
  <conditionalFormatting sqref="F136">
    <cfRule type="cellIs" dxfId="308" priority="17" operator="equal">
      <formula>$B$136=""</formula>
    </cfRule>
  </conditionalFormatting>
  <conditionalFormatting sqref="B136:E136">
    <cfRule type="notContainsBlanks" dxfId="307" priority="19">
      <formula>LEN(TRIM(B136))&gt;0</formula>
    </cfRule>
  </conditionalFormatting>
  <conditionalFormatting sqref="F152">
    <cfRule type="cellIs" dxfId="306" priority="14" operator="equal">
      <formula>$B$152=""</formula>
    </cfRule>
  </conditionalFormatting>
  <conditionalFormatting sqref="B152:E152">
    <cfRule type="notContainsBlanks" dxfId="305" priority="16">
      <formula>LEN(TRIM(B152))&gt;0</formula>
    </cfRule>
  </conditionalFormatting>
  <conditionalFormatting sqref="F168">
    <cfRule type="cellIs" dxfId="304" priority="11" operator="equal">
      <formula>$B$168=""</formula>
    </cfRule>
  </conditionalFormatting>
  <conditionalFormatting sqref="B168:E168">
    <cfRule type="notContainsBlanks" dxfId="303" priority="13">
      <formula>LEN(TRIM(B168))&gt;0</formula>
    </cfRule>
  </conditionalFormatting>
  <dataValidations count="3">
    <dataValidation type="list" allowBlank="1" showInputMessage="1" showErrorMessage="1" sqref="J21:J30 J38:J47 J53:J62 J69:J78 J85:J94 J101:J110 J117:J126 J133:J142 J149:J158 J165:J174" xr:uid="{00000000-0002-0000-0900-000000000000}">
      <formula1>ConcreteProcesses</formula1>
    </dataValidation>
    <dataValidation type="whole" allowBlank="1" showInputMessage="1" showErrorMessage="1" sqref="C18:F18 D4 G5" xr:uid="{00000000-0002-0000-0900-000001000000}">
      <formula1>0</formula1>
      <formula2>100</formula2>
    </dataValidation>
    <dataValidation type="list" allowBlank="1" showInputMessage="1" showErrorMessage="1" sqref="F24 F41 F56 F72 F88 F104 F120 F136 F152 F168" xr:uid="{00000000-0002-0000-0900-000002000000}">
      <formula1>CHECK</formula1>
    </dataValidation>
  </dataValidations>
  <pageMargins left="0.25" right="0.25" top="0.75" bottom="0.75" header="0.3" footer="0.3"/>
  <pageSetup scale="65" fitToHeight="0" orientation="landscape" verticalDpi="300" r:id="rId1"/>
  <legacyDrawing r:id="rId2"/>
  <extLst>
    <ext xmlns:x14="http://schemas.microsoft.com/office/spreadsheetml/2009/9/main" uri="{78C0D931-6437-407d-A8EE-F0AAD7539E65}">
      <x14:conditionalFormattings>
        <x14:conditionalFormatting xmlns:xm="http://schemas.microsoft.com/office/excel/2006/main">
          <x14:cfRule type="notContainsBlanks" priority="39" id="{7EA8DD61-778F-4028-9819-7621D0BC2F08}">
            <xm:f>LEN(TRIM('Concrete Plant (CP-3)'!F57))&gt;0</xm:f>
            <x14:dxf>
              <fill>
                <patternFill>
                  <bgColor rgb="FFFFFF99"/>
                </patternFill>
              </fill>
              <border>
                <left style="thin">
                  <color auto="1"/>
                </left>
                <right style="thin">
                  <color auto="1"/>
                </right>
                <top style="thin">
                  <color auto="1"/>
                </top>
                <bottom style="thin">
                  <color auto="1"/>
                </bottom>
                <vertical/>
                <horizontal/>
              </border>
            </x14:dxf>
          </x14:cfRule>
          <xm:sqref>F168 F152 F56 F72 F88 F120 F136 F104</xm:sqref>
        </x14:conditionalFormatting>
        <x14:conditionalFormatting xmlns:xm="http://schemas.microsoft.com/office/excel/2006/main">
          <x14:cfRule type="notContainsBlanks" priority="4" stopIfTrue="1" id="{8F80CE48-489C-45F7-A40A-98CE6F4F8243}">
            <xm:f>LEN(TRIM('Concrete Plant (CP-1)'!M177))&gt;0</xm:f>
            <x14:dxf>
              <border>
                <left style="thin">
                  <color indexed="64"/>
                </left>
                <right style="thin">
                  <color indexed="64"/>
                </right>
                <top style="thin">
                  <color indexed="64"/>
                </top>
                <bottom style="thin">
                  <color indexed="64"/>
                </bottom>
              </border>
            </x14:dxf>
          </x14:cfRule>
          <xm:sqref>M177:N177</xm:sqref>
        </x14:conditionalFormatting>
        <x14:conditionalFormatting xmlns:xm="http://schemas.microsoft.com/office/excel/2006/main">
          <x14:cfRule type="cellIs" priority="3" stopIfTrue="1" operator="equal" id="{53AE61D8-86F6-403C-B984-21FB5DCC1DF6}">
            <xm:f>'Concrete Plant (CP-1)'!$B$51="batch plant"</xm:f>
            <x14:dxf>
              <fill>
                <patternFill patternType="none">
                  <bgColor indexed="65"/>
                </patternFill>
              </fill>
              <border>
                <left/>
                <right/>
                <top/>
                <bottom/>
              </border>
            </x14:dxf>
          </x14:cfRule>
          <xm:sqref>M63:N66 M52:N52</xm:sqref>
        </x14:conditionalFormatting>
        <x14:conditionalFormatting xmlns:xm="http://schemas.microsoft.com/office/excel/2006/main">
          <x14:cfRule type="cellIs" priority="5" stopIfTrue="1" operator="equal" id="{48DD1D57-28DF-474B-A9FA-0632B60ECF23}">
            <xm:f>'Concrete Plant (CP-1)'!$B$67="batch plant"</xm:f>
            <x14:dxf>
              <fill>
                <patternFill patternType="none">
                  <bgColor indexed="65"/>
                </patternFill>
              </fill>
              <border>
                <left/>
                <right/>
                <top/>
                <bottom/>
              </border>
            </x14:dxf>
          </x14:cfRule>
          <xm:sqref>M79:N82 M68:N68</xm:sqref>
        </x14:conditionalFormatting>
        <x14:conditionalFormatting xmlns:xm="http://schemas.microsoft.com/office/excel/2006/main">
          <x14:cfRule type="cellIs" priority="6" stopIfTrue="1" operator="equal" id="{28469FDE-B2DC-4ADD-A5EF-9CD1786916FB}">
            <xm:f>'Concrete Plant (CP-1)'!$B$83="batch plant"</xm:f>
            <x14:dxf>
              <fill>
                <patternFill patternType="none">
                  <bgColor indexed="65"/>
                </patternFill>
              </fill>
              <border>
                <left/>
                <right/>
                <top/>
                <bottom/>
              </border>
            </x14:dxf>
          </x14:cfRule>
          <xm:sqref>M95:N98 M84:N84</xm:sqref>
        </x14:conditionalFormatting>
        <x14:conditionalFormatting xmlns:xm="http://schemas.microsoft.com/office/excel/2006/main">
          <x14:cfRule type="cellIs" priority="7" stopIfTrue="1" operator="equal" id="{7F4825ED-18EE-425C-9BF9-49D124E8F2C4}">
            <xm:f>'Concrete Plant (CP-1)'!$B$99="batch plant"</xm:f>
            <x14:dxf>
              <fill>
                <patternFill patternType="none">
                  <bgColor indexed="65"/>
                </patternFill>
              </fill>
              <border>
                <left/>
                <right/>
                <top/>
                <bottom/>
              </border>
            </x14:dxf>
          </x14:cfRule>
          <xm:sqref>M111:N114 M100:N100</xm:sqref>
        </x14:conditionalFormatting>
        <x14:conditionalFormatting xmlns:xm="http://schemas.microsoft.com/office/excel/2006/main">
          <x14:cfRule type="cellIs" priority="8" stopIfTrue="1" operator="equal" id="{78A042DD-8A19-455D-BBB5-979D0B846435}">
            <xm:f>'Concrete Plant (CP-1)'!$B$115="batch plant"</xm:f>
            <x14:dxf>
              <fill>
                <patternFill patternType="none">
                  <bgColor indexed="65"/>
                </patternFill>
              </fill>
              <border>
                <left/>
                <right/>
                <top/>
                <bottom/>
              </border>
            </x14:dxf>
          </x14:cfRule>
          <xm:sqref>M127:N130 M116:N116</xm:sqref>
        </x14:conditionalFormatting>
        <x14:conditionalFormatting xmlns:xm="http://schemas.microsoft.com/office/excel/2006/main">
          <x14:cfRule type="cellIs" priority="9" stopIfTrue="1" operator="equal" id="{740A8639-57BA-4158-A083-1690766D16A4}">
            <xm:f>'Concrete Plant (CP-1)'!$B$131="batch plant"</xm:f>
            <x14:dxf>
              <fill>
                <patternFill patternType="none">
                  <bgColor indexed="65"/>
                </patternFill>
              </fill>
              <border>
                <left/>
                <right/>
                <top/>
                <bottom/>
              </border>
            </x14:dxf>
          </x14:cfRule>
          <xm:sqref>M143:N146 M132:N132</xm:sqref>
        </x14:conditionalFormatting>
        <x14:conditionalFormatting xmlns:xm="http://schemas.microsoft.com/office/excel/2006/main">
          <x14:cfRule type="cellIs" priority="10" stopIfTrue="1" operator="equal" id="{55F54A46-0642-4EAA-963D-EDC554C11E15}">
            <xm:f>'Concrete Plant (CP-1)'!$B$147="batch plant"</xm:f>
            <x14:dxf>
              <fill>
                <patternFill patternType="none">
                  <bgColor indexed="65"/>
                </patternFill>
              </fill>
              <border>
                <left/>
                <right/>
                <top/>
                <bottom/>
              </border>
            </x14:dxf>
          </x14:cfRule>
          <xm:sqref>M159:N162 M148:N148</xm:sqref>
        </x14:conditionalFormatting>
        <x14:conditionalFormatting xmlns:xm="http://schemas.microsoft.com/office/excel/2006/main">
          <x14:cfRule type="cellIs" priority="1" stopIfTrue="1" operator="equal" id="{D5A59ACB-F205-4A04-B9A9-24F983B3BD3B}">
            <xm:f>'Concrete Plant (CP-1)'!$B$164="batch plant"</xm:f>
            <x14:dxf>
              <fill>
                <patternFill patternType="none">
                  <bgColor indexed="65"/>
                </patternFill>
              </fill>
              <border>
                <left/>
                <right/>
                <top/>
                <bottom/>
              </border>
            </x14:dxf>
          </x14:cfRule>
          <xm:sqref>M178:N178</xm:sqref>
        </x14:conditionalFormatting>
        <x14:conditionalFormatting xmlns:xm="http://schemas.microsoft.com/office/excel/2006/main">
          <x14:cfRule type="notContainsBlanks" priority="1330" stopIfTrue="1" id="{8F80CE48-489C-45F7-A40A-98CE6F4F8243}">
            <xm:f>LEN(TRIM('Concrete Plant (CP-1)'!#REF!))&gt;0</xm:f>
            <x14:dxf>
              <border>
                <left style="thin">
                  <color indexed="64"/>
                </left>
                <right style="thin">
                  <color indexed="64"/>
                </right>
                <top style="thin">
                  <color indexed="64"/>
                </top>
                <bottom style="thin">
                  <color indexed="64"/>
                </bottom>
              </border>
            </x14:dxf>
          </x14:cfRule>
          <xm:sqref>M50:N50</xm:sqref>
        </x14:conditionalFormatting>
        <x14:conditionalFormatting xmlns:xm="http://schemas.microsoft.com/office/excel/2006/main">
          <x14:cfRule type="notContainsBlanks" priority="3341" stopIfTrue="1" id="{8F80CE48-489C-45F7-A40A-98CE6F4F8243}">
            <xm:f>LEN(TRIM('Concrete Plant (CP-1)'!M64))&gt;0</xm:f>
            <x14:dxf>
              <border>
                <left style="thin">
                  <color indexed="64"/>
                </left>
                <right style="thin">
                  <color indexed="64"/>
                </right>
                <top style="thin">
                  <color indexed="64"/>
                </top>
                <bottom style="thin">
                  <color indexed="64"/>
                </bottom>
              </border>
            </x14:dxf>
          </x14:cfRule>
          <xm:sqref>M161:N161 M113:N113 M129:N129 M145:N145 M65:N65 M81:N81 M97:N97</xm:sqref>
        </x14:conditionalFormatting>
        <x14:conditionalFormatting xmlns:xm="http://schemas.microsoft.com/office/excel/2006/main">
          <x14:cfRule type="notContainsBlanks" priority="7684" id="{7EA8DD61-778F-4028-9819-7621D0BC2F08}">
            <xm:f>LEN(TRIM('Concrete Plant (CP-3)'!F24))&gt;0</xm:f>
            <x14:dxf>
              <fill>
                <patternFill>
                  <bgColor rgb="FFFFFF99"/>
                </patternFill>
              </fill>
              <border>
                <left style="thin">
                  <color auto="1"/>
                </left>
                <right style="thin">
                  <color auto="1"/>
                </right>
                <top style="thin">
                  <color auto="1"/>
                </top>
                <bottom style="thin">
                  <color auto="1"/>
                </bottom>
                <vertical/>
                <horizontal/>
              </border>
            </x14:dxf>
          </x14:cfRule>
          <xm:sqref>F41 F24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W180"/>
  <sheetViews>
    <sheetView topLeftCell="B4" workbookViewId="0">
      <selection activeCell="D9" sqref="D9"/>
    </sheetView>
  </sheetViews>
  <sheetFormatPr defaultColWidth="8.85546875" defaultRowHeight="14.25" customHeight="1" x14ac:dyDescent="0.2"/>
  <cols>
    <col min="1" max="1" width="12.7109375" style="67" hidden="1" customWidth="1"/>
    <col min="2" max="2" width="31.85546875" style="67" customWidth="1"/>
    <col min="3" max="3" width="9.42578125" style="67" customWidth="1"/>
    <col min="4" max="4" width="11.5703125" style="67" customWidth="1"/>
    <col min="5" max="5" width="9.42578125" style="67" customWidth="1"/>
    <col min="6" max="6" width="11.140625" style="67" customWidth="1"/>
    <col min="7" max="7" width="2.85546875" style="67" customWidth="1"/>
    <col min="8" max="8" width="13.85546875" style="67" customWidth="1"/>
    <col min="9" max="9" width="14" style="67" customWidth="1"/>
    <col min="10" max="10" width="31.140625" style="67" customWidth="1"/>
    <col min="11" max="11" width="37.85546875" style="67" customWidth="1"/>
    <col min="12" max="12" width="27.42578125" style="67" customWidth="1"/>
    <col min="13" max="13" width="6.28515625" style="177" hidden="1" customWidth="1"/>
    <col min="14" max="14" width="7.42578125" style="177" hidden="1" customWidth="1"/>
    <col min="15" max="15" width="7" style="67" customWidth="1"/>
    <col min="16" max="16" width="31.28515625" style="67" customWidth="1"/>
    <col min="17" max="17" width="18.140625" style="67" customWidth="1"/>
    <col min="18" max="18" width="16.7109375" style="67" customWidth="1"/>
    <col min="19" max="19" width="18" style="67" hidden="1" customWidth="1"/>
    <col min="20" max="21" width="16.42578125" style="67" hidden="1" customWidth="1"/>
    <col min="22" max="22" width="16.28515625" style="67" customWidth="1"/>
    <col min="23" max="23" width="0" style="67" hidden="1" customWidth="1"/>
    <col min="24" max="16384" width="8.85546875" style="67"/>
  </cols>
  <sheetData>
    <row r="1" spans="2:21" ht="14.25" customHeight="1" x14ac:dyDescent="0.2">
      <c r="B1" s="322" t="s">
        <v>220</v>
      </c>
      <c r="C1" s="322"/>
      <c r="D1" s="313"/>
      <c r="E1" s="313"/>
      <c r="F1" s="169"/>
    </row>
    <row r="2" spans="2:21" ht="14.25" customHeight="1" x14ac:dyDescent="0.25">
      <c r="B2" s="325" t="s">
        <v>37</v>
      </c>
      <c r="C2" s="326"/>
      <c r="D2" s="326"/>
      <c r="E2" s="326"/>
      <c r="F2" s="178"/>
      <c r="J2" s="31"/>
      <c r="L2" s="323" t="s">
        <v>144</v>
      </c>
      <c r="M2" s="216"/>
      <c r="N2" s="216"/>
      <c r="P2" s="68" t="s">
        <v>255</v>
      </c>
      <c r="Q2" s="68"/>
      <c r="R2" s="68"/>
      <c r="S2" s="68"/>
    </row>
    <row r="3" spans="2:21" ht="21" customHeight="1" x14ac:dyDescent="0.2">
      <c r="P3" s="317" t="s">
        <v>0</v>
      </c>
      <c r="Q3" s="309" t="s">
        <v>242</v>
      </c>
      <c r="R3" s="309" t="s">
        <v>243</v>
      </c>
    </row>
    <row r="4" spans="2:21" ht="14.25" customHeight="1" x14ac:dyDescent="0.2">
      <c r="B4" s="180" t="str">
        <f>"Number of Sites this Plant operated at in "&amp;'Facility Information'!G5&amp;":"</f>
        <v>Number of Sites this Plant operated at in :</v>
      </c>
      <c r="C4" s="181"/>
      <c r="D4" s="184"/>
      <c r="F4" s="173"/>
      <c r="I4" s="146"/>
      <c r="P4" s="90" t="s">
        <v>191</v>
      </c>
      <c r="Q4" s="110">
        <f ca="1">MAX((IFERROR(OFFSET($J$20,MATCH("Aggregate Delivery to Ground Storage",$J$21:$J$30,0),1),0)),((IFERROR((OFFSET($J$36,MATCH("Aggregate Delivery to Ground Storage",$J$37:$J$46,0),1)),0))),((IFERROR((OFFSET($J$51,MATCH("Aggregate Delivery to Ground Storage",$J$52:$J$61,0),1)),0))),((IFERROR((OFFSET($J$67,MATCH("Aggregate Delivery to Ground Storage",$J$68:$J$77,0),1)),0))),((IFERROR((OFFSET($J$83,MATCH("Aggregate Delivery to Ground Storage",$J$84:$J$93,0),1)),0))),((IFERROR((OFFSET($J$99,MATCH("Aggregate Delivery to Ground Storage",$J$100:$J$109,0),1)),0))),((IFERROR((OFFSET($J$115,MATCH("Aggregate Delivery to Ground Storage",$J$116:$J$125,0),1)),0))),((IFERROR((OFFSET($J$131,MATCH("Aggregate Delivery to Ground Storage",$J$132:$J$141,0),1)),0))),((IFERROR((OFFSET($J$147,MATCH("Aggregate Delivery to Ground Storage",$J$148:$J$157,0),1)),0))),((IFERROR((OFFSET($J$164,MATCH("Aggregate Delivery to Ground Storage",$J$165:$J$174,0),1)),0))))</f>
        <v>0</v>
      </c>
      <c r="R4" s="110">
        <f ca="1">SUM((IFERROR(OFFSET($J$20,MATCH("Aggregate Delivery to Ground Storage",$J$21:$J$30,0),2),0)),((IFERROR((OFFSET($J$36,MATCH("Aggregate Delivery to Ground Storage",$J$37:$J$46,0),2)),0))),((IFERROR((OFFSET($J$51,MATCH("Aggregate Delivery to Ground Storage",$J$52:$J$61,0),2)),0))),((IFERROR((OFFSET($J$67,MATCH("Aggregate Delivery to Ground Storage",$J$68:$J$77,0),2)),0))),((IFERROR((OFFSET($J$83,MATCH("Aggregate Delivery to Ground Storage",$J$84:$J$93,0),2)),0))),((IFERROR((OFFSET($J$99,MATCH("Aggregate Delivery to Ground Storage",$J$100:$J$109,0),2)),0))),((IFERROR((OFFSET($J$115,MATCH("Aggregate Delivery to Ground Storage",$J$116:$J$125,0),2)),0))),((IFERROR((OFFSET($J$131,MATCH("Aggregate Delivery to Ground Storage",$J$132:$J$141,0),2)),0))),((IFERROR((OFFSET($J$147,MATCH("Aggregate Delivery to Ground Storage",$J$148:$J$157,0),2)),0))),((IFERROR((OFFSET($J$164,MATCH("Aggregate Delivery to Ground Storage",$J$165:$J$174,0),2)),0))))</f>
        <v>0</v>
      </c>
      <c r="S4" s="386" t="s">
        <v>252</v>
      </c>
      <c r="T4" s="386"/>
      <c r="U4" s="386"/>
    </row>
    <row r="5" spans="2:21" ht="14.25" customHeight="1" x14ac:dyDescent="0.2">
      <c r="B5" s="83"/>
      <c r="C5" s="83"/>
      <c r="D5" s="83"/>
      <c r="E5" s="83"/>
      <c r="F5" s="83"/>
      <c r="G5" s="146"/>
      <c r="H5" s="146"/>
      <c r="I5" s="146"/>
      <c r="P5" s="90" t="s">
        <v>192</v>
      </c>
      <c r="Q5" s="110">
        <f ca="1">MAX((IFERROR(OFFSET($J$20,MATCH("Sand Delivery to Ground Storage",$J$21:$J$30,0),1),0)),((IFERROR((OFFSET($J$36,MATCH("Sand Delivery to Ground Storage",$J$37:$J$46,0),1)),0))),((IFERROR((OFFSET($J$51,MATCH("Sand Delivery to Ground Storage",$J$52:$J$61,0),1)),0))),((IFERROR((OFFSET($J$67,MATCH("Sand Delivery to Ground Storage",$J$68:$J$77,0),1)),0))),((IFERROR((OFFSET($J$83,MATCH("Sand Delivery to Ground Storage",$J$84:$J$93,0),1)),0))),((IFERROR((OFFSET($J$99,MATCH("Sand Delivery to Ground Storage",$J$100:$J$109,0),1)),0))),((IFERROR((OFFSET($J$115,MATCH("Sand Delivery to Ground Storage",$J$116:$J$125,0),1)),0))),((IFERROR((OFFSET($J$131,MATCH("Sand Delivery to Ground Storage",$J$132:$J$141,0),1)),0))),((IFERROR((OFFSET($J$147,MATCH("Sand Delivery to Ground Storage",$J$148:$J$157,0),1)),0))),((IFERROR((OFFSET($J$164,MATCH("Sand Delivery to Ground Storage",$J$165:$J$174,0),1)),0))))</f>
        <v>0</v>
      </c>
      <c r="R5" s="110">
        <f ca="1">SUM((IFERROR(OFFSET($J$20,MATCH("Sand Delivery to Ground Storage",$J$21:$J$30,0),2),0)),((IFERROR((OFFSET($J$36,MATCH("Sand Delivery to Ground Storage",$J$37:$J$46,0),2)),0))),((IFERROR((OFFSET($J$51,MATCH("Sand Delivery to Ground Storage",$J$52:$J$61,0),2)),0))),((IFERROR((OFFSET($J$67,MATCH("Sand Delivery to Ground Storage",$J$68:$J$77,0),2)),0))),((IFERROR((OFFSET($J$83,MATCH("Sand Delivery to Ground Storage",$J$84:$J$93,0),2)),0))),((IFERROR((OFFSET($J$99,MATCH("Sand Delivery to Ground Storage",$J$100:$J$109,0),2)),0))),((IFERROR((OFFSET($J$115,MATCH("Sand Delivery to Ground Storage",$J$116:$J$125,0),2)),0))),((IFERROR((OFFSET($J$131,MATCH("Sand Delivery to Ground Storage",$J$132:$J$141,0),2)),0))),((IFERROR((OFFSET($J$147,MATCH("Sand Delivery to Ground Storage",$J$148:$J$157,0),2)),0))),((IFERROR((OFFSET($J$164,MATCH("Sand Delivery to Ground Storage",$J$165:$J$174,0),2)),0))))</f>
        <v>0</v>
      </c>
      <c r="S5" s="386"/>
      <c r="T5" s="386"/>
      <c r="U5" s="386"/>
    </row>
    <row r="6" spans="2:21" ht="14.25" customHeight="1" x14ac:dyDescent="0.2">
      <c r="B6" s="327" t="s">
        <v>156</v>
      </c>
      <c r="C6" s="328"/>
      <c r="D6" s="338"/>
      <c r="E6" s="125"/>
      <c r="F6" s="125"/>
      <c r="G6" s="45"/>
      <c r="H6" s="45"/>
      <c r="I6" s="45"/>
      <c r="J6" s="45"/>
      <c r="K6" s="45"/>
      <c r="L6" s="45"/>
      <c r="M6" s="182"/>
      <c r="N6" s="182"/>
      <c r="P6" s="90" t="s">
        <v>193</v>
      </c>
      <c r="Q6" s="110">
        <f ca="1">MAX((IFERROR(OFFSET($J$20,MATCH("Aggregate Transfer to Conveyor",$J$21:$J$30,0),1),0)),((IFERROR((OFFSET($J$36,MATCH("Aggregate Transfer to Conveyor",$J$37:$J$46,0),1)),0))),((IFERROR((OFFSET($J$51,MATCH("Aggregate Transfer to Conveyor",$J$52:$J$61,0),1)),0))),((IFERROR((OFFSET($J$67,MATCH("Aggregate Transfer to Conveyor",$J$68:$J$77,0),1)),0))),((IFERROR((OFFSET($J$83,MATCH("Aggregate Transfer to Conveyor",$J$84:$J$93,0),1)),0))),((IFERROR((OFFSET($J$99,MATCH("Aggregate Transfer to Conveyor",$J$100:$J$109,0),1)),0))),((IFERROR((OFFSET($J$115,MATCH("Aggregate Transfer to Conveyor",$J$116:$J$125,0),1)),0))),((IFERROR((OFFSET($J$131,MATCH("Aggregate Transfer to Conveyor",$J$132:$J$141,0),1)),0))),((IFERROR((OFFSET($J$147,MATCH("Aggregate Transfer to Conveyor",$J$148:$J$157,0),1)),0))),((IFERROR((OFFSET($J$164,MATCH("Aggregate Transfer to Conveyor",$J$165:$J$174,0),1)),0))))</f>
        <v>0</v>
      </c>
      <c r="R6" s="110">
        <f ca="1">SUM((IFERROR(OFFSET($J$20,MATCH("Aggregate Transfer to Conveyor",$J$21:$J$30,0),2),0)),((IFERROR((OFFSET($J$36,MATCH("Aggregate Transfer to Conveyor",$J$37:$J$46,0),2)),0))),((IFERROR((OFFSET($J$51,MATCH("Aggregate Transfer to Conveyor",$J$52:$J$61,0),2)),0))),((IFERROR((OFFSET($J$67,MATCH("Aggregate Transfer to Conveyor",$J$68:$J$77,0),2)),0))),((IFERROR((OFFSET($J$83,MATCH("Aggregate Transfer to Conveyor",$J$84:$J$93,0),2)),0))),((IFERROR((OFFSET($J$99,MATCH("Aggregate Transfer to Conveyor",$J$100:$J$109,0),2)),0))),((IFERROR((OFFSET($J$115,MATCH("Aggregate Transfer to Conveyor",$J$116:$J$125,0),2)),0))),((IFERROR((OFFSET($J$131,MATCH("Aggregate Transfer to Conveyor",$J$132:$J$141,0),2)),0))),((IFERROR((OFFSET($J$147,MATCH("Aggregate Transfer to Conveyor",$J$148:$J$157,0),2)),0))),((IFERROR((OFFSET($J$164,MATCH("Aggregate Transfer to Conveyor",$J$165:$J$174,0),2)),0))))</f>
        <v>0</v>
      </c>
    </row>
    <row r="7" spans="2:21" ht="14.25" customHeight="1" x14ac:dyDescent="0.2">
      <c r="B7" s="52"/>
      <c r="C7" s="50"/>
      <c r="D7" s="50"/>
      <c r="E7" s="50"/>
      <c r="F7" s="50"/>
      <c r="G7" s="45"/>
      <c r="H7" s="45"/>
      <c r="I7" s="45"/>
      <c r="J7" s="45"/>
      <c r="K7" s="45"/>
      <c r="L7" s="45"/>
      <c r="M7" s="182"/>
      <c r="N7" s="182"/>
      <c r="P7" s="90" t="s">
        <v>194</v>
      </c>
      <c r="Q7" s="110">
        <f ca="1">MAX((IFERROR(OFFSET($J$20,MATCH("Sand Transfer to Conveyor",$J$21:$J$30,0),1),0)),((IFERROR((OFFSET($J$36,MATCH("Sand Transfer to Conveyor",$J$37:$J$46,0),1)),0))),((IFERROR((OFFSET($J$51,MATCH("Sand Transfer to Conveyor",$J$52:$J$61,0),1)),0))),((IFERROR((OFFSET($J$67,MATCH("Sand Transfer to Conveyor",$J$68:$J$77,0),1)),0))),((IFERROR((OFFSET($J$83,MATCH("Sand Transfer to Conveyor",$J$84:$J$93,0),1)),0))),((IFERROR((OFFSET($J$99,MATCH("Sand Transfer to Conveyor",$J$100:$J$109,0),1)),0))),((IFERROR((OFFSET($J$115,MATCH("Sand Transfer to Conveyor",$J$116:$J$125,0),1)),0))),((IFERROR((OFFSET($J$131,MATCH("Sand Transfer to Conveyor",$J$132:$J$141,0),1)),0))),((IFERROR((OFFSET($J$147,MATCH("Sand Transfer to Conveyor",$J$148:$J$157,0),1)),0))),((IFERROR((OFFSET($J$164,MATCH("Sand Transfer to Conveyor",$J$165:$J$174,0),1)),0))))</f>
        <v>0</v>
      </c>
      <c r="R7" s="110">
        <f ca="1">SUM((IFERROR(OFFSET($J$20,MATCH("Sand Transfer to Conveyor",$J$21:$J$30,0),2),0)),((IFERROR((OFFSET($J$36,MATCH("Sand Transfer to Conveyor",$J$37:$J$46,0),2)),0))),((IFERROR((OFFSET($J$51,MATCH("Sand Transfer to Conveyor",$J$52:$J$61,0),2)),0))),((IFERROR((OFFSET($J$67,MATCH("Sand Transfer to Conveyor",$J$68:$J$77,0),2)),0))),((IFERROR((OFFSET($J$83,MATCH("Sand Transfer to Conveyor",$J$84:$J$93,0),2)),0))),((IFERROR((OFFSET($J$99,MATCH("Sand Transfer to Conveyor",$J$100:$J$109,0),2)),0))),((IFERROR((OFFSET($J$115,MATCH("Sand Transfer to Conveyor",$J$116:$J$125,0),2)),0))),((IFERROR((OFFSET($J$131,MATCH("Sand Transfer to Conveyor",$J$132:$J$141,0),2)),0))),((IFERROR((OFFSET($J$147,MATCH("Sand Transfer to Conveyor",$J$148:$J$157,0),2)),0))),((IFERROR((OFFSET($J$164,MATCH("Sand Transfer to Conveyor",$J$165:$J$174,0),2)),0))))</f>
        <v>0</v>
      </c>
    </row>
    <row r="8" spans="2:21" ht="14.25" customHeight="1" x14ac:dyDescent="0.2">
      <c r="B8" s="52" t="s">
        <v>149</v>
      </c>
      <c r="C8" s="45"/>
      <c r="D8" s="45"/>
      <c r="E8" s="45"/>
      <c r="F8" s="45"/>
      <c r="G8" s="50"/>
      <c r="H8" s="56" t="s">
        <v>150</v>
      </c>
      <c r="I8" s="56"/>
      <c r="J8" s="50"/>
      <c r="K8" s="50"/>
      <c r="P8" s="90" t="s">
        <v>195</v>
      </c>
      <c r="Q8" s="110">
        <f ca="1">MAX((IFERROR(OFFSET($J$20,MATCH("Aggregate Transfer to Elevated Storage",$J$21:$J$30,0),1),0)),((IFERROR((OFFSET($J$36,MATCH("Aggregate Transfer to Elevated Storage",$J$37:$J$46,0),1)),0))),((IFERROR((OFFSET($J$51,MATCH("Aggregate Transfer to Elevated Storage",$J$52:$J$61,0),1)),0))),((IFERROR((OFFSET($J$67,MATCH("Aggregate Transfer to Elevated Storage",$J$68:$J$77,0),1)),0))),((IFERROR((OFFSET($J$83,MATCH("Aggregate Transfer to Elevated Storage",$J$84:$J$93,0),1)),0))),((IFERROR((OFFSET($J$99,MATCH("Aggregate Transfer to Elevated Storage",$J$100:$J$109,0),1)),0))),((IFERROR((OFFSET($J$115,MATCH("Aggregate Transfer to Elevated Storage",$J$116:$J$125,0),1)),0))),((IFERROR((OFFSET($J$131,MATCH("Aggregate Transfer to Elevated Storage",$J$132:$J$141,0),1)),0))),((IFERROR((OFFSET($J$147,MATCH("Aggregate Transfer to Elevated Storage",$J$148:$J$157,0),1)),0))),((IFERROR((OFFSET($J$164,MATCH("Aggregate Transfer to Elevated Storage",$J$165:$J$174,0),1)),0))))</f>
        <v>0</v>
      </c>
      <c r="R8" s="110">
        <f ca="1">SUM((IFERROR(OFFSET($J$20,MATCH("Aggregate Transfer to Elevated Storage",$J$21:$J$30,0),2),0)),((IFERROR((OFFSET($J$36,MATCH("Aggregate Transfer to Elevated Storage",$J$37:$J$46,0),2)),0))),((IFERROR((OFFSET($J$51,MATCH("Aggregate Transfer to Elevated Storage",$J$52:$J$61,0),2)),0))),((IFERROR((OFFSET($J$67,MATCH("Aggregate Transfer to Elevated Storage",$J$68:$J$77,0),2)),0))),((IFERROR((OFFSET($J$83,MATCH("Aggregate Transfer to Elevated Storage",$J$84:$J$93,0),2)),0))),((IFERROR((OFFSET($J$99,MATCH("Aggregate Transfer to Elevated Storage",$J$100:$J$109,0),2)),0))),((IFERROR((OFFSET($J$115,MATCH("Aggregate Transfer to Elevated Storage",$J$116:$J$125,0),2)),0))),((IFERROR((OFFSET($J$131,MATCH("Aggregate Transfer to Elevated Storage",$J$132:$J$141,0),2)),0))),((IFERROR((OFFSET($J$147,MATCH("Aggregate Transfer to Elevated Storage",$J$148:$J$157,0),2)),0))),((IFERROR((OFFSET($J$164,MATCH("Aggregate Transfer to Elevated Storage",$J$165:$J$174,0),2)),0))))</f>
        <v>0</v>
      </c>
    </row>
    <row r="9" spans="2:21" ht="14.25" customHeight="1" x14ac:dyDescent="0.2">
      <c r="B9" s="389" t="s">
        <v>204</v>
      </c>
      <c r="C9" s="390"/>
      <c r="D9" s="402"/>
      <c r="E9" s="362"/>
      <c r="F9" s="174"/>
      <c r="H9" s="57" t="s">
        <v>141</v>
      </c>
      <c r="I9" s="60" t="s">
        <v>139</v>
      </c>
      <c r="J9" s="60" t="s">
        <v>140</v>
      </c>
      <c r="P9" s="90" t="s">
        <v>196</v>
      </c>
      <c r="Q9" s="110">
        <f ca="1">MAX((IFERROR(OFFSET($J$20,MATCH("Sand Transfer to Elevated Storage",$J$21:$J$30,0),1),0)),((IFERROR((OFFSET($J$36,MATCH("Sand Transfer to Elevated Storage",$J$37:$J$46,0),1)),0))),((IFERROR((OFFSET($J$51,MATCH("Sand Transfer to Elevated Storage",$J$52:$J$61,0),1)),0))),((IFERROR((OFFSET($J$37,MATCH("Sand Transfer to Elevated Storage",$J$68:$J$77,0),1)),0))),((IFERROR((OFFSET($J$83,MATCH("Sand Transfer to Elevated Storage",$J$84:$J$93,0),1)),0))),((IFERROR((OFFSET($J$99,MATCH("Sand Transfer to Elevated Storage",$J$100:$J$109,0),1)),0))),((IFERROR((OFFSET($J$115,MATCH("Sand Transfer to Elevated Storage",$J$116:$J$125,0),1)),0))),((IFERROR((OFFSET($J$131,MATCH("Sand Transfer to Elevated Storage",$J$132:$J$141,0),1)),0))),((IFERROR((OFFSET($J$147,MATCH("Sand Transfer to Elevated Storage",$J$148:$J$157,0),1)),0))),((IFERROR((OFFSET($J$164,MATCH("Sand Transfer to Elevated Storage",$J$165:$J$174,0),1)),0))))</f>
        <v>0</v>
      </c>
      <c r="R9" s="110">
        <f ca="1">SUM((IFERROR(OFFSET($J$20,MATCH("Sand Transfer to Elevated Storage",$J$21:$J$30,0),2),0)),((IFERROR((OFFSET($J$36,MATCH("Sand Transfer to Elevated Storage",$J$37:$J$46,0),2)),0))),((IFERROR((OFFSET($J$51,MATCH("Sand Transfer to Elevated Storage",$J$52:$J$61,0),2)),0))),((IFERROR((OFFSET($J$37,MATCH("Sand Transfer to Elevated Storage",$J$68:$J$77,0),2)),0))),((IFERROR((OFFSET($J$83,MATCH("Sand Transfer to Elevated Storage",$J$84:$J$93,0),2)),0))),((IFERROR((OFFSET($J$99,MATCH("Sand Transfer to Elevated Storage",$J$100:$J$109,0),2)),0))),((IFERROR((OFFSET($J$115,MATCH("Sand Transfer to Elevated Storage",$J$116:$J$125,0),2)),0))),((IFERROR((OFFSET($J$131,MATCH("Sand Transfer to Elevated Storage",$J$132:$J$141,0),2)),0))),((IFERROR((OFFSET($J$147,MATCH("Sand Transfer to Elevated Storage",$J$148:$J$157,0),2)),0))),((IFERROR((OFFSET($J$164,MATCH("Sand Transfer to Elevated Storage",$J$165:$J$174,0),2)),0))))</f>
        <v>0</v>
      </c>
    </row>
    <row r="10" spans="2:21" ht="14.25" customHeight="1" x14ac:dyDescent="0.2">
      <c r="B10" s="335" t="s">
        <v>205</v>
      </c>
      <c r="C10" s="393"/>
      <c r="D10" s="400"/>
      <c r="E10" s="337"/>
      <c r="F10" s="174"/>
      <c r="H10" s="59" t="s">
        <v>110</v>
      </c>
      <c r="I10" s="144"/>
      <c r="J10" s="144"/>
      <c r="P10" s="90" t="s">
        <v>203</v>
      </c>
      <c r="Q10" s="110">
        <f ca="1">MAX((IFERROR(OFFSET($J$20,MATCH("Weigh Hopper Loading",$J$21:$J$30,0),1),0)),((IFERROR((OFFSET($J$36,MATCH("Weigh Hopper Loading",$J$37:$J$46,0),1)),0))),((IFERROR((OFFSET($J$51,MATCH("Weigh Hopper Loading",$J$52:$J$61,0),1)),0))),((IFERROR((OFFSET($J$67,MATCH("Weigh Hopper Loading",$J$68:$J$77,0),1)),0))),((IFERROR((OFFSET($J$83,MATCH("Weigh Hopper Loading",$J$84:$J$93,0),1)),0))),((IFERROR((OFFSET($J$99,MATCH("Weigh Hopper Loading",$J$100:$J$109,0),1)),0))),((IFERROR((OFFSET($J$115,MATCH("Weigh Hopper Loading",$J$116:$J$125,0),1)),0))),((IFERROR((OFFSET($J$131,MATCH("Weigh Hopper Loading",$J$132:$J$141,0),1)),0))),((IFERROR((OFFSET($J$147,MATCH("Weigh Hopper Loading",$J$148:$J$157,0),1)),0))),((IFERROR((OFFSET($J$164,MATCH("Weigh Hopper Loading",$J$165:$J$174,0),1)),0))))</f>
        <v>0</v>
      </c>
      <c r="R10" s="110">
        <f ca="1">SUM((IFERROR(OFFSET($J$20,MATCH("Weigh Hopper Loading",$J$21:$J$30,0),2),0)),((IFERROR((OFFSET($J$36,MATCH("Weigh Hopper Loading",$J$37:$J$46,0),2)),0))),((IFERROR((OFFSET($J$51,MATCH("Weigh Hopper Loading",$J$52:$J$61,0),2)),0))),((IFERROR((OFFSET($J$67,MATCH("Weigh Hopper Loading",$J$68:$J$77,0),2)),0))),((IFERROR((OFFSET($J$83,MATCH("Weigh Hopper Loading",$J$84:$J$93,0),2)),0))),((IFERROR((OFFSET($J$99,MATCH("Weigh Hopper Loading",$J$100:$J$109,0),2)),0))),((IFERROR((OFFSET($J$115,MATCH("Weigh Hopper Loading",$J$116:$J$125,0),2)),0))),((IFERROR((OFFSET($J$131,MATCH("Weigh Hopper Loading",$J$132:$J$141,0),2)),0))),((IFERROR((OFFSET($J$147,MATCH("Weigh Hopper Loading",$J$148:$J$157,0),2)),0))),((IFERROR((OFFSET($J$164,MATCH("Weigh Hopper Loading",$J$165:$J$174,0),2)),0))))</f>
        <v>0</v>
      </c>
    </row>
    <row r="11" spans="2:21" ht="14.25" customHeight="1" x14ac:dyDescent="0.2">
      <c r="B11" s="391" t="s">
        <v>146</v>
      </c>
      <c r="C11" s="392"/>
      <c r="D11" s="403"/>
      <c r="E11" s="363"/>
      <c r="F11" s="174"/>
      <c r="H11" s="58" t="s">
        <v>17</v>
      </c>
      <c r="I11" s="144"/>
      <c r="J11" s="144"/>
      <c r="P11" s="90" t="s">
        <v>197</v>
      </c>
      <c r="Q11" s="110">
        <f ca="1">MAX((IFERROR(OFFSET($J$20,MATCH("Central Mix Loading",$J$21:$J$30,0),1),0)),((IFERROR((OFFSET($J$36,MATCH("Central Mix Loading",$J$37:$J$46,0),1)),0))),((IFERROR((OFFSET($J$51,MATCH("Central Mix Loading",$J$52:$J$61,0),1)),0))),((IFERROR((OFFSET($J$67,MATCH("Central Mix Loading",$J$68:$J$77,0),1)),0))),((IFERROR((OFFSET($J$83,MATCH("Central Mix Loading",$J$84:$J$93,0),1)),0))),((IFERROR((OFFSET($J$99,MATCH("Central Mix Loading",$J$100:$J$109,0),1)),0))),((IFERROR((OFFSET($J$115,MATCH("Central Mix Loading",$J$116:$J$125,0),1)),0))),((IFERROR((OFFSET($J$131,MATCH("Central Mix Loading",$J$132:$J$141,0),1)),0))),((IFERROR((OFFSET($J$147,MATCH("Central Mix Loading",$J$148:$J$157,0),1)),0))),((IFERROR((OFFSET($J$164,MATCH("Central Mix Loading",$J$165:$J$174,0),1)),0))))</f>
        <v>0</v>
      </c>
      <c r="R11" s="110">
        <f ca="1">SUM((IFERROR(OFFSET($J$20,MATCH("Central Mix Loading",$J$21:$J$30,0),2),0)),((IFERROR((OFFSET($J$36,MATCH("Central Mix Loading",$J$37:$J$46,0),2)),0))),((IFERROR((OFFSET($J$51,MATCH("Central Mix Loading",$J$52:$J$61,0),2)),0))),((IFERROR((OFFSET($J$67,MATCH("Central Mix Loading",$J$68:$J$77,0),2)),0))),((IFERROR((OFFSET($J$83,MATCH("Central Mix Loading",$J$84:$J$93,0),2)),0))),((IFERROR((OFFSET($J$99,MATCH("Central Mix Loading",$J$100:$J$109,0),2)),0))),((IFERROR((OFFSET($J$115,MATCH("Central Mix Loading",$J$116:$J$125,0),2)),0))),((IFERROR((OFFSET($J$131,MATCH("Central Mix Loading",$J$132:$J$141,0),2)),0))),((IFERROR((OFFSET($J$147,MATCH("Central Mix Loading",$J$148:$J$157,0),2)),0))),((IFERROR((OFFSET($J$164,MATCH("Central Mix Loading",$J$165:$J$174,0),2)),0))))</f>
        <v>0</v>
      </c>
    </row>
    <row r="12" spans="2:21" ht="14.25" customHeight="1" x14ac:dyDescent="0.25">
      <c r="B12" s="320" t="s">
        <v>269</v>
      </c>
      <c r="C12" s="319"/>
      <c r="D12" s="319"/>
      <c r="E12" s="319"/>
      <c r="F12" s="170"/>
      <c r="G12" s="30"/>
      <c r="H12" s="58" t="s">
        <v>3</v>
      </c>
      <c r="I12" s="144"/>
      <c r="J12" s="144"/>
      <c r="P12" s="90" t="s">
        <v>198</v>
      </c>
      <c r="Q12" s="110">
        <f ca="1">MAX((IFERROR(OFFSET($J$20,MATCH("Truck Mix Loading",$J$21:$J$30,0),1),0)),((IFERROR((OFFSET($J$36,MATCH("Truck Mix Loading",$J$37:$J$46,0),1)),0))),((IFERROR((OFFSET($J$51,MATCH("Truck Mix Loading",$J$52:$J$61,0),1)),0))),((IFERROR((OFFSET($J$67,MATCH("Truck Mix Loading",$J$68:$J$77,0),1)),0))),((IFERROR((OFFSET($J$83,MATCH("Truck Mix Loading",$J$84:$J$93,0),1)),0))),((IFERROR((OFFSET($J$99,MATCH("Truck Mix Loading",$J$100:$J$109,0),1)),0))),((IFERROR((OFFSET($J$115,MATCH("Truck Mix Loading",$J$116:$J$125,0),1)),0))),((IFERROR((OFFSET($J$131,MATCH("Truck Mix Loading",$J$132:$J$141,0),1)),0))),((IFERROR((OFFSET($J$147,MATCH("Truck Mix Loading",$J$148:$J$157,0),1)),0))),((IFERROR((OFFSET($J$164,MATCH("Truck Mix Loading",$J$165:$J$174,0),1)),0))))</f>
        <v>0</v>
      </c>
      <c r="R12" s="110">
        <f ca="1">SUM((IFERROR(OFFSET($J$20,MATCH("Truck Mix Loading",$J$21:$J$30,0),2),0)),((IFERROR((OFFSET($J$36,MATCH("Truck Mix Loading",$J$37:$J$46,0),2)),0))),((IFERROR((OFFSET($J$51,MATCH("Truck Mix Loading",$J$52:$J$61,0),2)),0))),((IFERROR((OFFSET($J$67,MATCH("Truck Mix Loading",$J$68:$J$77,0),2)),0))),((IFERROR((OFFSET($J$83,MATCH("Truck Mix Loading",$J$84:$J$93,0),2)),0))),((IFERROR((OFFSET($J$99,MATCH("Truck Mix Loading",$J$100:$J$109,0),2)),0))),((IFERROR((OFFSET($J$115,MATCH("Truck Mix Loading",$J$116:$J$125,0),2)),0))),((IFERROR((OFFSET($J$131,MATCH("Truck Mix Loading",$J$132:$J$141,0),2)),0))),((IFERROR((OFFSET($J$147,MATCH("Truck Mix Loading",$J$148:$J$157,0),2)),0))),((IFERROR((OFFSET($J$164,MATCH("Truck Mix Loading",$J$165:$J$174,0),2)),0))))</f>
        <v>0</v>
      </c>
    </row>
    <row r="13" spans="2:21" ht="14.25" customHeight="1" x14ac:dyDescent="0.25">
      <c r="B13" s="320" t="s">
        <v>271</v>
      </c>
      <c r="C13" s="319"/>
      <c r="D13" s="319"/>
      <c r="E13" s="319"/>
      <c r="F13" s="170"/>
      <c r="G13" s="30"/>
      <c r="H13" s="58" t="s">
        <v>27</v>
      </c>
      <c r="I13" s="144"/>
      <c r="J13" s="144"/>
      <c r="P13" s="90" t="s">
        <v>199</v>
      </c>
      <c r="Q13" s="110">
        <f ca="1">MAX((IFERROR(OFFSET($J$20,MATCH("Cement Delivery to Silo",$J$21:$J$30,0),1),0)),((IFERROR((OFFSET($J$36,MATCH("Cement Delivery to Silo",$J$37:$J$46,0),1)),0))),((IFERROR((OFFSET($J$51,MATCH("Cement Delivery to Silo",$J$52:$J$61,0),1)),0))),((IFERROR((OFFSET($J$67,MATCH("Cement Delivery to Silo",$J$68:$J$77,0),1)),0))),((IFERROR((OFFSET($J$83,MATCH("Cement Delivery to Silo",$J$84:$J$93,0),1)),0))),((IFERROR((OFFSET($J$99,MATCH("Cement Delivery to Silo",$J$100:$J$109,0),1)),0))),((IFERROR((OFFSET($J$115,MATCH("Cement Delivery to Silo",$J$116:$J$125,0),1)),0))),((IFERROR((OFFSET($J$131,MATCH("Cement Delivery to Silo",$J$132:$J$141,0),1)),0))),((IFERROR((OFFSET($J$147,MATCH("Cement Delivery to Silo",$J$148:$J$157,0),1)),0))),((IFERROR((OFFSET($J$164,MATCH("Cement Delivery to Silo",$J$165:$J$174,0),1)),0))))</f>
        <v>0</v>
      </c>
      <c r="R13" s="110">
        <f ca="1">SUM((IFERROR(OFFSET($J$20,MATCH("Cement Delivery to Silo",$J$21:$J$30,0),2),0)),((IFERROR((OFFSET($J$36,MATCH("Cement Delivery to Silo",$J$37:$J$46,0),2)),0))),((IFERROR((OFFSET($J$51,MATCH("Cement Delivery to Silo",$J$52:$J$61,0),2)),0))),((IFERROR((OFFSET($J$67,MATCH("Cement Delivery to Silo",$J$68:$J$77,0),2)),0))),((IFERROR((OFFSET($J$83,MATCH("Cement Delivery to Silo",$J$84:$J$93,0),2)),0))),((IFERROR((OFFSET($J$99,MATCH("Cement Delivery to Silo",$J$100:$J$109,0),2)),0))),((IFERROR((OFFSET($J$115,MATCH("Cement Delivery to Silo",$J$116:$J$125,0),2)),0))),((IFERROR((OFFSET($J$131,MATCH("Cement Delivery to Silo",$J$132:$J$141,0),2)),0))),((IFERROR((OFFSET($J$147,MATCH("Cement Delivery to Silo",$J$148:$J$157,0),2)),0))),((IFERROR((OFFSET($J$164,MATCH("Cement Delivery to Silo",$J$165:$J$174,0),2)),0))))</f>
        <v>0</v>
      </c>
    </row>
    <row r="14" spans="2:21" ht="14.25" customHeight="1" x14ac:dyDescent="0.25">
      <c r="B14" s="324" t="s">
        <v>270</v>
      </c>
      <c r="C14" s="319"/>
      <c r="D14" s="319"/>
      <c r="E14" s="319"/>
      <c r="F14" s="170"/>
      <c r="G14" s="30"/>
      <c r="H14" s="58" t="s">
        <v>5</v>
      </c>
      <c r="I14" s="144"/>
      <c r="J14" s="144"/>
      <c r="P14" s="90" t="s">
        <v>200</v>
      </c>
      <c r="Q14" s="110">
        <f ca="1">MAX((IFERROR(OFFSET($J$20,MATCH("Cement Supplement Delivery to Silo",$J$21:$J$30,0),1),0)),((IFERROR((OFFSET($J$36,MATCH("Cement Supplement Delivery to Silo",$J$37:$J$46,0),1)),0))),((IFERROR((OFFSET($J$51,MATCH("Cement Supplement Delivery to Silo",$J$52:$J$61,0),1)),0))),((IFERROR((OFFSET($J$67,MATCH("Cement Supplement Delivery to Silo",$J$68:$J$77,0),1)),0))),((IFERROR((OFFSET($J$83,MATCH("Cement Supplement Delivery to Silo",$J$84:$J$93,0),1)),0))),((IFERROR((OFFSET($J$99,MATCH("Cement Supplement Delivery to Silo",$J$100:$J$109,0),1)),0))),((IFERROR((OFFSET($J$115,MATCH("Cement Supplement Delivery to Silo",$J$116:$J$125,0),1)),0))),((IFERROR((OFFSET($J$131,MATCH("Cement Supplement Delivery to Silo",$J$132:$J$141,0),1)),0))),((IFERROR((OFFSET($J$147,MATCH("Cement Supplement Delivery to Silo",$J$148:$J$157,0),1)),0))),((IFERROR((OFFSET($J$164,MATCH("Cement Supplement Delivery to Silo",$J$165:$J$174,0),1)),0))))</f>
        <v>0</v>
      </c>
      <c r="R14" s="110">
        <f ca="1">SUM((IFERROR(OFFSET($J$20,MATCH("Cement Supplement Delivery to Silo",$J$21:$J$30,0),2),0)),((IFERROR((OFFSET($J$36,MATCH("Cement Supplement Delivery to Silo",$J$37:$J$46,0),2)),0))),((IFERROR((OFFSET($J$51,MATCH("Cement Supplement Delivery to Silo",$J$52:$J$61,0),2)),0))),((IFERROR((OFFSET($J$67,MATCH("Cement Supplement Delivery to Silo",$J$68:$J$77,0),2)),0))),((IFERROR((OFFSET($J$83,MATCH("Cement Supplement Delivery to Silo",$J$84:$J$93,0),2)),0))),((IFERROR((OFFSET($J$99,MATCH("Cement Supplement Delivery to Silo",$J$100:$J$109,0),2)),0))),((IFERROR((OFFSET($J$115,MATCH("Cement Supplement Delivery to Silo",$J$116:$J$125,0),2)),0))),((IFERROR((OFFSET($J$131,MATCH("Cement Supplement Delivery to Silo",$J$132:$J$141,0),2)),0))),((IFERROR((OFFSET($J$147,MATCH("Cement Supplement Delivery to Silo",$J$148:$J$157,0),2)),0))),((IFERROR((OFFSET($J$164,MATCH("Cement Supplement Delivery to Silo",$J$165:$J$174,0),2)),0))))</f>
        <v>0</v>
      </c>
    </row>
    <row r="15" spans="2:21" ht="14.25" customHeight="1" x14ac:dyDescent="0.25">
      <c r="B15" s="12"/>
      <c r="C15" s="12"/>
      <c r="D15" s="12"/>
      <c r="E15" s="12"/>
      <c r="F15" s="12"/>
      <c r="G15" s="12"/>
      <c r="H15" s="58" t="s">
        <v>6</v>
      </c>
      <c r="I15" s="144"/>
      <c r="J15" s="144"/>
    </row>
    <row r="16" spans="2:21" ht="15" customHeight="1" thickBot="1" x14ac:dyDescent="0.3">
      <c r="B16" s="85"/>
      <c r="C16" s="85"/>
      <c r="D16" s="85"/>
      <c r="E16" s="85"/>
      <c r="F16" s="85"/>
      <c r="G16" s="85"/>
      <c r="H16" s="86"/>
      <c r="I16" s="86"/>
      <c r="J16" s="124"/>
      <c r="K16" s="124"/>
      <c r="L16" s="87"/>
      <c r="M16" s="71"/>
      <c r="N16" s="71"/>
      <c r="P16" s="68"/>
      <c r="Q16" s="188" t="s">
        <v>155</v>
      </c>
      <c r="R16" s="189" t="s">
        <v>154</v>
      </c>
      <c r="S16" s="88"/>
    </row>
    <row r="17" spans="1:23" ht="12.75" customHeight="1" x14ac:dyDescent="0.25">
      <c r="B17" s="12"/>
      <c r="C17" s="12"/>
      <c r="D17" s="12"/>
      <c r="E17" s="12"/>
      <c r="F17" s="12"/>
      <c r="G17" s="12"/>
      <c r="H17" s="84"/>
      <c r="I17" s="84"/>
      <c r="J17" s="50"/>
      <c r="K17" s="50"/>
      <c r="P17" s="90" t="s">
        <v>40</v>
      </c>
      <c r="Q17" s="143">
        <f>SUM(J34,J49,J65,J81,J97,J113,J129,J145,J162,J178)</f>
        <v>0</v>
      </c>
      <c r="R17" s="143">
        <f>SUM(K34*L34,K49*L49,K65*L65,K81*L81,K97*L97,K113*L113,K129*L129,K145*L145,K162*L162,K178*L178)</f>
        <v>0</v>
      </c>
      <c r="S17" s="68"/>
    </row>
    <row r="18" spans="1:23" ht="6.75" customHeight="1" x14ac:dyDescent="0.2">
      <c r="A18" s="71"/>
      <c r="B18" s="345"/>
      <c r="C18" s="50"/>
      <c r="D18" s="50"/>
      <c r="E18" s="50"/>
      <c r="F18" s="50"/>
    </row>
    <row r="19" spans="1:23" ht="13.5" customHeight="1" x14ac:dyDescent="0.2">
      <c r="E19" s="71"/>
      <c r="F19" s="71"/>
      <c r="M19" s="217"/>
      <c r="N19" s="217"/>
      <c r="P19" s="45" t="s">
        <v>254</v>
      </c>
    </row>
    <row r="20" spans="1:23" ht="27" customHeight="1" x14ac:dyDescent="0.25">
      <c r="B20" s="69" t="s">
        <v>201</v>
      </c>
      <c r="C20" s="70" t="s">
        <v>145</v>
      </c>
      <c r="D20" s="71"/>
      <c r="G20" s="45"/>
      <c r="H20" s="310" t="s">
        <v>1</v>
      </c>
      <c r="I20" s="310" t="s">
        <v>181</v>
      </c>
      <c r="J20" s="310" t="s">
        <v>142</v>
      </c>
      <c r="K20" s="311" t="s">
        <v>241</v>
      </c>
      <c r="L20" s="310" t="str">
        <f>('Facility Information'!G5&amp;" Annual Throughput (cubic yards)")</f>
        <v xml:space="preserve"> Annual Throughput (cubic yards)</v>
      </c>
      <c r="M20" s="218" t="s">
        <v>250</v>
      </c>
      <c r="N20" s="218" t="s">
        <v>251</v>
      </c>
      <c r="P20" s="89" t="s">
        <v>110</v>
      </c>
      <c r="Q20" s="308" t="s">
        <v>242</v>
      </c>
      <c r="R20" s="308" t="s">
        <v>240</v>
      </c>
      <c r="S20" s="308" t="s">
        <v>147</v>
      </c>
      <c r="T20" s="308" t="s">
        <v>130</v>
      </c>
      <c r="U20" s="308" t="s">
        <v>14</v>
      </c>
      <c r="V20" s="308" t="s">
        <v>148</v>
      </c>
    </row>
    <row r="21" spans="1:23" ht="14.25" customHeight="1" x14ac:dyDescent="0.2">
      <c r="A21" s="67" t="s">
        <v>38</v>
      </c>
      <c r="B21" s="186" t="s">
        <v>89</v>
      </c>
      <c r="C21" s="349"/>
      <c r="D21" s="356"/>
      <c r="E21" s="357"/>
      <c r="F21" s="175"/>
      <c r="G21" s="45"/>
      <c r="H21" s="126" t="str">
        <f>IF(J21="cement delivery to silo","CP-1 EP-2",IF(J21="cement supplement delivery to silo","CP-1 EP-3",IF(J21="weigh hopper loading","CP-1 EP-4",IF(J21="truck mix loading","CP-1 EP-5",IF(J21="central mix loading","CP-1 EP-6",IF(J21="","","CP-1 EP-1"))))))</f>
        <v/>
      </c>
      <c r="I21" s="126" t="str">
        <f t="shared" ref="I21:I30" si="0">IF(J21="","",IF(J21="aggregate delivery to ground storage","CP-10 EU-1",IF(J21="sand delivery to ground storage","CP-10 EU-2",IF(J21="aggregate transfer to conveyor","CP-10 EU-3",IF(J21="sand transfer to conveyor","CP-10 EU-4",IF(J21="aggregate transfer to elevated storage","CP-10 EU-5",IF(J21="sand transfer to elevated storage","CP-10 EU-6",IF(J21="weigh hopper loading","CP-10 EU-7",IF(J21="central mix loading","CP-10 EU-8",IF(J21="truck mix loading","CP-10 EU-9",IF(J21="cement delivery to silo","CP-10 EU-10",IF(J21="cement supplement delivery to silo","CP-10 EU-11"))))))))))))</f>
        <v/>
      </c>
      <c r="J21" s="82"/>
      <c r="K21" s="61"/>
      <c r="L21" s="156"/>
      <c r="M21" s="219" t="str">
        <f>IF(J21="truck mix loading",IF($F$24="yes",L21*0.05/2000,L21/2000),"")</f>
        <v/>
      </c>
      <c r="N21" s="219" t="str">
        <f>IF(J21="central mix loading",IF($F$24="yes",L21*0.05/2000,L21/2000),"")</f>
        <v/>
      </c>
      <c r="P21" s="90" t="s">
        <v>191</v>
      </c>
      <c r="Q21" s="105">
        <f t="shared" ref="Q21:Q31" ca="1" si="1">Q4</f>
        <v>0</v>
      </c>
      <c r="R21" s="111">
        <f ca="1">IF(Q21=0,0,LOOKUP(P21,'Emission Factors'!$A$5:$A$16,'Emission Factors'!$D$5:$D$16))</f>
        <v>0</v>
      </c>
      <c r="S21" s="105">
        <f t="shared" ref="S21:S29" ca="1" si="2">Q21*R21</f>
        <v>0</v>
      </c>
      <c r="T21" s="105" t="str">
        <f ca="1">IF(Q21=0,"",IF($I$10&gt;0,$I$10,""))</f>
        <v/>
      </c>
      <c r="U21" s="105">
        <f ca="1">IF($J$10&gt;0,$J$10,IF($D$9&gt;0,$D$9*R21/2000,IF($D$10&gt;0,$D$10*365*R21/2000,IF($D$11&gt;0,$D$11*365*R21*Q21/2000,IF(T21="",S21*8760/2000,T21*8760/2000)))))</f>
        <v>0</v>
      </c>
      <c r="V21" s="113">
        <f t="shared" ref="V21:V27" ca="1" si="3">(R4*R21/2000)</f>
        <v>0</v>
      </c>
    </row>
    <row r="22" spans="1:23" ht="14.25" customHeight="1" x14ac:dyDescent="0.2">
      <c r="A22" s="67" t="s">
        <v>39</v>
      </c>
      <c r="B22" s="186" t="s">
        <v>90</v>
      </c>
      <c r="C22" s="339"/>
      <c r="D22" s="342"/>
      <c r="E22" s="343"/>
      <c r="F22" s="175"/>
      <c r="G22" s="45"/>
      <c r="H22" s="126" t="str">
        <f t="shared" ref="H22:H30" si="4">IF(J22="cement delivery to silo","CP-1 EP-2",IF(J22="cement supplement delivery to silo","CP-1 EP-3",IF(J22="weigh hopper loading","CP-1 EP-4",IF(J22="truck mix loading","CP-1 EP-5",IF(J22="central mix loading","CP-1 EP-6",IF(J22="","","CP-1 EP-1"))))))</f>
        <v/>
      </c>
      <c r="I22" s="126" t="str">
        <f t="shared" si="0"/>
        <v/>
      </c>
      <c r="J22" s="82"/>
      <c r="K22" s="61"/>
      <c r="L22" s="156"/>
      <c r="M22" s="219" t="str">
        <f t="shared" ref="M22:M30" si="5">IF(J22="truck mix loading",IF($F$24="yes",L22*0.05/2000,L22/2000),"")</f>
        <v/>
      </c>
      <c r="N22" s="219" t="str">
        <f t="shared" ref="N22:N30" si="6">IF(J22="central mix loading",IF($F$24="yes",L22*0.05/2000,L22/2000),"")</f>
        <v/>
      </c>
      <c r="P22" s="90" t="s">
        <v>192</v>
      </c>
      <c r="Q22" s="105">
        <f t="shared" ca="1" si="1"/>
        <v>0</v>
      </c>
      <c r="R22" s="111">
        <f ca="1">IF(Q22=0,0,LOOKUP(P22,'Emission Factors'!$A$5:$A$16,'Emission Factors'!$D$5:$D$16))</f>
        <v>0</v>
      </c>
      <c r="S22" s="105">
        <f t="shared" ca="1" si="2"/>
        <v>0</v>
      </c>
      <c r="T22" s="105" t="str">
        <f t="shared" ref="T22:T27" ca="1" si="7">IF(Q22=0,"",IF($I$10&gt;0,$I$10,""))</f>
        <v/>
      </c>
      <c r="U22" s="105">
        <f t="shared" ref="U22:U27" ca="1" si="8">IF($J$10&gt;0,"",IF($D$9&gt;0,$D$9*R22/2000,IF($D$10&gt;0,$D$10*365*R22/2000,IF($D$11&gt;0,$D$11*365*R22*Q22/2000,IF(T22="",S22*8760/2000,T22*8760/2000)))))</f>
        <v>0</v>
      </c>
      <c r="V22" s="113">
        <f t="shared" ca="1" si="3"/>
        <v>0</v>
      </c>
    </row>
    <row r="23" spans="1:23" ht="14.25" customHeight="1" x14ac:dyDescent="0.2">
      <c r="B23" s="186" t="s">
        <v>202</v>
      </c>
      <c r="C23" s="352"/>
      <c r="D23" s="358"/>
      <c r="E23" s="359"/>
      <c r="F23" s="175"/>
      <c r="G23" s="45"/>
      <c r="H23" s="126" t="str">
        <f t="shared" si="4"/>
        <v/>
      </c>
      <c r="I23" s="126" t="str">
        <f t="shared" si="0"/>
        <v/>
      </c>
      <c r="J23" s="82"/>
      <c r="K23" s="61"/>
      <c r="L23" s="156"/>
      <c r="M23" s="219" t="str">
        <f t="shared" si="5"/>
        <v/>
      </c>
      <c r="N23" s="219" t="str">
        <f t="shared" si="6"/>
        <v/>
      </c>
      <c r="P23" s="90" t="s">
        <v>193</v>
      </c>
      <c r="Q23" s="105">
        <f t="shared" ca="1" si="1"/>
        <v>0</v>
      </c>
      <c r="R23" s="111">
        <f ca="1">IF(Q23=0,0,LOOKUP(P23,'Emission Factors'!$A$5:$A$16,'Emission Factors'!$D$5:$D$16))</f>
        <v>0</v>
      </c>
      <c r="S23" s="105">
        <f t="shared" ca="1" si="2"/>
        <v>0</v>
      </c>
      <c r="T23" s="105" t="str">
        <f t="shared" ca="1" si="7"/>
        <v/>
      </c>
      <c r="U23" s="105">
        <f t="shared" ca="1" si="8"/>
        <v>0</v>
      </c>
      <c r="V23" s="113">
        <f t="shared" ca="1" si="3"/>
        <v>0</v>
      </c>
    </row>
    <row r="24" spans="1:23" ht="14.25" customHeight="1" x14ac:dyDescent="0.25">
      <c r="A24" s="6" t="s">
        <v>191</v>
      </c>
      <c r="B24" s="51" t="str">
        <f>IF(OR(COUNTIF(J21:J30,"Truck Mix Loading")&gt;0,(COUNTIF(J21:J30,"Central Mix Loading")&gt;0)),"Is the Central/Truck Mix Loading process controlled by a baghouse?","")</f>
        <v/>
      </c>
      <c r="C24" s="51"/>
      <c r="D24" s="51"/>
      <c r="E24" s="51"/>
      <c r="F24" s="221"/>
      <c r="G24" s="45"/>
      <c r="H24" s="126" t="str">
        <f t="shared" si="4"/>
        <v/>
      </c>
      <c r="I24" s="126" t="str">
        <f t="shared" si="0"/>
        <v/>
      </c>
      <c r="J24" s="82"/>
      <c r="K24" s="61"/>
      <c r="L24" s="156"/>
      <c r="M24" s="219" t="str">
        <f t="shared" si="5"/>
        <v/>
      </c>
      <c r="N24" s="219" t="str">
        <f t="shared" si="6"/>
        <v/>
      </c>
      <c r="P24" s="90" t="s">
        <v>194</v>
      </c>
      <c r="Q24" s="105">
        <f t="shared" ca="1" si="1"/>
        <v>0</v>
      </c>
      <c r="R24" s="111">
        <f ca="1">IF(Q24=0,0,LOOKUP(P24,'Emission Factors'!$A$5:$A$16,'Emission Factors'!$D$5:$D$16))</f>
        <v>0</v>
      </c>
      <c r="S24" s="105">
        <f t="shared" ca="1" si="2"/>
        <v>0</v>
      </c>
      <c r="T24" s="105" t="str">
        <f t="shared" ca="1" si="7"/>
        <v/>
      </c>
      <c r="U24" s="105">
        <f t="shared" ca="1" si="8"/>
        <v>0</v>
      </c>
      <c r="V24" s="113">
        <f t="shared" ca="1" si="3"/>
        <v>0</v>
      </c>
    </row>
    <row r="25" spans="1:23" ht="14.25" customHeight="1" x14ac:dyDescent="0.25">
      <c r="A25" s="6" t="s">
        <v>192</v>
      </c>
      <c r="B25" s="45"/>
      <c r="C25" s="45"/>
      <c r="D25" s="45"/>
      <c r="E25" s="45"/>
      <c r="F25" s="182"/>
      <c r="G25" s="45"/>
      <c r="H25" s="126" t="str">
        <f t="shared" si="4"/>
        <v/>
      </c>
      <c r="I25" s="126" t="str">
        <f t="shared" si="0"/>
        <v/>
      </c>
      <c r="J25" s="82"/>
      <c r="K25" s="61"/>
      <c r="L25" s="156"/>
      <c r="M25" s="219" t="str">
        <f t="shared" si="5"/>
        <v/>
      </c>
      <c r="N25" s="219" t="str">
        <f t="shared" si="6"/>
        <v/>
      </c>
      <c r="P25" s="90" t="s">
        <v>195</v>
      </c>
      <c r="Q25" s="105">
        <f t="shared" ca="1" si="1"/>
        <v>0</v>
      </c>
      <c r="R25" s="111">
        <f ca="1">IF(Q25=0,0,LOOKUP(P25,'Emission Factors'!$A$5:$A$16,'Emission Factors'!$D$5:$D$16))</f>
        <v>0</v>
      </c>
      <c r="S25" s="105">
        <f t="shared" ca="1" si="2"/>
        <v>0</v>
      </c>
      <c r="T25" s="105" t="str">
        <f t="shared" ca="1" si="7"/>
        <v/>
      </c>
      <c r="U25" s="105">
        <f t="shared" ca="1" si="8"/>
        <v>0</v>
      </c>
      <c r="V25" s="113">
        <f t="shared" ca="1" si="3"/>
        <v>0</v>
      </c>
    </row>
    <row r="26" spans="1:23" ht="28.5" customHeight="1" x14ac:dyDescent="0.25">
      <c r="A26" s="6" t="s">
        <v>193</v>
      </c>
      <c r="B26" s="312" t="str">
        <f>IF(AND(B28="",B29="",B32="",B31="",B30=""),"","Process (complete stack information if applicable):")</f>
        <v/>
      </c>
      <c r="C26" s="312" t="str">
        <f>IF(AND(B28="",B29="",B32="",B31="",B30=""),"","Stack Height (ft):")</f>
        <v/>
      </c>
      <c r="D26" s="312" t="str">
        <f>IF(AND(B28="",B29="",B32="",B31="",B30=""),"","Stack Diameter (inches):")</f>
        <v/>
      </c>
      <c r="E26" s="312" t="str">
        <f>IF(AND(B28="",B29="",B32="",B31="",B30=""),"","Flow Rate (acfm):")</f>
        <v/>
      </c>
      <c r="F26" s="312" t="str">
        <f>IF(AND(B28="",B29="",B32="",B31="",B30=""),"","Temp (Deg F):")</f>
        <v/>
      </c>
      <c r="G26" s="45"/>
      <c r="H26" s="126" t="str">
        <f t="shared" si="4"/>
        <v/>
      </c>
      <c r="I26" s="126" t="str">
        <f t="shared" si="0"/>
        <v/>
      </c>
      <c r="J26" s="82"/>
      <c r="K26" s="61"/>
      <c r="L26" s="156"/>
      <c r="M26" s="219" t="str">
        <f t="shared" si="5"/>
        <v/>
      </c>
      <c r="N26" s="219" t="str">
        <f t="shared" si="6"/>
        <v/>
      </c>
      <c r="P26" s="90" t="s">
        <v>196</v>
      </c>
      <c r="Q26" s="105">
        <f t="shared" ca="1" si="1"/>
        <v>0</v>
      </c>
      <c r="R26" s="111">
        <f ca="1">IF(Q26=0,0,LOOKUP(P26,'Emission Factors'!$A$5:$A$16,'Emission Factors'!$D$5:$D$16))</f>
        <v>0</v>
      </c>
      <c r="S26" s="105">
        <f t="shared" ca="1" si="2"/>
        <v>0</v>
      </c>
      <c r="T26" s="105" t="str">
        <f t="shared" ca="1" si="7"/>
        <v/>
      </c>
      <c r="U26" s="105">
        <f t="shared" ca="1" si="8"/>
        <v>0</v>
      </c>
      <c r="V26" s="113">
        <f t="shared" ca="1" si="3"/>
        <v>0</v>
      </c>
    </row>
    <row r="27" spans="1:23" ht="14.25" customHeight="1" x14ac:dyDescent="0.25">
      <c r="A27" s="6" t="s">
        <v>194</v>
      </c>
      <c r="B27" s="312"/>
      <c r="C27" s="312"/>
      <c r="D27" s="312"/>
      <c r="E27" s="312"/>
      <c r="F27" s="312"/>
      <c r="G27" s="45"/>
      <c r="H27" s="126" t="str">
        <f t="shared" si="4"/>
        <v/>
      </c>
      <c r="I27" s="126" t="str">
        <f t="shared" si="0"/>
        <v/>
      </c>
      <c r="J27" s="82"/>
      <c r="K27" s="61"/>
      <c r="L27" s="156"/>
      <c r="M27" s="219" t="str">
        <f t="shared" si="5"/>
        <v/>
      </c>
      <c r="N27" s="219" t="str">
        <f t="shared" si="6"/>
        <v/>
      </c>
      <c r="P27" s="90" t="s">
        <v>203</v>
      </c>
      <c r="Q27" s="105">
        <f t="shared" ca="1" si="1"/>
        <v>0</v>
      </c>
      <c r="R27" s="111">
        <f ca="1">IF(Q27=0,0,LOOKUP(P27,'Emission Factors'!$A$5:$A$16,'Emission Factors'!$D$5:$D$16))</f>
        <v>0</v>
      </c>
      <c r="S27" s="105">
        <f t="shared" ca="1" si="2"/>
        <v>0</v>
      </c>
      <c r="T27" s="105" t="str">
        <f t="shared" ca="1" si="7"/>
        <v/>
      </c>
      <c r="U27" s="105">
        <f t="shared" ca="1" si="8"/>
        <v>0</v>
      </c>
      <c r="V27" s="113">
        <f t="shared" ca="1" si="3"/>
        <v>0</v>
      </c>
    </row>
    <row r="28" spans="1:23" ht="14.25" customHeight="1" x14ac:dyDescent="0.25">
      <c r="A28" s="6" t="s">
        <v>195</v>
      </c>
      <c r="B28" s="45" t="str">
        <f>IF(COUNTIF(J21:J30,"Cement Delivery to Silo")&gt;0,"EP-2 Cement Silo Stack:","")</f>
        <v/>
      </c>
      <c r="C28" s="221"/>
      <c r="D28" s="221"/>
      <c r="E28" s="221"/>
      <c r="F28" s="221"/>
      <c r="G28" s="45"/>
      <c r="H28" s="126" t="str">
        <f t="shared" si="4"/>
        <v/>
      </c>
      <c r="I28" s="126" t="str">
        <f t="shared" si="0"/>
        <v/>
      </c>
      <c r="J28" s="82"/>
      <c r="K28" s="61"/>
      <c r="L28" s="156"/>
      <c r="M28" s="219" t="str">
        <f t="shared" si="5"/>
        <v/>
      </c>
      <c r="N28" s="219" t="str">
        <f t="shared" si="6"/>
        <v/>
      </c>
      <c r="P28" s="90" t="s">
        <v>197</v>
      </c>
      <c r="Q28" s="105">
        <f t="shared" ca="1" si="1"/>
        <v>0</v>
      </c>
      <c r="R28" s="111">
        <f ca="1">IF(Q28=0,0,LOOKUP(P28,'Emission Factors'!$A$5:$A$16,'Emission Factors'!$D$5:$D$16))</f>
        <v>0</v>
      </c>
      <c r="S28" s="105">
        <f t="shared" ca="1" si="2"/>
        <v>0</v>
      </c>
      <c r="T28" s="105" t="str">
        <f ca="1">IF(Q28=0,"",IF($I$10&gt;0,$I$10,IF(COUNTIF($F$24:$F$168,"no")&gt;0,"",S28*(1-0.95))))</f>
        <v/>
      </c>
      <c r="U28" s="105">
        <f ca="1">IF($J$10&gt;0,"",IF($D$9&gt;0,$D$9*R28*((100-$W$30)/100)/2000,IF($D$10&gt;0,$D$10*365*R28*((100-$W$30)/100)/2000,IF($D$11&gt;0,$D$11*365*R28*((100-$W$30)/100)*Q28/2000,IF(T28="",S28*8760/2000,T28*8760/2000)))))</f>
        <v>0</v>
      </c>
      <c r="V28" s="113">
        <f ca="1">(R28*N180)</f>
        <v>0</v>
      </c>
    </row>
    <row r="29" spans="1:23" ht="14.25" customHeight="1" x14ac:dyDescent="0.25">
      <c r="A29" s="138" t="s">
        <v>196</v>
      </c>
      <c r="B29" s="45" t="str">
        <f>IF(COUNTIF(J21:J30,"Cement Supplement Delivery to Silo")&gt;0,"EP-3 Cement Supplement Silo Stack:","")</f>
        <v/>
      </c>
      <c r="C29" s="221"/>
      <c r="D29" s="221"/>
      <c r="E29" s="221"/>
      <c r="F29" s="221"/>
      <c r="G29" s="45"/>
      <c r="H29" s="126" t="str">
        <f t="shared" si="4"/>
        <v/>
      </c>
      <c r="I29" s="126" t="str">
        <f t="shared" si="0"/>
        <v/>
      </c>
      <c r="J29" s="82"/>
      <c r="K29" s="61"/>
      <c r="L29" s="156"/>
      <c r="M29" s="219" t="str">
        <f t="shared" si="5"/>
        <v/>
      </c>
      <c r="N29" s="219" t="str">
        <f t="shared" si="6"/>
        <v/>
      </c>
      <c r="P29" s="90" t="s">
        <v>198</v>
      </c>
      <c r="Q29" s="105">
        <f t="shared" ca="1" si="1"/>
        <v>0</v>
      </c>
      <c r="R29" s="111">
        <f ca="1">IF(Q29=0,0,LOOKUP(P29,'Emission Factors'!$A$5:$A$16,'Emission Factors'!$D$5:$D$16))</f>
        <v>0</v>
      </c>
      <c r="S29" s="105">
        <f t="shared" ca="1" si="2"/>
        <v>0</v>
      </c>
      <c r="T29" s="105" t="str">
        <f ca="1">IF(Q29=0,"",IF($I$10&gt;0,$I$10,IF(COUNTIF($F$24:$F$168,"no")&gt;0,"",S29*(1-0.95))))</f>
        <v/>
      </c>
      <c r="U29" s="105">
        <f ca="1">IF($J$10&gt;0,"",IF($D$9&gt;0,$D$9*R29*((100-$W$30)/100)/2000,IF($D$10&gt;0,$D$10*365*R29*((100-$W$30)/100)/2000,IF($D$11&gt;0,$D$11*365*R29*((100-$W$30)/100)*Q29/2000,IF(T29="",S29*8760/2000,T29*8760/2000)))))</f>
        <v>0</v>
      </c>
      <c r="V29" s="113">
        <f ca="1">(R29*M180)</f>
        <v>0</v>
      </c>
    </row>
    <row r="30" spans="1:23" ht="14.25" customHeight="1" x14ac:dyDescent="0.25">
      <c r="A30" s="138" t="s">
        <v>203</v>
      </c>
      <c r="B30" s="45" t="str">
        <f>IF(COUNTIF(J21:J30,"Weigh Hopper Loading")&gt;0,"EP-4 Weigh Hopper Loading Stack:","")</f>
        <v/>
      </c>
      <c r="C30" s="221"/>
      <c r="D30" s="221"/>
      <c r="E30" s="221"/>
      <c r="F30" s="221"/>
      <c r="H30" s="126" t="str">
        <f t="shared" si="4"/>
        <v/>
      </c>
      <c r="I30" s="126" t="str">
        <f t="shared" si="0"/>
        <v/>
      </c>
      <c r="J30" s="82"/>
      <c r="K30" s="61"/>
      <c r="L30" s="156"/>
      <c r="M30" s="219" t="str">
        <f t="shared" si="5"/>
        <v/>
      </c>
      <c r="N30" s="219" t="str">
        <f t="shared" si="6"/>
        <v/>
      </c>
      <c r="P30" s="90" t="s">
        <v>199</v>
      </c>
      <c r="Q30" s="105">
        <f t="shared" ca="1" si="1"/>
        <v>0</v>
      </c>
      <c r="R30" s="111">
        <f ca="1">IF(Q30=0,0,LOOKUP(P30,'Emission Factors'!$A$5:$A$16,'Emission Factors'!$D$5:$D$16))</f>
        <v>0</v>
      </c>
      <c r="S30" s="148"/>
      <c r="T30" s="105">
        <f ca="1">IF(Q30=0,0,IF($I$10&gt;0,$I$10,Q30*R30))</f>
        <v>0</v>
      </c>
      <c r="U30" s="105">
        <f ca="1">IF($J$10&gt;0,"",IF($D$9&gt;0,$D$9*R30/2000,IF($D$10&gt;0,$D$10*365*R30/2000,IF($D$11&gt;0,$D$11*365*R30*Q30/2000,IF($I$10&gt;0,0,T30*8760/2000)))))</f>
        <v>0</v>
      </c>
      <c r="V30" s="113">
        <f ca="1">(R13*R30/2000)</f>
        <v>0</v>
      </c>
      <c r="W30" s="67">
        <f>IF(COUNTIF($F$24:$F$168,"no")&gt;0,0,95)</f>
        <v>95</v>
      </c>
    </row>
    <row r="31" spans="1:23" ht="14.25" customHeight="1" x14ac:dyDescent="0.25">
      <c r="A31" s="138" t="s">
        <v>197</v>
      </c>
      <c r="B31" s="45" t="str">
        <f>IF(COUNTIF(J21:J30,"Truck Mix Loading")&gt;0,"EP-5 Truck Mix Loading Stack:","")</f>
        <v/>
      </c>
      <c r="C31" s="221"/>
      <c r="D31" s="221"/>
      <c r="E31" s="221"/>
      <c r="F31" s="221"/>
      <c r="G31" s="76"/>
      <c r="H31" s="45"/>
      <c r="I31" s="45"/>
      <c r="P31" s="90" t="s">
        <v>200</v>
      </c>
      <c r="Q31" s="105">
        <f t="shared" ca="1" si="1"/>
        <v>0</v>
      </c>
      <c r="R31" s="111">
        <f ca="1">IF(Q31=0,0,LOOKUP(P31,'Emission Factors'!$A$5:$A$16,'Emission Factors'!$D$5:$D$16))</f>
        <v>0</v>
      </c>
      <c r="S31" s="148"/>
      <c r="T31" s="105">
        <f ca="1">IF(Q31=0,0,IF($I$10&gt;0,$I$10,Q31*R31))</f>
        <v>0</v>
      </c>
      <c r="U31" s="105">
        <f ca="1">IF($J$10&gt;0,"",IF($D$9&gt;0,$D$9*R31/2000,IF($D$10&gt;0,$D$10*365*R31/2000,IF($D$11&gt;0,$D$11*365*R31*Q31/2000,IF($I$10&gt;0,0,T31*8760/2000)))))</f>
        <v>0</v>
      </c>
      <c r="V31" s="113">
        <f ca="1">(R14*R31/2000)</f>
        <v>0</v>
      </c>
    </row>
    <row r="32" spans="1:23" ht="14.25" customHeight="1" x14ac:dyDescent="0.25">
      <c r="A32" s="138" t="s">
        <v>198</v>
      </c>
      <c r="B32" s="45" t="str">
        <f>IF(COUNTIF(J21:J30,"Central Mix Loading")&gt;0,"EP-6 Central Mix Loading Stack:","")</f>
        <v/>
      </c>
      <c r="C32" s="221"/>
      <c r="D32" s="221"/>
      <c r="E32" s="221"/>
      <c r="F32" s="221"/>
      <c r="H32" s="74" t="s">
        <v>85</v>
      </c>
      <c r="I32" s="74"/>
      <c r="J32" s="75"/>
    </row>
    <row r="33" spans="1:23" ht="14.25" customHeight="1" x14ac:dyDescent="0.25">
      <c r="A33" s="138" t="s">
        <v>199</v>
      </c>
      <c r="B33" s="73"/>
      <c r="C33" s="163"/>
      <c r="D33" s="163"/>
      <c r="E33" s="163"/>
      <c r="F33" s="176"/>
      <c r="I33" s="77" t="s">
        <v>61</v>
      </c>
      <c r="J33" s="43" t="s">
        <v>86</v>
      </c>
      <c r="K33" s="142" t="s">
        <v>87</v>
      </c>
      <c r="L33" s="43" t="s">
        <v>88</v>
      </c>
      <c r="M33" s="146"/>
      <c r="N33" s="146"/>
      <c r="P33" s="89" t="s">
        <v>17</v>
      </c>
      <c r="Q33" s="107"/>
      <c r="R33" s="112"/>
      <c r="S33" s="108"/>
      <c r="T33" s="108"/>
      <c r="U33" s="108"/>
      <c r="V33" s="114"/>
    </row>
    <row r="34" spans="1:23" ht="14.25" customHeight="1" x14ac:dyDescent="0.25">
      <c r="A34" s="138" t="s">
        <v>200</v>
      </c>
      <c r="B34" s="73"/>
      <c r="C34" s="163"/>
      <c r="D34" s="163"/>
      <c r="E34" s="163"/>
      <c r="F34" s="176"/>
      <c r="I34" s="63"/>
      <c r="J34" s="144"/>
      <c r="K34" s="64"/>
      <c r="L34" s="144"/>
      <c r="M34" s="146"/>
      <c r="N34" s="146"/>
      <c r="P34" s="90" t="s">
        <v>191</v>
      </c>
      <c r="Q34" s="105">
        <f t="shared" ref="Q34:Q44" ca="1" si="9">Q4</f>
        <v>0</v>
      </c>
      <c r="R34" s="111">
        <f ca="1">IF(Q34=0,0,LOOKUP(P34,'Emission Factors'!$A$5:$A$16,'Emission Factors'!$H$5:$H$16))</f>
        <v>0</v>
      </c>
      <c r="S34" s="105">
        <f ca="1">Q34*R34</f>
        <v>0</v>
      </c>
      <c r="T34" s="105" t="str">
        <f ca="1">IF(Q34=0,"",IF($I$11&gt;0,$I$11,""))</f>
        <v/>
      </c>
      <c r="U34" s="105">
        <f ca="1">IF($J$11&gt;0,$J$11,IF($D$9&gt;0,$D$9*R34/2000,IF($D$10&gt;0,$D$10*365*R34/2000,IF($D$11&gt;0,$D$11*365*R34*Q34/2000,IF(T34="",S34*8760/2000,T34*8760/2000)))))</f>
        <v>0</v>
      </c>
      <c r="V34" s="113">
        <f t="shared" ref="V34:V40" ca="1" si="10">(R4*R34/2000)</f>
        <v>0</v>
      </c>
    </row>
    <row r="35" spans="1:23" ht="14.25" customHeight="1" x14ac:dyDescent="0.2">
      <c r="B35" s="45"/>
      <c r="F35" s="177"/>
      <c r="G35" s="45"/>
      <c r="P35" s="90" t="s">
        <v>192</v>
      </c>
      <c r="Q35" s="105">
        <f t="shared" ca="1" si="9"/>
        <v>0</v>
      </c>
      <c r="R35" s="111">
        <f ca="1">IF(Q35=0,0,LOOKUP(P35,'Emission Factors'!$A$5:$A$16,'Emission Factors'!$H$5:$H$16))</f>
        <v>0</v>
      </c>
      <c r="S35" s="109">
        <f t="shared" ref="S35:S36" ca="1" si="11">Q35*R35</f>
        <v>0</v>
      </c>
      <c r="T35" s="105" t="str">
        <f t="shared" ref="T35:T36" ca="1" si="12">IF(Q35=0,"",IF($I$11&gt;0,$I$11,""))</f>
        <v/>
      </c>
      <c r="U35" s="105">
        <f t="shared" ref="U35:U36" ca="1" si="13">IF($J$11&gt;0,"",IF($D$9&gt;0,$D$9*R35/2000,IF($D$10&gt;0,$D$10*365*R35/2000,IF($D$11&gt;0,$D$11*365*R35*Q35/2000,IF(T35="",S35*8760/2000,T35*8760/2000)))))</f>
        <v>0</v>
      </c>
      <c r="V35" s="113">
        <f t="shared" ca="1" si="10"/>
        <v>0</v>
      </c>
    </row>
    <row r="36" spans="1:23" ht="25.5" customHeight="1" x14ac:dyDescent="0.25">
      <c r="B36" s="78" t="str">
        <f>IF('Concrete Plant (CP-10)'!$D$4&gt;1,"Batch Plant","")</f>
        <v/>
      </c>
      <c r="C36" s="71" t="str">
        <f>IF('Concrete Plant (CP-10)'!$D$4&gt;1,"Site 2","")</f>
        <v/>
      </c>
      <c r="D36" s="71"/>
      <c r="E36" s="71"/>
      <c r="F36" s="71"/>
      <c r="G36" s="45"/>
      <c r="H36" s="310" t="str">
        <f>IF('Concrete Plant (CP-10)'!$D$4&gt;1,"Emission Point #","")</f>
        <v/>
      </c>
      <c r="I36" s="310" t="str">
        <f>IF('Concrete Plant (CP-10)'!$D$4&gt;1,"Emission     Unit #","")</f>
        <v/>
      </c>
      <c r="J36" s="310" t="str">
        <f>IF('Concrete Plant (CP-10)'!$D$4&gt;1,"Processes","")</f>
        <v/>
      </c>
      <c r="K36" s="311" t="str">
        <f>IF('Concrete Plant (CP-10)'!$D$4&gt;1,"Combined Maximum Hourly Design Rate for all Like Processes (cubic yard/hr)","")</f>
        <v/>
      </c>
      <c r="L36" s="310" t="str">
        <f>IF('Concrete Plant (CP-10)'!$D$4&gt;1,('Facility Information'!G5&amp;" Annual Throughput (cubic yards)"),"")</f>
        <v/>
      </c>
      <c r="M36" s="217"/>
      <c r="N36" s="217"/>
      <c r="P36" s="90" t="s">
        <v>193</v>
      </c>
      <c r="Q36" s="105">
        <f t="shared" ca="1" si="9"/>
        <v>0</v>
      </c>
      <c r="R36" s="111">
        <f ca="1">IF(Q36=0,0,LOOKUP(P36,'Emission Factors'!$A$5:$A$16,'Emission Factors'!$H$5:$H$16))</f>
        <v>0</v>
      </c>
      <c r="S36" s="105">
        <f t="shared" ca="1" si="11"/>
        <v>0</v>
      </c>
      <c r="T36" s="105" t="str">
        <f t="shared" ca="1" si="12"/>
        <v/>
      </c>
      <c r="U36" s="105">
        <f t="shared" ca="1" si="13"/>
        <v>0</v>
      </c>
      <c r="V36" s="113">
        <f t="shared" ca="1" si="10"/>
        <v>0</v>
      </c>
    </row>
    <row r="37" spans="1:23" ht="14.25" customHeight="1" x14ac:dyDescent="0.2">
      <c r="B37" s="79" t="str">
        <f>IF('Concrete Plant (CP-10)'!$D$4&gt;1,"Site Name:","")</f>
        <v/>
      </c>
      <c r="C37" s="349"/>
      <c r="D37" s="356"/>
      <c r="E37" s="357"/>
      <c r="F37" s="175"/>
      <c r="G37" s="45"/>
      <c r="H37" s="127" t="str">
        <f>IF(J37="cement delivery to silo","CP-1 EP-2",IF(J37="cement supplement delivery to silo","CP-1 EP-3",IF(J37="weigh hopper loading","CP-1 EP-4",IF(J37="truck mix loading","CP-1 EP-5",IF(J37="central mix loading","CP-1 EP-6",IF(J37="","","CP-1 EP-1"))))))</f>
        <v/>
      </c>
      <c r="I37" s="127" t="str">
        <f t="shared" ref="I37:I46" si="14">IF(J37="","",IF(J37="aggregate delivery to ground storage","CP-10 EU-1",IF(J37="sand delivery to ground storage","CP-10 EU-2",IF(J37="aggregate transfer to conveyor","CP-10 EU-3",IF(J37="sand transfer to conveyor","CP-10 EU-4",IF(J37="aggregate transfer to elevated storage","CP-10 EU-5",IF(J37="sand transfer to elevated storage","CP-10 EU-6",IF(J37="weigh hopper loading","CP-10 EU-7",IF(J37="central mix loading","CP-10 EU-8",IF(J37="truck mix loading","CP-10 EU-9",IF(J37="cement delivery to silo","CP-10 EU-10",IF(J37="cement supplement delivery to silo","CP-10 EU-11"))))))))))))</f>
        <v/>
      </c>
      <c r="J37" s="82"/>
      <c r="K37" s="61"/>
      <c r="L37" s="156"/>
      <c r="M37" s="219" t="str">
        <f>IF(J37="truck mix loading",IF($F$40="yes",L37*0.05/2000,L37/2000),"")</f>
        <v/>
      </c>
      <c r="N37" s="219" t="str">
        <f>IF(J37="central mix loading",IF($F$40="yes",L37*0.05/2000,L37/2000),"")</f>
        <v/>
      </c>
      <c r="P37" s="90" t="s">
        <v>194</v>
      </c>
      <c r="Q37" s="105">
        <f t="shared" ca="1" si="9"/>
        <v>0</v>
      </c>
      <c r="R37" s="111">
        <f ca="1">IF(Q37=0,0,LOOKUP(P37,'Emission Factors'!$A$5:$A$16,'Emission Factors'!$H$5:$H$16))</f>
        <v>0</v>
      </c>
      <c r="S37" s="105">
        <f t="shared" ref="S37:S42" ca="1" si="15">Q37*R37</f>
        <v>0</v>
      </c>
      <c r="T37" s="105" t="str">
        <f ca="1">IF(Q37=0,"",IF($I$11&gt;0,$I$11,""))</f>
        <v/>
      </c>
      <c r="U37" s="105">
        <f ca="1">IF($J$11&gt;0,"",IF($D$9&gt;0,$D$9*R37/2000,IF($D$10&gt;0,$D$10*365*R37/2000,IF($D$11&gt;0,$D$11*365*R37*Q37/2000,IF(T37="",S37*8760/2000,T37*8760/2000)))))</f>
        <v>0</v>
      </c>
      <c r="V37" s="113">
        <f t="shared" ca="1" si="10"/>
        <v>0</v>
      </c>
    </row>
    <row r="38" spans="1:23" ht="14.25" customHeight="1" x14ac:dyDescent="0.2">
      <c r="B38" s="79" t="str">
        <f>IF('Concrete Plant (CP-10)'!$D$4&gt;1,"County:","")</f>
        <v/>
      </c>
      <c r="C38" s="339"/>
      <c r="D38" s="342"/>
      <c r="E38" s="343"/>
      <c r="F38" s="175"/>
      <c r="G38" s="45"/>
      <c r="H38" s="127" t="str">
        <f t="shared" ref="H38:H46" si="16">IF(J38="cement delivery to silo","CP-1 EP-2",IF(J38="cement supplement delivery to silo","CP-1 EP-3",IF(J38="weigh hopper loading","CP-1 EP-4",IF(J38="truck mix loading","CP-1 EP-5",IF(J38="central mix loading","CP-1 EP-6",IF(J38="","","CP-1 EP-1"))))))</f>
        <v/>
      </c>
      <c r="I38" s="127" t="str">
        <f t="shared" si="14"/>
        <v/>
      </c>
      <c r="J38" s="82"/>
      <c r="K38" s="61"/>
      <c r="L38" s="156"/>
      <c r="M38" s="219" t="str">
        <f t="shared" ref="M38:M46" si="17">IF(J38="truck mix loading",IF($F$40="yes",L38*0.05/2000,L38/2000),"")</f>
        <v/>
      </c>
      <c r="N38" s="219" t="str">
        <f t="shared" ref="N38:N46" si="18">IF(J38="central mix loading",IF($F$40="yes",L38*0.05/2000,L38/2000),"")</f>
        <v/>
      </c>
      <c r="P38" s="90" t="s">
        <v>195</v>
      </c>
      <c r="Q38" s="105">
        <f t="shared" ca="1" si="9"/>
        <v>0</v>
      </c>
      <c r="R38" s="111">
        <f ca="1">IF(Q38=0,0,LOOKUP(P38,'Emission Factors'!$A$5:$A$16,'Emission Factors'!$H$5:$H$16))</f>
        <v>0</v>
      </c>
      <c r="S38" s="105">
        <f t="shared" ca="1" si="15"/>
        <v>0</v>
      </c>
      <c r="T38" s="105" t="str">
        <f ca="1">IF(Q38=0,"",IF($I$11&gt;0,$I$11,""))</f>
        <v/>
      </c>
      <c r="U38" s="105">
        <f ca="1">IF($J$11&gt;0,"",IF($D$9&gt;0,$D$9*R38/2000,IF($D$10&gt;0,$D$10*365*R38/2000,IF($D$11&gt;0,$D$11*365*R38*Q38/2000,IF(T38="",S38*8760/2000,T38*8760/2000)))))</f>
        <v>0</v>
      </c>
      <c r="V38" s="113">
        <f t="shared" ca="1" si="10"/>
        <v>0</v>
      </c>
    </row>
    <row r="39" spans="1:23" ht="14.25" customHeight="1" x14ac:dyDescent="0.2">
      <c r="B39" s="79" t="str">
        <f>IF('Concrete Plant (CP-10)'!$D$4&gt;1,"Batching Period (Dates):","")</f>
        <v/>
      </c>
      <c r="C39" s="352"/>
      <c r="D39" s="358"/>
      <c r="E39" s="359"/>
      <c r="F39" s="175"/>
      <c r="G39" s="45"/>
      <c r="H39" s="127" t="str">
        <f t="shared" si="16"/>
        <v/>
      </c>
      <c r="I39" s="127" t="str">
        <f t="shared" si="14"/>
        <v/>
      </c>
      <c r="J39" s="82"/>
      <c r="K39" s="61"/>
      <c r="L39" s="156"/>
      <c r="M39" s="219" t="str">
        <f t="shared" si="17"/>
        <v/>
      </c>
      <c r="N39" s="219" t="str">
        <f t="shared" si="18"/>
        <v/>
      </c>
      <c r="P39" s="90" t="s">
        <v>196</v>
      </c>
      <c r="Q39" s="105">
        <f t="shared" ca="1" si="9"/>
        <v>0</v>
      </c>
      <c r="R39" s="111">
        <f ca="1">IF(Q39=0,0,LOOKUP(P39,'Emission Factors'!$A$5:$A$16,'Emission Factors'!$H$5:$H$16))</f>
        <v>0</v>
      </c>
      <c r="S39" s="105">
        <f t="shared" ca="1" si="15"/>
        <v>0</v>
      </c>
      <c r="T39" s="105" t="str">
        <f ca="1">IF(Q39=0,"",IF($I$11&gt;0,$I$11,""))</f>
        <v/>
      </c>
      <c r="U39" s="105">
        <f ca="1">IF($J$11&gt;0,"",IF($D$9&gt;0,$D$9*R39/2000,IF($D$10&gt;0,$D$10*365*R39/2000,IF($D$11&gt;0,$D$11*365*R39*Q39/2000,IF(T39="",S39*8760/2000,T39*8760/2000)))))</f>
        <v>0</v>
      </c>
      <c r="V39" s="113">
        <f t="shared" ca="1" si="10"/>
        <v>0</v>
      </c>
    </row>
    <row r="40" spans="1:23" ht="14.25" customHeight="1" x14ac:dyDescent="0.2">
      <c r="B40" s="51" t="str">
        <f>IF(OR(COUNTIF(J37:J46,"Truck Mix Loading")&gt;0,(COUNTIF(J37:J46,"Central Mix Loading")&gt;0)),"Is the Central/Truck Mix Loading process controlled by a baghouse?","")</f>
        <v/>
      </c>
      <c r="C40" s="51"/>
      <c r="D40" s="51"/>
      <c r="E40" s="51"/>
      <c r="F40" s="221"/>
      <c r="G40" s="45"/>
      <c r="H40" s="127" t="str">
        <f t="shared" si="16"/>
        <v/>
      </c>
      <c r="I40" s="127" t="str">
        <f t="shared" si="14"/>
        <v/>
      </c>
      <c r="J40" s="82"/>
      <c r="K40" s="61"/>
      <c r="L40" s="156"/>
      <c r="M40" s="219" t="str">
        <f t="shared" si="17"/>
        <v/>
      </c>
      <c r="N40" s="219" t="str">
        <f t="shared" si="18"/>
        <v/>
      </c>
      <c r="P40" s="90" t="s">
        <v>203</v>
      </c>
      <c r="Q40" s="105">
        <f t="shared" ca="1" si="9"/>
        <v>0</v>
      </c>
      <c r="R40" s="111">
        <f ca="1">IF(Q40=0,0,LOOKUP(P40,'Emission Factors'!$A$5:$A$16,'Emission Factors'!$H$5:$H$16))</f>
        <v>0</v>
      </c>
      <c r="S40" s="105">
        <f t="shared" ca="1" si="15"/>
        <v>0</v>
      </c>
      <c r="T40" s="105" t="str">
        <f ca="1">IF(Q40=0,"",IF($I$11&gt;0,$I$11,""))</f>
        <v/>
      </c>
      <c r="U40" s="105">
        <f ca="1">IF($J$11&gt;0,"",IF($D$9&gt;0,$D$9*R40/2000,IF($D$10&gt;0,$D$10*365*R40/2000,IF($D$11&gt;0,$D$11*365*R40*Q40/2000,IF(T40="",S40*8760/2000,T40*8760/2000)))))</f>
        <v>0</v>
      </c>
      <c r="V40" s="113">
        <f t="shared" ca="1" si="10"/>
        <v>0</v>
      </c>
      <c r="W40" s="67">
        <f>IF(COUNTIF($F$24:$F$168,"no")&gt;0,0,95)</f>
        <v>95</v>
      </c>
    </row>
    <row r="41" spans="1:23" ht="14.25" customHeight="1" x14ac:dyDescent="0.2">
      <c r="F41" s="177"/>
      <c r="G41" s="45"/>
      <c r="H41" s="127" t="str">
        <f t="shared" si="16"/>
        <v/>
      </c>
      <c r="I41" s="127" t="str">
        <f t="shared" si="14"/>
        <v/>
      </c>
      <c r="J41" s="82"/>
      <c r="K41" s="61"/>
      <c r="L41" s="156"/>
      <c r="M41" s="219" t="str">
        <f t="shared" si="17"/>
        <v/>
      </c>
      <c r="N41" s="219" t="str">
        <f t="shared" si="18"/>
        <v/>
      </c>
      <c r="P41" s="90" t="s">
        <v>197</v>
      </c>
      <c r="Q41" s="105">
        <f t="shared" ca="1" si="9"/>
        <v>0</v>
      </c>
      <c r="R41" s="111">
        <f ca="1">IF(Q41=0,0,LOOKUP(P41,'Emission Factors'!$A$5:$A$16,'Emission Factors'!$H$5:$H$16))</f>
        <v>0</v>
      </c>
      <c r="S41" s="105">
        <f t="shared" ca="1" si="15"/>
        <v>0</v>
      </c>
      <c r="T41" s="105" t="str">
        <f ca="1">IF(Q41=0,"",IF($I$11&gt;0,$I$11,IF(COUNTIF($F$24:$F$168,"no")&gt;0,"",S41*(1-0.95))))</f>
        <v/>
      </c>
      <c r="U41" s="105">
        <f ca="1">IF($J$11&gt;0,"",IF($D$9&gt;0,$D$9*R41*((100-$W$30)/100)/2000,IF($D$10&gt;0,$D$10*365*R41*((100-$W$30)/100)/2000,IF($D$11&gt;0,$D$11*365*R41*((100-$W$30)/100)*Q41/2000,IF(T41="",S41*8760/2000,T41*8760/2000)))))</f>
        <v>0</v>
      </c>
      <c r="V41" s="113">
        <f ca="1">(N180*R41)</f>
        <v>0</v>
      </c>
    </row>
    <row r="42" spans="1:23" ht="26.25" customHeight="1" x14ac:dyDescent="0.2">
      <c r="B42" s="312" t="str">
        <f>IF(AND(B44="",B45="",B46="",B47="",B48=""),"","Process (complete stack information if applicable):")</f>
        <v/>
      </c>
      <c r="C42" s="312" t="str">
        <f>IF(AND(B44="",B45="",B46="",B47="",B48=""),"","Stack Height (ft):")</f>
        <v/>
      </c>
      <c r="D42" s="312" t="str">
        <f>IF(AND(B44="",B45="",B46="",B47="",B48=""),"","Stack Diameter (inches):")</f>
        <v/>
      </c>
      <c r="E42" s="312" t="str">
        <f>IF(AND(B44="",B45="",B46="",B47="",B48=""),"","Flow Rate (acfm):")</f>
        <v/>
      </c>
      <c r="F42" s="312" t="str">
        <f>IF(AND(B44="",B45="",B46="",B47="",B48=""),"","Temp (Deg F):")</f>
        <v/>
      </c>
      <c r="G42" s="45"/>
      <c r="H42" s="127" t="str">
        <f t="shared" si="16"/>
        <v/>
      </c>
      <c r="I42" s="127" t="str">
        <f t="shared" si="14"/>
        <v/>
      </c>
      <c r="J42" s="82"/>
      <c r="K42" s="61"/>
      <c r="L42" s="156"/>
      <c r="M42" s="219" t="str">
        <f t="shared" si="17"/>
        <v/>
      </c>
      <c r="N42" s="219" t="str">
        <f t="shared" si="18"/>
        <v/>
      </c>
      <c r="P42" s="90" t="s">
        <v>198</v>
      </c>
      <c r="Q42" s="105">
        <f t="shared" ca="1" si="9"/>
        <v>0</v>
      </c>
      <c r="R42" s="111">
        <f ca="1">IF(Q42=0,0,LOOKUP(P42,'Emission Factors'!$A$5:$A$16,'Emission Factors'!$H$5:$H$16))</f>
        <v>0</v>
      </c>
      <c r="S42" s="105">
        <f t="shared" ca="1" si="15"/>
        <v>0</v>
      </c>
      <c r="T42" s="105" t="str">
        <f ca="1">IF(Q42=0,"",IF($I$11&gt;0,$I$11,IF(COUNTIF($F$24:$F$168,"no")&gt;0,"",S42*(1-0.95))))</f>
        <v/>
      </c>
      <c r="U42" s="105">
        <f ca="1">IF($J$11&gt;0,"",IF($D$9&gt;0,$D$9*R42*((100-$W$30)/100)/2000,IF($D$10&gt;0,$D$10*365*R42*((100-$W$30)/100)/2000,IF($D$11&gt;0,$D$11*365*R42*((100-$W$30)/100)*Q42/2000,IF(T42="",S42*8760/2000,T42*8760/2000)))))</f>
        <v>0</v>
      </c>
      <c r="V42" s="113">
        <f ca="1">(M180*R42)</f>
        <v>0</v>
      </c>
    </row>
    <row r="43" spans="1:23" ht="14.25" customHeight="1" x14ac:dyDescent="0.2">
      <c r="B43" s="312"/>
      <c r="C43" s="312"/>
      <c r="D43" s="312"/>
      <c r="E43" s="312"/>
      <c r="F43" s="312"/>
      <c r="G43" s="45"/>
      <c r="H43" s="127" t="str">
        <f t="shared" si="16"/>
        <v/>
      </c>
      <c r="I43" s="127" t="str">
        <f t="shared" si="14"/>
        <v/>
      </c>
      <c r="J43" s="82"/>
      <c r="K43" s="61"/>
      <c r="L43" s="156"/>
      <c r="M43" s="219" t="str">
        <f t="shared" si="17"/>
        <v/>
      </c>
      <c r="N43" s="219" t="str">
        <f t="shared" si="18"/>
        <v/>
      </c>
      <c r="P43" s="90" t="s">
        <v>199</v>
      </c>
      <c r="Q43" s="105">
        <f t="shared" ca="1" si="9"/>
        <v>0</v>
      </c>
      <c r="R43" s="111">
        <f ca="1">IF(Q43=0,0,LOOKUP(P43,'Emission Factors'!$A$5:$A$16,'Emission Factors'!$H$5:$H$16))</f>
        <v>0</v>
      </c>
      <c r="S43" s="148"/>
      <c r="T43" s="105">
        <f ca="1">IF(Q43=0,0,IF($I$10&gt;0,$I$10,Q43*R43))</f>
        <v>0</v>
      </c>
      <c r="U43" s="105">
        <f ca="1">IF($J$11&gt;0,"",IF($D$9&gt;0,$D$9*R43/2000,IF($D$10&gt;0,$D$10*365*R43/2000,IF($D$11&gt;0,$D$11*365*R43*Q43/2000,IF($I$11&gt;0,0,T43*8760/2000)))))</f>
        <v>0</v>
      </c>
      <c r="V43" s="113">
        <f ca="1">(R13*R43/2000)</f>
        <v>0</v>
      </c>
    </row>
    <row r="44" spans="1:23" ht="14.25" customHeight="1" x14ac:dyDescent="0.2">
      <c r="B44" s="45" t="str">
        <f>IF(COUNTIF(J37:J46,"Cement Delivery to Silo")&gt;0,"EP-2 Cement Silo Stack:","")</f>
        <v/>
      </c>
      <c r="C44" s="221"/>
      <c r="D44" s="221"/>
      <c r="E44" s="221"/>
      <c r="F44" s="221"/>
      <c r="H44" s="127" t="str">
        <f t="shared" si="16"/>
        <v/>
      </c>
      <c r="I44" s="127" t="str">
        <f t="shared" si="14"/>
        <v/>
      </c>
      <c r="J44" s="82"/>
      <c r="K44" s="61"/>
      <c r="L44" s="156"/>
      <c r="M44" s="219" t="str">
        <f t="shared" si="17"/>
        <v/>
      </c>
      <c r="N44" s="219" t="str">
        <f t="shared" si="18"/>
        <v/>
      </c>
      <c r="P44" s="90" t="s">
        <v>200</v>
      </c>
      <c r="Q44" s="105">
        <f t="shared" ca="1" si="9"/>
        <v>0</v>
      </c>
      <c r="R44" s="111">
        <f ca="1">IF(Q44=0,0,LOOKUP(P44,'Emission Factors'!$A$5:$A$16,'Emission Factors'!$H$5:$H$16))</f>
        <v>0</v>
      </c>
      <c r="S44" s="148"/>
      <c r="T44" s="105">
        <f ca="1">IF(Q44=0,0,IF($I$10&gt;0,$I$10,Q44*R44))</f>
        <v>0</v>
      </c>
      <c r="U44" s="105">
        <f ca="1">IF($J$11&gt;0,"",IF($D$9&gt;0,$D$9*R44/2000,IF($D$10&gt;0,$D$10*365*R44/2000,IF($D$11&gt;0,$D$11*365*R44*Q44/2000,IF($I$11&gt;0,0,T44*8760/2000)))))</f>
        <v>0</v>
      </c>
      <c r="V44" s="113">
        <f ca="1">(R14*R44/2000)</f>
        <v>0</v>
      </c>
    </row>
    <row r="45" spans="1:23" ht="14.25" customHeight="1" x14ac:dyDescent="0.2">
      <c r="B45" s="45" t="str">
        <f>IF(COUNTIF(J37:J46,"Cement Supplement Delivery to Silo")&gt;0,"EP-3 Cement Supplement Silo Stack:","")</f>
        <v/>
      </c>
      <c r="C45" s="221"/>
      <c r="D45" s="221"/>
      <c r="E45" s="221"/>
      <c r="F45" s="221"/>
      <c r="G45" s="76"/>
      <c r="H45" s="127" t="str">
        <f t="shared" si="16"/>
        <v/>
      </c>
      <c r="I45" s="127" t="str">
        <f t="shared" si="14"/>
        <v/>
      </c>
      <c r="J45" s="82"/>
      <c r="K45" s="61"/>
      <c r="L45" s="156"/>
      <c r="M45" s="219" t="str">
        <f t="shared" si="17"/>
        <v/>
      </c>
      <c r="N45" s="219" t="str">
        <f t="shared" si="18"/>
        <v/>
      </c>
      <c r="O45" s="76"/>
    </row>
    <row r="46" spans="1:23" ht="14.25" customHeight="1" x14ac:dyDescent="0.2">
      <c r="B46" s="45" t="str">
        <f>IF(COUNTIF(J37:J46,"Weigh Hopper Loading")&gt;0,"EP-4 Weigh Hopper Loading Stack:","")</f>
        <v/>
      </c>
      <c r="C46" s="221"/>
      <c r="D46" s="221"/>
      <c r="E46" s="221"/>
      <c r="F46" s="221"/>
      <c r="H46" s="127" t="str">
        <f t="shared" si="16"/>
        <v/>
      </c>
      <c r="I46" s="127" t="str">
        <f t="shared" si="14"/>
        <v/>
      </c>
      <c r="J46" s="82"/>
      <c r="K46" s="61"/>
      <c r="L46" s="156"/>
      <c r="M46" s="219" t="str">
        <f t="shared" si="17"/>
        <v/>
      </c>
      <c r="N46" s="219" t="str">
        <f t="shared" si="18"/>
        <v/>
      </c>
    </row>
    <row r="47" spans="1:23" ht="23.25" customHeight="1" x14ac:dyDescent="0.2">
      <c r="B47" s="45" t="str">
        <f>IF(COUNTIF(J37:J46,"Truck Mix Loading")&gt;0,"EP-5 Truck Mix Loading Stack:","")</f>
        <v/>
      </c>
      <c r="C47" s="221"/>
      <c r="D47" s="221"/>
      <c r="E47" s="221"/>
      <c r="F47" s="221"/>
      <c r="G47" s="146"/>
      <c r="H47" s="74" t="str">
        <f>IF('Concrete Plant (CP-10)'!$D$4&gt;1,"Stock Pile Area","")</f>
        <v/>
      </c>
      <c r="I47" s="74"/>
      <c r="J47" s="74"/>
      <c r="L47" s="76"/>
      <c r="P47" s="68" t="s">
        <v>40</v>
      </c>
      <c r="Q47" s="309" t="s">
        <v>151</v>
      </c>
      <c r="R47" s="309" t="s">
        <v>152</v>
      </c>
      <c r="S47" s="308" t="s">
        <v>147</v>
      </c>
      <c r="T47" s="308" t="s">
        <v>130</v>
      </c>
      <c r="U47" s="308" t="s">
        <v>14</v>
      </c>
      <c r="V47" s="308" t="s">
        <v>148</v>
      </c>
    </row>
    <row r="48" spans="1:23" ht="14.25" customHeight="1" x14ac:dyDescent="0.2">
      <c r="B48" s="45" t="str">
        <f>IF(COUNTIF(J37:J46,"Central Mix Loading")&gt;0,"EP-6 Central Mix Loading Stack:","")</f>
        <v/>
      </c>
      <c r="C48" s="221"/>
      <c r="D48" s="221"/>
      <c r="E48" s="221"/>
      <c r="F48" s="221"/>
      <c r="G48" s="71"/>
      <c r="I48" s="51" t="str">
        <f>IF('Concrete Plant (CP-10)'!$D$4&gt;1,"Emission Unit #","")</f>
        <v/>
      </c>
      <c r="J48" s="81" t="str">
        <f>IF('Concrete Plant (CP-10)'!$D$4&gt;1,"Maximum Storage Area (acres)","")</f>
        <v/>
      </c>
      <c r="K48" s="81" t="str">
        <f>IF('Concrete Plant (CP-10)'!$D$4&gt;1,"Actual Storage Area (acres)","")</f>
        <v/>
      </c>
      <c r="L48" s="81" t="str">
        <f>IF('Concrete Plant (CP-10)'!$D$4&gt;1,"Actual Days in Existence (days)","")</f>
        <v/>
      </c>
      <c r="M48" s="71"/>
      <c r="N48" s="71"/>
      <c r="P48" s="92" t="s">
        <v>153</v>
      </c>
      <c r="Q48" s="143">
        <f>Q17</f>
        <v>0</v>
      </c>
      <c r="R48" s="143">
        <v>3.64</v>
      </c>
      <c r="S48" s="143">
        <f>Q48*R48*(1/24)</f>
        <v>0</v>
      </c>
      <c r="T48" s="143"/>
      <c r="U48" s="143">
        <f>Q48*R48*365/2000</f>
        <v>0</v>
      </c>
      <c r="V48" s="143">
        <f>R17*R48/2000</f>
        <v>0</v>
      </c>
    </row>
    <row r="49" spans="2:19" ht="14.25" customHeight="1" x14ac:dyDescent="0.2">
      <c r="B49" s="73"/>
      <c r="C49" s="163"/>
      <c r="D49" s="163"/>
      <c r="E49" s="163"/>
      <c r="F49" s="176"/>
      <c r="I49" s="63"/>
      <c r="J49" s="144"/>
      <c r="K49" s="144"/>
      <c r="L49" s="144"/>
      <c r="M49" s="146"/>
      <c r="N49" s="146"/>
      <c r="Q49" s="68"/>
      <c r="R49" s="68"/>
      <c r="S49" s="68"/>
    </row>
    <row r="50" spans="2:19" ht="18.75" customHeight="1" x14ac:dyDescent="0.2">
      <c r="B50" s="71"/>
      <c r="C50" s="146"/>
      <c r="D50" s="146"/>
      <c r="E50" s="146"/>
      <c r="F50" s="146"/>
      <c r="G50" s="45"/>
      <c r="H50" s="178"/>
      <c r="I50" s="178"/>
      <c r="J50" s="178"/>
      <c r="K50" s="178"/>
      <c r="L50" s="163"/>
    </row>
    <row r="51" spans="2:19" ht="26.25" customHeight="1" x14ac:dyDescent="0.25">
      <c r="B51" s="78" t="str">
        <f>IF('Concrete Plant (CP-10)'!$D$4&gt;2,"Batch Plant","")</f>
        <v/>
      </c>
      <c r="C51" s="71" t="str">
        <f>IF('Concrete Plant (CP-10)'!$D$4&gt;2,"Site 3","")</f>
        <v/>
      </c>
      <c r="D51" s="71"/>
      <c r="E51" s="71"/>
      <c r="F51" s="71"/>
      <c r="G51" s="45"/>
      <c r="H51" s="310" t="str">
        <f>IF('Concrete Plant (CP-10)'!$D$4&gt;2,"Emission Point #","")</f>
        <v/>
      </c>
      <c r="I51" s="310" t="str">
        <f>IF('Concrete Plant (CP-10)'!$D$4&gt;2,"Emission     Unit #","")</f>
        <v/>
      </c>
      <c r="J51" s="310" t="str">
        <f>IF('Concrete Plant (CP-10)'!$D$4&gt;2,"Processes","")</f>
        <v/>
      </c>
      <c r="K51" s="311" t="str">
        <f>IF('Concrete Plant (CP-10)'!$D$4&gt;2,"Combined Maximum Hourly Design Rate for all Like Processes (cubic yard/hr)","")</f>
        <v/>
      </c>
      <c r="L51" s="310" t="str">
        <f>IF('Concrete Plant (CP-10)'!$D$4&gt;2,('Facility Information'!G5&amp;" Annual Throughput (cubic yards)"),"")</f>
        <v/>
      </c>
      <c r="M51" s="217"/>
      <c r="N51" s="217"/>
      <c r="Q51" s="68"/>
      <c r="R51" s="68"/>
      <c r="S51" s="68"/>
    </row>
    <row r="52" spans="2:19" ht="14.25" customHeight="1" x14ac:dyDescent="0.2">
      <c r="B52" s="79" t="str">
        <f>IF('Concrete Plant (CP-10)'!$D$4&gt;2,"Site Name:","")</f>
        <v/>
      </c>
      <c r="C52" s="349"/>
      <c r="D52" s="356"/>
      <c r="E52" s="357"/>
      <c r="F52" s="175"/>
      <c r="G52" s="45"/>
      <c r="H52" s="127" t="str">
        <f>IF(J52="cement delivery to silo","CP-1 EP-2",IF(J52="cement supplement delivery to silo","CP-1 EP-3",IF(J52="weigh hopper loading","CP-1 EP-4",IF(J52="truck mix loading","CP-1 EP-5",IF(J52="central mix loading","CP-1 EP-6",IF(J52="","","CP-1 EP-1"))))))</f>
        <v/>
      </c>
      <c r="I52" s="127" t="str">
        <f t="shared" ref="I52:I61" si="19">IF(J52="","",IF(J52="aggregate delivery to ground storage","CP-10 EU-1",IF(J52="sand delivery to ground storage","CP-10 EU-2",IF(J52="aggregate transfer to conveyor","CP-10 EU-3",IF(J52="sand transfer to conveyor","CP-10 EU-4",IF(J52="aggregate transfer to elevated storage","CP-10 EU-5",IF(J52="sand transfer to elevated storage","CP-10 EU-6",IF(J52="weigh hopper loading","CP-10 EU-7",IF(J52="central mix loading","CP-10 EU-8",IF(J52="truck mix loading","CP-10 EU-9",IF(J52="cement delivery to silo","CP-10 EU-10",IF(J52="cement supplement delivery to silo","CP-10 EU-11"))))))))))))</f>
        <v/>
      </c>
      <c r="J52" s="82"/>
      <c r="K52" s="61"/>
      <c r="L52" s="156"/>
      <c r="M52" s="219" t="str">
        <f>IF(J52="truck mix loading",IF($F$55="yes",L52*0.05/2000,L52/2000),"")</f>
        <v/>
      </c>
      <c r="N52" s="219" t="str">
        <f>IF(J52="central mix loading",IF($F$55="yes",L52*0.05/2000,L52/2000),"")</f>
        <v/>
      </c>
      <c r="Q52" s="68"/>
      <c r="R52" s="68"/>
      <c r="S52" s="68"/>
    </row>
    <row r="53" spans="2:19" ht="14.25" customHeight="1" x14ac:dyDescent="0.2">
      <c r="B53" s="79" t="str">
        <f>IF('Concrete Plant (CP-10)'!$D$4&gt;2,"County:","")</f>
        <v/>
      </c>
      <c r="C53" s="339"/>
      <c r="D53" s="342"/>
      <c r="E53" s="343"/>
      <c r="F53" s="175"/>
      <c r="G53" s="45"/>
      <c r="H53" s="127" t="str">
        <f t="shared" ref="H53:H61" si="20">IF(J53="cement delivery to silo","CP-1 EP-2",IF(J53="cement supplement delivery to silo","CP-1 EP-3",IF(J53="weigh hopper loading","CP-1 EP-4",IF(J53="truck mix loading","CP-1 EP-5",IF(J53="central mix loading","CP-1 EP-6",IF(J53="","","CP-1 EP-1"))))))</f>
        <v/>
      </c>
      <c r="I53" s="127" t="str">
        <f t="shared" si="19"/>
        <v/>
      </c>
      <c r="J53" s="82"/>
      <c r="K53" s="61"/>
      <c r="L53" s="156"/>
      <c r="M53" s="219" t="str">
        <f t="shared" ref="M53:M61" si="21">IF(J53="truck mix loading",IF($F$55="yes",L53*0.05/2000,L53/2000),"")</f>
        <v/>
      </c>
      <c r="N53" s="219" t="str">
        <f t="shared" ref="N53:N61" si="22">IF(J53="central mix loading",IF($F$55="yes",L53*0.05/2000,L53/2000),"")</f>
        <v/>
      </c>
      <c r="Q53" s="68"/>
      <c r="R53" s="68"/>
      <c r="S53" s="68"/>
    </row>
    <row r="54" spans="2:19" ht="14.25" customHeight="1" x14ac:dyDescent="0.2">
      <c r="B54" s="79" t="str">
        <f>IF('Concrete Plant (CP-10)'!$D$4&gt;2,"Batching Period (Dates):","")</f>
        <v/>
      </c>
      <c r="C54" s="352"/>
      <c r="D54" s="358"/>
      <c r="E54" s="359"/>
      <c r="F54" s="175"/>
      <c r="G54" s="45"/>
      <c r="H54" s="127" t="str">
        <f t="shared" si="20"/>
        <v/>
      </c>
      <c r="I54" s="127" t="str">
        <f t="shared" si="19"/>
        <v/>
      </c>
      <c r="J54" s="82"/>
      <c r="K54" s="61"/>
      <c r="L54" s="156"/>
      <c r="M54" s="219" t="str">
        <f t="shared" si="21"/>
        <v/>
      </c>
      <c r="N54" s="219" t="str">
        <f t="shared" si="22"/>
        <v/>
      </c>
      <c r="Q54" s="68"/>
      <c r="R54" s="68"/>
      <c r="S54" s="68"/>
    </row>
    <row r="55" spans="2:19" ht="14.25" customHeight="1" x14ac:dyDescent="0.2">
      <c r="B55" s="51" t="str">
        <f>IF(OR(COUNTIF(J52:J61,"Truck Mix Loading")&gt;0,(COUNTIF(J52:J61,"Central Mix Loading")&gt;0)),"Is the Central/Truck Mix Loading process controlled by a baghouse?","")</f>
        <v/>
      </c>
      <c r="C55" s="51"/>
      <c r="D55" s="51"/>
      <c r="E55" s="51"/>
      <c r="F55" s="221"/>
      <c r="G55" s="45"/>
      <c r="H55" s="127" t="str">
        <f t="shared" si="20"/>
        <v/>
      </c>
      <c r="I55" s="127" t="str">
        <f t="shared" si="19"/>
        <v/>
      </c>
      <c r="J55" s="82"/>
      <c r="K55" s="61"/>
      <c r="L55" s="156"/>
      <c r="M55" s="219" t="str">
        <f t="shared" si="21"/>
        <v/>
      </c>
      <c r="N55" s="219" t="str">
        <f t="shared" si="22"/>
        <v/>
      </c>
      <c r="Q55" s="68"/>
      <c r="R55" s="68"/>
      <c r="S55" s="68"/>
    </row>
    <row r="56" spans="2:19" ht="14.25" customHeight="1" x14ac:dyDescent="0.2">
      <c r="F56" s="177"/>
      <c r="G56" s="45"/>
      <c r="H56" s="127" t="str">
        <f t="shared" si="20"/>
        <v/>
      </c>
      <c r="I56" s="127" t="str">
        <f t="shared" si="19"/>
        <v/>
      </c>
      <c r="J56" s="82"/>
      <c r="K56" s="61"/>
      <c r="L56" s="156"/>
      <c r="M56" s="219" t="str">
        <f t="shared" si="21"/>
        <v/>
      </c>
      <c r="N56" s="219" t="str">
        <f t="shared" si="22"/>
        <v/>
      </c>
      <c r="Q56" s="68"/>
      <c r="R56" s="68"/>
      <c r="S56" s="68"/>
    </row>
    <row r="57" spans="2:19" ht="26.25" customHeight="1" x14ac:dyDescent="0.2">
      <c r="B57" s="312" t="str">
        <f>IF(AND(B59="",B60="",B61="",B62="",B63=""),"","Process (complete stack information if applicable):")</f>
        <v/>
      </c>
      <c r="C57" s="312" t="str">
        <f>IF(AND(B59="",B60="",B61="",B62="",B63=""),"","Stack Height (ft):")</f>
        <v/>
      </c>
      <c r="D57" s="312" t="str">
        <f>IF(AND(B59="",B60="",B61="",B62="",B63=""),"","Stack Diameter (inches):")</f>
        <v/>
      </c>
      <c r="E57" s="312" t="str">
        <f>IF(AND(B59="",B60="",B61="",B62="",B63=""),"","Flow Rate (acfm):")</f>
        <v/>
      </c>
      <c r="F57" s="312" t="str">
        <f>IF(AND(B59="",B60="",B61="",B62="",B63=""),"","Temp (Deg F):")</f>
        <v/>
      </c>
      <c r="H57" s="127" t="str">
        <f t="shared" si="20"/>
        <v/>
      </c>
      <c r="I57" s="127" t="str">
        <f t="shared" si="19"/>
        <v/>
      </c>
      <c r="J57" s="82"/>
      <c r="K57" s="61"/>
      <c r="L57" s="156"/>
      <c r="M57" s="219" t="str">
        <f t="shared" si="21"/>
        <v/>
      </c>
      <c r="N57" s="219" t="str">
        <f t="shared" si="22"/>
        <v/>
      </c>
    </row>
    <row r="58" spans="2:19" ht="14.25" customHeight="1" x14ac:dyDescent="0.2">
      <c r="B58" s="312"/>
      <c r="C58" s="312"/>
      <c r="D58" s="312"/>
      <c r="E58" s="312"/>
      <c r="F58" s="312"/>
      <c r="G58" s="76"/>
      <c r="H58" s="127" t="str">
        <f t="shared" si="20"/>
        <v/>
      </c>
      <c r="I58" s="127" t="str">
        <f t="shared" si="19"/>
        <v/>
      </c>
      <c r="J58" s="82"/>
      <c r="K58" s="61"/>
      <c r="L58" s="156"/>
      <c r="M58" s="219" t="str">
        <f t="shared" si="21"/>
        <v/>
      </c>
      <c r="N58" s="219" t="str">
        <f t="shared" si="22"/>
        <v/>
      </c>
    </row>
    <row r="59" spans="2:19" ht="14.25" customHeight="1" x14ac:dyDescent="0.2">
      <c r="B59" s="45" t="str">
        <f>IF(COUNTIF(J52:J61,"Cement Delivery to Silo")&gt;0,"EP-2 Cement Silo Stack:","")</f>
        <v/>
      </c>
      <c r="C59" s="221"/>
      <c r="D59" s="221"/>
      <c r="E59" s="221"/>
      <c r="F59" s="221"/>
      <c r="H59" s="127" t="str">
        <f t="shared" si="20"/>
        <v/>
      </c>
      <c r="I59" s="127" t="str">
        <f t="shared" si="19"/>
        <v/>
      </c>
      <c r="J59" s="82"/>
      <c r="K59" s="61"/>
      <c r="L59" s="156"/>
      <c r="M59" s="219" t="str">
        <f t="shared" si="21"/>
        <v/>
      </c>
      <c r="N59" s="219" t="str">
        <f t="shared" si="22"/>
        <v/>
      </c>
    </row>
    <row r="60" spans="2:19" ht="14.25" customHeight="1" x14ac:dyDescent="0.2">
      <c r="B60" s="45" t="str">
        <f>IF(COUNTIF(J52:J61,"Cement Supplement Delivery to Silo")&gt;0,"EP-3 Cement Supplement Silo Stack:","")</f>
        <v/>
      </c>
      <c r="C60" s="221"/>
      <c r="D60" s="221"/>
      <c r="E60" s="221"/>
      <c r="F60" s="221"/>
      <c r="H60" s="127" t="str">
        <f t="shared" si="20"/>
        <v/>
      </c>
      <c r="I60" s="127" t="str">
        <f t="shared" si="19"/>
        <v/>
      </c>
      <c r="J60" s="82"/>
      <c r="K60" s="61"/>
      <c r="L60" s="156"/>
      <c r="M60" s="219" t="str">
        <f t="shared" si="21"/>
        <v/>
      </c>
      <c r="N60" s="219" t="str">
        <f t="shared" si="22"/>
        <v/>
      </c>
    </row>
    <row r="61" spans="2:19" ht="14.25" customHeight="1" x14ac:dyDescent="0.2">
      <c r="B61" s="45" t="str">
        <f>IF(COUNTIF(J52:J61,"Weigh Hopper Loading")&gt;0,"EP-4 Weigh Hopper Loading Stack:","")</f>
        <v/>
      </c>
      <c r="C61" s="221"/>
      <c r="D61" s="221"/>
      <c r="E61" s="221"/>
      <c r="F61" s="221"/>
      <c r="H61" s="127" t="str">
        <f t="shared" si="20"/>
        <v/>
      </c>
      <c r="I61" s="127" t="str">
        <f t="shared" si="19"/>
        <v/>
      </c>
      <c r="J61" s="82"/>
      <c r="K61" s="61"/>
      <c r="L61" s="156"/>
      <c r="M61" s="219" t="str">
        <f t="shared" si="21"/>
        <v/>
      </c>
      <c r="N61" s="219" t="str">
        <f t="shared" si="22"/>
        <v/>
      </c>
    </row>
    <row r="62" spans="2:19" ht="14.25" customHeight="1" x14ac:dyDescent="0.2">
      <c r="B62" s="45" t="str">
        <f>IF(COUNTIF(J52:J61,"Truck Mix Loading")&gt;0,"EP-5 Truck Mix Loading Stack:","")</f>
        <v/>
      </c>
      <c r="C62" s="221"/>
      <c r="D62" s="221"/>
      <c r="E62" s="221"/>
      <c r="F62" s="221"/>
      <c r="H62" s="45"/>
      <c r="I62" s="45"/>
    </row>
    <row r="63" spans="2:19" ht="14.25" customHeight="1" x14ac:dyDescent="0.2">
      <c r="B63" s="45" t="str">
        <f>IF(COUNTIF(J52:J61,"Central Mix Loading")&gt;0,"EP-6 Central Mix Loading Stack:","")</f>
        <v/>
      </c>
      <c r="C63" s="221"/>
      <c r="D63" s="221"/>
      <c r="E63" s="221"/>
      <c r="F63" s="221"/>
      <c r="G63" s="45"/>
      <c r="H63" s="74" t="str">
        <f>IF('Concrete Plant (CP-10)'!$D$4&gt;2,"Stock Pile Area","")</f>
        <v/>
      </c>
      <c r="I63" s="74"/>
      <c r="J63" s="75"/>
    </row>
    <row r="64" spans="2:19" ht="14.25" customHeight="1" x14ac:dyDescent="0.2">
      <c r="B64" s="73"/>
      <c r="C64" s="163"/>
      <c r="D64" s="163"/>
      <c r="E64" s="163"/>
      <c r="F64" s="176"/>
      <c r="G64" s="45"/>
      <c r="I64" s="51" t="str">
        <f>IF('Concrete Plant (CP-10)'!$D$4&gt;2,"Emission Unit #","")</f>
        <v/>
      </c>
      <c r="J64" s="80" t="str">
        <f>IF('Concrete Plant (CP-10)'!$D$4&gt;2,"Maximum Storage Area (acres)","")</f>
        <v/>
      </c>
      <c r="K64" s="81" t="str">
        <f>IF('Concrete Plant (CP-10)'!$D$4&gt;2,"Actual Storage Area (acres)","")</f>
        <v/>
      </c>
      <c r="L64" s="80" t="str">
        <f>IF('Concrete Plant (CP-10)'!$D$4&gt;2,"Actual Days in Existence (days)","")</f>
        <v/>
      </c>
      <c r="M64" s="146"/>
      <c r="N64" s="146"/>
    </row>
    <row r="65" spans="2:14" ht="14.25" customHeight="1" x14ac:dyDescent="0.2">
      <c r="B65" s="73"/>
      <c r="C65" s="163"/>
      <c r="D65" s="163"/>
      <c r="E65" s="163"/>
      <c r="F65" s="176"/>
      <c r="G65" s="45"/>
      <c r="I65" s="65"/>
      <c r="J65" s="144"/>
      <c r="K65" s="66"/>
      <c r="L65" s="144"/>
      <c r="M65" s="146"/>
      <c r="N65" s="146"/>
    </row>
    <row r="66" spans="2:14" ht="14.25" customHeight="1" x14ac:dyDescent="0.2">
      <c r="F66" s="177"/>
      <c r="G66" s="45"/>
    </row>
    <row r="67" spans="2:14" ht="27" customHeight="1" x14ac:dyDescent="0.25">
      <c r="B67" s="78" t="str">
        <f>IF('Concrete Plant (CP-10)'!$D$4&gt;3,"Batch Plant","")</f>
        <v/>
      </c>
      <c r="C67" s="71" t="str">
        <f>IF('Concrete Plant (CP-10)'!$D$4&gt;3,"Site 4","")</f>
        <v/>
      </c>
      <c r="D67" s="71"/>
      <c r="E67" s="71"/>
      <c r="F67" s="71"/>
      <c r="G67" s="45"/>
      <c r="H67" s="310" t="str">
        <f>IF('Concrete Plant (CP-10)'!$D$4&gt;3,"Emission Point #","")</f>
        <v/>
      </c>
      <c r="I67" s="310" t="str">
        <f>IF('Concrete Plant (CP-10)'!$D$4&gt;3,"Emission     Unit #","")</f>
        <v/>
      </c>
      <c r="J67" s="310" t="str">
        <f>IF('Concrete Plant (CP-10)'!$D$4&gt;3,"Processes","")</f>
        <v/>
      </c>
      <c r="K67" s="311" t="str">
        <f>IF('Concrete Plant (CP-10)'!$D$4&gt;3,"Combined Maximum Hourly Design Rate for all Like Processes (cubic yard/hr)","")</f>
        <v/>
      </c>
      <c r="L67" s="310" t="str">
        <f>IF('Concrete Plant (CP-10)'!$D$4&gt;3,('Facility Information'!G5&amp;" Annual Throughput (cubic yards)"),"")</f>
        <v/>
      </c>
      <c r="M67" s="217"/>
      <c r="N67" s="217"/>
    </row>
    <row r="68" spans="2:14" ht="14.25" customHeight="1" x14ac:dyDescent="0.2">
      <c r="B68" s="79" t="str">
        <f>IF('Concrete Plant (CP-10)'!$D$4&gt;3,"Site Name:","")</f>
        <v/>
      </c>
      <c r="C68" s="349"/>
      <c r="D68" s="356"/>
      <c r="E68" s="357"/>
      <c r="F68" s="175"/>
      <c r="G68" s="45"/>
      <c r="H68" s="127" t="str">
        <f>IF(J68="cement delivery to silo","CP-1 EP-2",IF(J68="cement supplement delivery to silo","CP-1 EP-3",IF(J68="weigh hopper loading","CP-1 EP-4",IF(J68="truck mix loading","CP-1 EP-5",IF(J68="central mix loading","CP-1 EP-6",IF(J68="","","CP-1 EP-1"))))))</f>
        <v/>
      </c>
      <c r="I68" s="127" t="str">
        <f t="shared" ref="I68:I77" si="23">IF(J68="","",IF(J68="aggregate delivery to ground storage","CP-10 EU-1",IF(J68="sand delivery to ground storage","CP-10 EU-2",IF(J68="aggregate transfer to conveyor","CP-10 EU-3",IF(J68="sand transfer to conveyor","CP-10 EU-4",IF(J68="aggregate transfer to elevated storage","CP-10 EU-5",IF(J68="sand transfer to elevated storage","CP-10 EU-6",IF(J68="weigh hopper loading","CP-10 EU-7",IF(J68="central mix loading","CP-10 EU-8",IF(J68="truck mix loading","CP-10 EU-9",IF(J68="cement delivery to silo","CP-10 EU-10",IF(J68="cement supplement delivery to silo","CP-10 EU-11"))))))))))))</f>
        <v/>
      </c>
      <c r="J68" s="82"/>
      <c r="K68" s="61"/>
      <c r="L68" s="156"/>
      <c r="M68" s="219" t="str">
        <f>IF(J68="truck mix loading",IF($F$71="yes",L68*0.05/2000,L68/2000),"")</f>
        <v/>
      </c>
      <c r="N68" s="219" t="str">
        <f>IF(J68="central mix loading",IF($F$71="yes",L68*0.05/2000,L68/2000),"")</f>
        <v/>
      </c>
    </row>
    <row r="69" spans="2:14" ht="14.25" customHeight="1" x14ac:dyDescent="0.2">
      <c r="B69" s="79" t="str">
        <f>IF('Concrete Plant (CP-10)'!$D$4&gt;3,"County:","")</f>
        <v/>
      </c>
      <c r="C69" s="339"/>
      <c r="D69" s="342"/>
      <c r="E69" s="343"/>
      <c r="F69" s="175"/>
      <c r="G69" s="45"/>
      <c r="H69" s="127" t="str">
        <f t="shared" ref="H69:H77" si="24">IF(J69="cement delivery to silo","CP-1 EP-2",IF(J69="cement supplement delivery to silo","CP-1 EP-3",IF(J69="weigh hopper loading","CP-1 EP-4",IF(J69="truck mix loading","CP-1 EP-5",IF(J69="central mix loading","CP-1 EP-6",IF(J69="","","CP-1 EP-1"))))))</f>
        <v/>
      </c>
      <c r="I69" s="127" t="str">
        <f t="shared" si="23"/>
        <v/>
      </c>
      <c r="J69" s="82"/>
      <c r="K69" s="61"/>
      <c r="L69" s="156"/>
      <c r="M69" s="219" t="str">
        <f t="shared" ref="M69:M77" si="25">IF(J69="truck mix loading",IF($F$71="yes",L69*0.05/2000,L69/2000),"")</f>
        <v/>
      </c>
      <c r="N69" s="219" t="str">
        <f t="shared" ref="N69:N77" si="26">IF(J69="central mix loading",IF($F$71="yes",L69*0.05/2000,L69/2000),"")</f>
        <v/>
      </c>
    </row>
    <row r="70" spans="2:14" ht="14.25" customHeight="1" x14ac:dyDescent="0.2">
      <c r="B70" s="79" t="str">
        <f>IF('Concrete Plant (CP-10)'!$D$4&gt;3,"Batching Period (Dates):","")</f>
        <v/>
      </c>
      <c r="C70" s="352"/>
      <c r="D70" s="358"/>
      <c r="E70" s="359"/>
      <c r="F70" s="175"/>
      <c r="G70" s="45"/>
      <c r="H70" s="127" t="str">
        <f t="shared" si="24"/>
        <v/>
      </c>
      <c r="I70" s="127" t="str">
        <f t="shared" si="23"/>
        <v/>
      </c>
      <c r="J70" s="82"/>
      <c r="K70" s="61"/>
      <c r="L70" s="156"/>
      <c r="M70" s="219" t="str">
        <f t="shared" si="25"/>
        <v/>
      </c>
      <c r="N70" s="219" t="str">
        <f t="shared" si="26"/>
        <v/>
      </c>
    </row>
    <row r="71" spans="2:14" ht="14.25" customHeight="1" x14ac:dyDescent="0.2">
      <c r="B71" s="51" t="str">
        <f>IF(OR(COUNTIF(J68:J77,"Truck Mix Loading")&gt;0,(COUNTIF(J68:J77,"Central Mix Loading")&gt;0)),"Is the Central/Truck Mix Loading process controlled by a baghouse?","")</f>
        <v/>
      </c>
      <c r="C71" s="51"/>
      <c r="D71" s="51"/>
      <c r="E71" s="51"/>
      <c r="F71" s="221"/>
      <c r="H71" s="127" t="str">
        <f t="shared" si="24"/>
        <v/>
      </c>
      <c r="I71" s="127" t="str">
        <f t="shared" si="23"/>
        <v/>
      </c>
      <c r="J71" s="82"/>
      <c r="K71" s="61"/>
      <c r="L71" s="156"/>
      <c r="M71" s="219" t="str">
        <f t="shared" si="25"/>
        <v/>
      </c>
      <c r="N71" s="219" t="str">
        <f t="shared" si="26"/>
        <v/>
      </c>
    </row>
    <row r="72" spans="2:14" ht="14.25" customHeight="1" x14ac:dyDescent="0.2">
      <c r="F72" s="177"/>
      <c r="G72" s="76"/>
      <c r="H72" s="127" t="str">
        <f t="shared" si="24"/>
        <v/>
      </c>
      <c r="I72" s="127" t="str">
        <f t="shared" si="23"/>
        <v/>
      </c>
      <c r="J72" s="82"/>
      <c r="K72" s="61"/>
      <c r="L72" s="156"/>
      <c r="M72" s="219" t="str">
        <f t="shared" si="25"/>
        <v/>
      </c>
      <c r="N72" s="219" t="str">
        <f t="shared" si="26"/>
        <v/>
      </c>
    </row>
    <row r="73" spans="2:14" ht="27" customHeight="1" x14ac:dyDescent="0.2">
      <c r="B73" s="312" t="str">
        <f>IF(AND(B75="",B76="",B77="",B78="",B79=""),"","Process (complete stack information if applicable):")</f>
        <v/>
      </c>
      <c r="C73" s="312" t="str">
        <f>IF(AND(B75="",B76="",B77="",B78="",B79=""),"","Stack Height (ft):")</f>
        <v/>
      </c>
      <c r="D73" s="312" t="str">
        <f>IF(AND(B75="",B76="",B77="",B78="",B79=""),"","Stack Diameter (inches):")</f>
        <v/>
      </c>
      <c r="E73" s="312" t="str">
        <f>IF(AND(B75="",B76="",B77="",B78="",B79=""),"","Flow Rate (acfm):")</f>
        <v/>
      </c>
      <c r="F73" s="312" t="str">
        <f>IF(AND(B75="",B76="",B77="",B78="",B79=""),"","Temp (Deg F):")</f>
        <v/>
      </c>
      <c r="H73" s="127" t="str">
        <f t="shared" si="24"/>
        <v/>
      </c>
      <c r="I73" s="127" t="str">
        <f t="shared" si="23"/>
        <v/>
      </c>
      <c r="J73" s="82"/>
      <c r="K73" s="61"/>
      <c r="L73" s="156"/>
      <c r="M73" s="219" t="str">
        <f t="shared" si="25"/>
        <v/>
      </c>
      <c r="N73" s="219" t="str">
        <f t="shared" si="26"/>
        <v/>
      </c>
    </row>
    <row r="74" spans="2:14" ht="14.25" customHeight="1" x14ac:dyDescent="0.2">
      <c r="B74" s="312"/>
      <c r="C74" s="312"/>
      <c r="D74" s="312"/>
      <c r="E74" s="312"/>
      <c r="F74" s="312"/>
      <c r="H74" s="127" t="str">
        <f t="shared" si="24"/>
        <v/>
      </c>
      <c r="I74" s="127" t="str">
        <f t="shared" si="23"/>
        <v/>
      </c>
      <c r="J74" s="82"/>
      <c r="K74" s="61"/>
      <c r="L74" s="156"/>
      <c r="M74" s="219" t="str">
        <f t="shared" si="25"/>
        <v/>
      </c>
      <c r="N74" s="219" t="str">
        <f t="shared" si="26"/>
        <v/>
      </c>
    </row>
    <row r="75" spans="2:14" ht="14.25" customHeight="1" x14ac:dyDescent="0.2">
      <c r="B75" s="45" t="str">
        <f>IF(COUNTIF(J68:J77,"Cement Delivery to Silo")&gt;0,"EP-2 Cement Silo Stack:","")</f>
        <v/>
      </c>
      <c r="C75" s="221"/>
      <c r="D75" s="221"/>
      <c r="E75" s="221"/>
      <c r="F75" s="221"/>
      <c r="H75" s="127" t="str">
        <f t="shared" si="24"/>
        <v/>
      </c>
      <c r="I75" s="127" t="str">
        <f t="shared" si="23"/>
        <v/>
      </c>
      <c r="J75" s="82"/>
      <c r="K75" s="61"/>
      <c r="L75" s="156"/>
      <c r="M75" s="219" t="str">
        <f t="shared" si="25"/>
        <v/>
      </c>
      <c r="N75" s="219" t="str">
        <f t="shared" si="26"/>
        <v/>
      </c>
    </row>
    <row r="76" spans="2:14" ht="14.25" customHeight="1" x14ac:dyDescent="0.2">
      <c r="B76" s="45" t="str">
        <f>IF(COUNTIF(J68:J77,"Cement Supplement Delivery to Silo")&gt;0,"EP-3 Cement Supplement Silo Stack:","")</f>
        <v/>
      </c>
      <c r="C76" s="221"/>
      <c r="D76" s="221"/>
      <c r="E76" s="221"/>
      <c r="F76" s="221"/>
      <c r="H76" s="127" t="str">
        <f t="shared" si="24"/>
        <v/>
      </c>
      <c r="I76" s="127" t="str">
        <f t="shared" si="23"/>
        <v/>
      </c>
      <c r="J76" s="82"/>
      <c r="K76" s="61"/>
      <c r="L76" s="156"/>
      <c r="M76" s="219" t="str">
        <f t="shared" si="25"/>
        <v/>
      </c>
      <c r="N76" s="219" t="str">
        <f t="shared" si="26"/>
        <v/>
      </c>
    </row>
    <row r="77" spans="2:14" ht="14.25" customHeight="1" x14ac:dyDescent="0.2">
      <c r="B77" s="45" t="str">
        <f>IF(COUNTIF(J68:J77,"Weigh Hopper Loading")&gt;0,"EP-4 Weigh Hopper Loading Stack:","")</f>
        <v/>
      </c>
      <c r="C77" s="221"/>
      <c r="D77" s="221"/>
      <c r="E77" s="221"/>
      <c r="F77" s="221"/>
      <c r="G77" s="45"/>
      <c r="H77" s="127" t="str">
        <f t="shared" si="24"/>
        <v/>
      </c>
      <c r="I77" s="127" t="str">
        <f t="shared" si="23"/>
        <v/>
      </c>
      <c r="J77" s="82"/>
      <c r="K77" s="61"/>
      <c r="L77" s="156"/>
      <c r="M77" s="219" t="str">
        <f t="shared" si="25"/>
        <v/>
      </c>
      <c r="N77" s="219" t="str">
        <f t="shared" si="26"/>
        <v/>
      </c>
    </row>
    <row r="78" spans="2:14" ht="14.25" customHeight="1" x14ac:dyDescent="0.2">
      <c r="B78" s="45" t="str">
        <f>IF(COUNTIF(J68:J77,"Truck Mix Loading")&gt;0,"EP-5 Truck Mix Loading Stack:","")</f>
        <v/>
      </c>
      <c r="C78" s="221"/>
      <c r="D78" s="221"/>
      <c r="E78" s="221"/>
      <c r="F78" s="221"/>
      <c r="G78" s="45"/>
      <c r="H78" s="45"/>
      <c r="I78" s="45"/>
    </row>
    <row r="79" spans="2:14" ht="14.25" customHeight="1" x14ac:dyDescent="0.2">
      <c r="B79" s="45" t="str">
        <f>IF(COUNTIF(J68:J77,"Central Mix Loading")&gt;0,"EP-6 Central Mix Loading Stack:","")</f>
        <v/>
      </c>
      <c r="C79" s="221"/>
      <c r="D79" s="221"/>
      <c r="E79" s="221"/>
      <c r="F79" s="221"/>
      <c r="G79" s="45"/>
      <c r="H79" s="74" t="str">
        <f>IF('Concrete Plant (CP-10)'!$D$4&gt;3,"Stock Pile Area","")</f>
        <v/>
      </c>
      <c r="I79" s="74"/>
      <c r="J79" s="75"/>
    </row>
    <row r="80" spans="2:14" ht="14.25" customHeight="1" x14ac:dyDescent="0.2">
      <c r="B80" s="73"/>
      <c r="C80" s="163"/>
      <c r="D80" s="163"/>
      <c r="E80" s="163"/>
      <c r="F80" s="176"/>
      <c r="G80" s="45"/>
      <c r="I80" s="51" t="str">
        <f>IF('Concrete Plant (CP-10)'!$D$4&gt;3,"Emission Unit #","")</f>
        <v/>
      </c>
      <c r="J80" s="80" t="str">
        <f>IF('Concrete Plant (CP-10)'!$D$4&gt;3,"Maximum Storage Area (acres)","")</f>
        <v/>
      </c>
      <c r="K80" s="81" t="str">
        <f>IF('Concrete Plant (CP-10)'!$D$4&gt;3,"Actual Storage Area (acres)","")</f>
        <v/>
      </c>
      <c r="L80" s="80" t="str">
        <f>IF('Concrete Plant (CP-10)'!$D$4&gt;3,"Actual Days in Existence (days)","")</f>
        <v/>
      </c>
      <c r="M80" s="146"/>
      <c r="N80" s="146"/>
    </row>
    <row r="81" spans="2:14" ht="14.25" customHeight="1" x14ac:dyDescent="0.2">
      <c r="B81" s="73"/>
      <c r="C81" s="163"/>
      <c r="D81" s="163"/>
      <c r="E81" s="163"/>
      <c r="F81" s="176"/>
      <c r="G81" s="45"/>
      <c r="I81" s="65"/>
      <c r="J81" s="144"/>
      <c r="K81" s="66"/>
      <c r="L81" s="144"/>
      <c r="M81" s="146"/>
      <c r="N81" s="146"/>
    </row>
    <row r="82" spans="2:14" ht="14.25" customHeight="1" x14ac:dyDescent="0.2">
      <c r="F82" s="177"/>
      <c r="G82" s="45"/>
    </row>
    <row r="83" spans="2:14" ht="28.5" customHeight="1" x14ac:dyDescent="0.25">
      <c r="B83" s="78" t="str">
        <f>IF('Concrete Plant (CP-10)'!$D$4&gt;4,"Batch Plant","")</f>
        <v/>
      </c>
      <c r="C83" s="71" t="str">
        <f>IF('Concrete Plant (CP-10)'!$D$4&gt;4,"Site 5","")</f>
        <v/>
      </c>
      <c r="D83" s="71"/>
      <c r="E83" s="71"/>
      <c r="F83" s="71"/>
      <c r="G83" s="45"/>
      <c r="H83" s="310" t="str">
        <f>IF('Concrete Plant (CP-10)'!$D$4&gt;4,"Emission Point #","")</f>
        <v/>
      </c>
      <c r="I83" s="310" t="str">
        <f>IF('Concrete Plant (CP-10)'!$D$4&gt;4,"Emission     Unit #","")</f>
        <v/>
      </c>
      <c r="J83" s="310" t="str">
        <f>IF('Concrete Plant (CP-10)'!$D$4&gt;4,"Processes","")</f>
        <v/>
      </c>
      <c r="K83" s="311" t="str">
        <f>IF('Concrete Plant (CP-10)'!$D$4&gt;4,"Combined Maximum Hourly Design Rate for all Like Processes (cubic yard/hr)","")</f>
        <v/>
      </c>
      <c r="L83" s="310" t="str">
        <f>IF('Concrete Plant (CP-10)'!$D$4&gt;4,('Facility Information'!G5&amp;" Annual Throughput (cubic yards)"),"")</f>
        <v/>
      </c>
      <c r="M83" s="217"/>
      <c r="N83" s="217"/>
    </row>
    <row r="84" spans="2:14" ht="14.25" customHeight="1" x14ac:dyDescent="0.2">
      <c r="B84" s="79" t="str">
        <f>IF('Concrete Plant (CP-10)'!$D$4&gt;4,"Site Name:","")</f>
        <v/>
      </c>
      <c r="C84" s="349"/>
      <c r="D84" s="356"/>
      <c r="E84" s="357"/>
      <c r="F84" s="175"/>
      <c r="G84" s="45"/>
      <c r="H84" s="127" t="str">
        <f>IF(J84="cement delivery to silo","CP-1 EP-2",IF(J84="cement supplement delivery to silo","CP-1 EP-3",IF(J84="weigh hopper loading","CP-1 EP-4",IF(J84="truck mix loading","CP-1 EP-5",IF(J84="central mix loading","CP-1 EP-6",IF(J84="","","CP-1 EP-1"))))))</f>
        <v/>
      </c>
      <c r="I84" s="127" t="str">
        <f t="shared" ref="I84:I93" si="27">IF(J84="","",IF(J84="aggregate delivery to ground storage","CP-10 EU-1",IF(J84="sand delivery to ground storage","CP-10 EU-2",IF(J84="aggregate transfer to conveyor","CP-10 EU-3",IF(J84="sand transfer to conveyor","CP-10 EU-4",IF(J84="aggregate transfer to elevated storage","CP-10 EU-5",IF(J84="sand transfer to elevated storage","CP-10 EU-6",IF(J84="weigh hopper loading","CP-10 EU-7",IF(J84="central mix loading","CP-10 EU-8",IF(J84="truck mix loading","CP-10 EU-9",IF(J84="cement delivery to silo","CP-10 EU-10",IF(J84="cement supplement delivery to silo","CP-10 EU-11"))))))))))))</f>
        <v/>
      </c>
      <c r="J84" s="82"/>
      <c r="K84" s="61"/>
      <c r="L84" s="156"/>
      <c r="M84" s="219" t="str">
        <f>IF(J84="truck mix loading",IF($F$87="yes",L84*0.05/2000,L84/2000),"")</f>
        <v/>
      </c>
      <c r="N84" s="219" t="str">
        <f>IF(J84="central mix loading",IF($F$87="yes",L84*0.05/2000,L84/2000),"")</f>
        <v/>
      </c>
    </row>
    <row r="85" spans="2:14" ht="14.25" customHeight="1" x14ac:dyDescent="0.2">
      <c r="B85" s="79" t="str">
        <f>IF('Concrete Plant (CP-10)'!$D$4&gt;4,"County:","")</f>
        <v/>
      </c>
      <c r="C85" s="339"/>
      <c r="D85" s="342"/>
      <c r="E85" s="343"/>
      <c r="F85" s="175"/>
      <c r="H85" s="127" t="str">
        <f t="shared" ref="H85:H93" si="28">IF(J85="cement delivery to silo","CP-1 EP-2",IF(J85="cement supplement delivery to silo","CP-1 EP-3",IF(J85="weigh hopper loading","CP-1 EP-4",IF(J85="truck mix loading","CP-1 EP-5",IF(J85="central mix loading","CP-1 EP-6",IF(J85="","","CP-1 EP-1"))))))</f>
        <v/>
      </c>
      <c r="I85" s="127" t="str">
        <f t="shared" si="27"/>
        <v/>
      </c>
      <c r="J85" s="82"/>
      <c r="K85" s="61"/>
      <c r="L85" s="156"/>
      <c r="M85" s="219" t="str">
        <f t="shared" ref="M85:M93" si="29">IF(J85="truck mix loading",IF($F$87="yes",L85*0.05/2000,L85/2000),"")</f>
        <v/>
      </c>
      <c r="N85" s="219" t="str">
        <f t="shared" ref="N85:N93" si="30">IF(J85="central mix loading",IF($F$87="yes",L85*0.05/2000,L85/2000),"")</f>
        <v/>
      </c>
    </row>
    <row r="86" spans="2:14" ht="14.25" customHeight="1" x14ac:dyDescent="0.2">
      <c r="B86" s="79" t="str">
        <f>IF('Concrete Plant (CP-10)'!$D$4&gt;4,"Batching Period (Dates):","")</f>
        <v/>
      </c>
      <c r="C86" s="352"/>
      <c r="D86" s="358"/>
      <c r="E86" s="359"/>
      <c r="F86" s="175"/>
      <c r="G86" s="76"/>
      <c r="H86" s="127" t="str">
        <f t="shared" si="28"/>
        <v/>
      </c>
      <c r="I86" s="127" t="str">
        <f t="shared" si="27"/>
        <v/>
      </c>
      <c r="J86" s="82"/>
      <c r="K86" s="61"/>
      <c r="L86" s="156"/>
      <c r="M86" s="219" t="str">
        <f t="shared" si="29"/>
        <v/>
      </c>
      <c r="N86" s="219" t="str">
        <f t="shared" si="30"/>
        <v/>
      </c>
    </row>
    <row r="87" spans="2:14" ht="14.25" customHeight="1" x14ac:dyDescent="0.2">
      <c r="B87" s="51" t="str">
        <f>IF(OR(COUNTIF(J84:J93,"Truck Mix Loading")&gt;0,(COUNTIF(J84:J93,"Central Mix Loading")&gt;0)),"Is the Central/Truck Mix Loading process controlled by a baghouse?","")</f>
        <v/>
      </c>
      <c r="C87" s="51"/>
      <c r="D87" s="51"/>
      <c r="E87" s="51"/>
      <c r="F87" s="221"/>
      <c r="H87" s="127" t="str">
        <f t="shared" si="28"/>
        <v/>
      </c>
      <c r="I87" s="127" t="str">
        <f t="shared" si="27"/>
        <v/>
      </c>
      <c r="J87" s="82"/>
      <c r="K87" s="61"/>
      <c r="L87" s="156"/>
      <c r="M87" s="219" t="str">
        <f t="shared" si="29"/>
        <v/>
      </c>
      <c r="N87" s="219" t="str">
        <f t="shared" si="30"/>
        <v/>
      </c>
    </row>
    <row r="88" spans="2:14" ht="14.25" customHeight="1" x14ac:dyDescent="0.2">
      <c r="F88" s="177"/>
      <c r="H88" s="127" t="str">
        <f t="shared" si="28"/>
        <v/>
      </c>
      <c r="I88" s="127" t="str">
        <f t="shared" si="27"/>
        <v/>
      </c>
      <c r="J88" s="82"/>
      <c r="K88" s="61"/>
      <c r="L88" s="156"/>
      <c r="M88" s="219" t="str">
        <f t="shared" si="29"/>
        <v/>
      </c>
      <c r="N88" s="219" t="str">
        <f t="shared" si="30"/>
        <v/>
      </c>
    </row>
    <row r="89" spans="2:14" ht="26.25" customHeight="1" x14ac:dyDescent="0.2">
      <c r="B89" s="312" t="str">
        <f>IF(AND(B91="",B92="",B93="",B94="",B95=""),"","Process (complete stack information if applicable):")</f>
        <v/>
      </c>
      <c r="C89" s="312" t="str">
        <f>IF(AND(B91="",B92="",B93="",B94="",B95=""),"","Stack Height (ft):")</f>
        <v/>
      </c>
      <c r="D89" s="312" t="str">
        <f>IF(AND(B91="",B92="",B93="",B94="",B95=""),"","Stack Diameter (inches):")</f>
        <v/>
      </c>
      <c r="E89" s="312" t="str">
        <f>IF(AND(B91="",B92="",B93="",B94="",B95=""),"","Flow Rate (acfm):")</f>
        <v/>
      </c>
      <c r="F89" s="312" t="str">
        <f>IF(AND(B91="",B92="",B93="",B94="",B95=""),"","Temp (Deg F):")</f>
        <v/>
      </c>
      <c r="H89" s="127" t="str">
        <f t="shared" si="28"/>
        <v/>
      </c>
      <c r="I89" s="127" t="str">
        <f t="shared" si="27"/>
        <v/>
      </c>
      <c r="J89" s="82"/>
      <c r="K89" s="61"/>
      <c r="L89" s="156"/>
      <c r="M89" s="219" t="str">
        <f t="shared" si="29"/>
        <v/>
      </c>
      <c r="N89" s="219" t="str">
        <f t="shared" si="30"/>
        <v/>
      </c>
    </row>
    <row r="90" spans="2:14" ht="14.25" customHeight="1" x14ac:dyDescent="0.2">
      <c r="B90" s="312"/>
      <c r="C90" s="312"/>
      <c r="D90" s="312"/>
      <c r="E90" s="312"/>
      <c r="F90" s="312"/>
      <c r="H90" s="127" t="str">
        <f t="shared" si="28"/>
        <v/>
      </c>
      <c r="I90" s="127" t="str">
        <f t="shared" si="27"/>
        <v/>
      </c>
      <c r="J90" s="82"/>
      <c r="K90" s="61"/>
      <c r="L90" s="156"/>
      <c r="M90" s="219" t="str">
        <f t="shared" si="29"/>
        <v/>
      </c>
      <c r="N90" s="219" t="str">
        <f t="shared" si="30"/>
        <v/>
      </c>
    </row>
    <row r="91" spans="2:14" ht="14.25" customHeight="1" x14ac:dyDescent="0.2">
      <c r="B91" s="45" t="str">
        <f>IF(COUNTIF(J84:J93,"Cement Delivery to Silo")&gt;0,"EP-2 Cement Silo Stack:","")</f>
        <v/>
      </c>
      <c r="C91" s="221"/>
      <c r="D91" s="221"/>
      <c r="E91" s="221"/>
      <c r="F91" s="221"/>
      <c r="G91" s="45"/>
      <c r="H91" s="127" t="str">
        <f t="shared" si="28"/>
        <v/>
      </c>
      <c r="I91" s="127" t="str">
        <f t="shared" si="27"/>
        <v/>
      </c>
      <c r="J91" s="82"/>
      <c r="K91" s="61"/>
      <c r="L91" s="156"/>
      <c r="M91" s="219" t="str">
        <f t="shared" si="29"/>
        <v/>
      </c>
      <c r="N91" s="219" t="str">
        <f t="shared" si="30"/>
        <v/>
      </c>
    </row>
    <row r="92" spans="2:14" ht="14.25" customHeight="1" x14ac:dyDescent="0.2">
      <c r="B92" s="45" t="str">
        <f>IF(COUNTIF(J84:J93,"Cement Supplement Delivery to Silo")&gt;0,"EP-3 Cement Supplement Silo Stack:","")</f>
        <v/>
      </c>
      <c r="C92" s="221"/>
      <c r="D92" s="221"/>
      <c r="E92" s="221"/>
      <c r="F92" s="221"/>
      <c r="G92" s="45"/>
      <c r="H92" s="127" t="str">
        <f t="shared" si="28"/>
        <v/>
      </c>
      <c r="I92" s="127" t="str">
        <f t="shared" si="27"/>
        <v/>
      </c>
      <c r="J92" s="82"/>
      <c r="K92" s="61"/>
      <c r="L92" s="156"/>
      <c r="M92" s="219" t="str">
        <f t="shared" si="29"/>
        <v/>
      </c>
      <c r="N92" s="219" t="str">
        <f t="shared" si="30"/>
        <v/>
      </c>
    </row>
    <row r="93" spans="2:14" ht="14.25" customHeight="1" x14ac:dyDescent="0.2">
      <c r="B93" s="45" t="str">
        <f>IF(COUNTIF(J84:J93,"Weigh Hopper Loading")&gt;0,"EP-4 Weigh Hopper Loading Stack:","")</f>
        <v/>
      </c>
      <c r="C93" s="221"/>
      <c r="D93" s="221"/>
      <c r="E93" s="221"/>
      <c r="F93" s="221"/>
      <c r="G93" s="45"/>
      <c r="H93" s="127" t="str">
        <f t="shared" si="28"/>
        <v/>
      </c>
      <c r="I93" s="127" t="str">
        <f t="shared" si="27"/>
        <v/>
      </c>
      <c r="J93" s="82"/>
      <c r="K93" s="61"/>
      <c r="L93" s="156"/>
      <c r="M93" s="219" t="str">
        <f t="shared" si="29"/>
        <v/>
      </c>
      <c r="N93" s="219" t="str">
        <f t="shared" si="30"/>
        <v/>
      </c>
    </row>
    <row r="94" spans="2:14" ht="14.25" customHeight="1" x14ac:dyDescent="0.2">
      <c r="B94" s="45" t="str">
        <f>IF(COUNTIF(J84:J93,"Truck Mix Loading")&gt;0,"EP-5 Truck Mix Loading Stack:","")</f>
        <v/>
      </c>
      <c r="C94" s="221"/>
      <c r="D94" s="221"/>
      <c r="E94" s="221"/>
      <c r="F94" s="221"/>
      <c r="G94" s="45"/>
      <c r="H94" s="45"/>
      <c r="I94" s="45"/>
    </row>
    <row r="95" spans="2:14" ht="14.25" customHeight="1" x14ac:dyDescent="0.2">
      <c r="B95" s="45" t="str">
        <f>IF(COUNTIF(J84:J93,"Central Mix Loading")&gt;0,"EP-6 Central Mix Loading Stack:","")</f>
        <v/>
      </c>
      <c r="C95" s="221"/>
      <c r="D95" s="221"/>
      <c r="E95" s="221"/>
      <c r="F95" s="221"/>
      <c r="G95" s="45"/>
      <c r="H95" s="74" t="str">
        <f>IF('Concrete Plant (CP-10)'!$D$4&gt;4,"Stock Pile Area","")</f>
        <v/>
      </c>
      <c r="I95" s="74"/>
      <c r="J95" s="75"/>
    </row>
    <row r="96" spans="2:14" ht="14.25" customHeight="1" x14ac:dyDescent="0.2">
      <c r="B96" s="73"/>
      <c r="C96" s="163"/>
      <c r="D96" s="163"/>
      <c r="E96" s="163"/>
      <c r="F96" s="176"/>
      <c r="G96" s="45"/>
      <c r="I96" s="51" t="str">
        <f>IF('Concrete Plant (CP-10)'!$D$4&gt;4,"Emission Unit #","")</f>
        <v/>
      </c>
      <c r="J96" s="80" t="str">
        <f>IF('Concrete Plant (CP-10)'!$D$4&gt;4,"Maximum Storage Area (acres)","")</f>
        <v/>
      </c>
      <c r="K96" s="81" t="str">
        <f>IF('Concrete Plant (CP-10)'!$D$4&gt;4,"Actual Storage Area (acres)","")</f>
        <v/>
      </c>
      <c r="L96" s="80" t="str">
        <f>IF('Concrete Plant (CP-10)'!$D$4&gt;4,"Actual Days in Existence (days)","")</f>
        <v/>
      </c>
      <c r="M96" s="146"/>
      <c r="N96" s="146"/>
    </row>
    <row r="97" spans="2:14" ht="14.25" customHeight="1" x14ac:dyDescent="0.2">
      <c r="B97" s="73"/>
      <c r="C97" s="163"/>
      <c r="D97" s="163"/>
      <c r="E97" s="163"/>
      <c r="F97" s="176"/>
      <c r="G97" s="45"/>
      <c r="I97" s="62"/>
      <c r="J97" s="144"/>
      <c r="K97" s="66"/>
      <c r="L97" s="144"/>
      <c r="M97" s="146"/>
      <c r="N97" s="146"/>
    </row>
    <row r="98" spans="2:14" ht="21.75" customHeight="1" x14ac:dyDescent="0.2">
      <c r="B98" s="73"/>
      <c r="C98" s="163"/>
      <c r="D98" s="163"/>
      <c r="E98" s="163"/>
      <c r="F98" s="176"/>
      <c r="G98" s="45"/>
      <c r="H98" s="45"/>
    </row>
    <row r="99" spans="2:14" ht="30.75" customHeight="1" x14ac:dyDescent="0.25">
      <c r="B99" s="78" t="str">
        <f>IF('Concrete Plant (CP-10)'!$D$4&gt;5,"Batch Plant","")</f>
        <v/>
      </c>
      <c r="C99" s="71" t="str">
        <f>IF('Concrete Plant (CP-10)'!$D$4&gt;5,"Site 6","")</f>
        <v/>
      </c>
      <c r="D99" s="71"/>
      <c r="E99" s="71"/>
      <c r="F99" s="71"/>
      <c r="G99" s="45"/>
      <c r="H99" s="310" t="str">
        <f>IF('Concrete Plant (CP-10)'!$D$4&gt;5,"Emission Point #","")</f>
        <v/>
      </c>
      <c r="I99" s="310" t="str">
        <f>IF('Concrete Plant (CP-10)'!$D$4&gt;5,"Emission     Unit #","")</f>
        <v/>
      </c>
      <c r="J99" s="310" t="str">
        <f>IF('Concrete Plant (CP-10)'!$D$4&gt;5,"Processes","")</f>
        <v/>
      </c>
      <c r="K99" s="311" t="str">
        <f>IF('Concrete Plant (CP-10)'!$D$4&gt;5,"Combined Maximum Hourly Design Rate for all Like Processes (cubic yard/hr)","")</f>
        <v/>
      </c>
      <c r="L99" s="310" t="str">
        <f>IF('Concrete Plant (CP-10)'!$D$4&gt;5,('Facility Information'!G5&amp;" Annual Throughput (cubic yards)"),"")</f>
        <v/>
      </c>
      <c r="M99" s="217"/>
      <c r="N99" s="217"/>
    </row>
    <row r="100" spans="2:14" ht="14.25" customHeight="1" x14ac:dyDescent="0.2">
      <c r="B100" s="79" t="str">
        <f>IF('Concrete Plant (CP-10)'!$D$4&gt;5,"Site Name:","")</f>
        <v/>
      </c>
      <c r="C100" s="349"/>
      <c r="D100" s="356"/>
      <c r="E100" s="357"/>
      <c r="F100" s="175"/>
      <c r="G100" s="76"/>
      <c r="H100" s="127" t="str">
        <f>IF(J100="cement delivery to silo","CP-1 EP-2",IF(J100="cement supplement delivery to silo","CP-1 EP-3",IF(J100="weigh hopper loading","CP-1 EP-4",IF(J100="truck mix loading","CP-1 EP-5",IF(J100="central mix loading","CP-1 EP-6",IF(J100="","","CP-1 EP-1"))))))</f>
        <v/>
      </c>
      <c r="I100" s="127" t="str">
        <f t="shared" ref="I100:I109" si="31">IF(J100="","",IF(J100="aggregate delivery to ground storage","CP-10 EU-1",IF(J100="sand delivery to ground storage","CP-10 EU-2",IF(J100="aggregate transfer to conveyor","CP-10 EU-3",IF(J100="sand transfer to conveyor","CP-10 EU-4",IF(J100="aggregate transfer to elevated storage","CP-10 EU-5",IF(J100="sand transfer to elevated storage","CP-10 EU-6",IF(J100="weigh hopper loading","CP-10 EU-7",IF(J100="central mix loading","CP-10 EU-8",IF(J100="truck mix loading","CP-10 EU-9",IF(J100="cement delivery to silo","CP-10 EU-10",IF(J100="cement supplement delivery to silo","CP-10 EU-11"))))))))))))</f>
        <v/>
      </c>
      <c r="J100" s="82"/>
      <c r="K100" s="61"/>
      <c r="L100" s="156"/>
      <c r="M100" s="219" t="str">
        <f>IF(J100="truck mix loading",IF($F$103="yes",L100*0.05/2000,L100/2000),"")</f>
        <v/>
      </c>
      <c r="N100" s="219" t="str">
        <f>IF(J100="central mix loading",IF($F$103="yes",L100*0.05/2000,L100/2000),"")</f>
        <v/>
      </c>
    </row>
    <row r="101" spans="2:14" ht="14.25" customHeight="1" x14ac:dyDescent="0.2">
      <c r="B101" s="79" t="str">
        <f>IF('Concrete Plant (CP-10)'!$D$4&gt;5,"County:","")</f>
        <v/>
      </c>
      <c r="C101" s="339"/>
      <c r="D101" s="342"/>
      <c r="E101" s="343"/>
      <c r="F101" s="175"/>
      <c r="H101" s="127" t="str">
        <f t="shared" ref="H101:H109" si="32">IF(J101="cement delivery to silo","CP-1 EP-2",IF(J101="cement supplement delivery to silo","CP-1 EP-3",IF(J101="weigh hopper loading","CP-1 EP-4",IF(J101="truck mix loading","CP-1 EP-5",IF(J101="central mix loading","CP-1 EP-6",IF(J101="","","CP-1 EP-1"))))))</f>
        <v/>
      </c>
      <c r="I101" s="127" t="str">
        <f t="shared" si="31"/>
        <v/>
      </c>
      <c r="J101" s="82"/>
      <c r="K101" s="61"/>
      <c r="L101" s="156"/>
      <c r="M101" s="219" t="str">
        <f t="shared" ref="M101:M109" si="33">IF(J101="truck mix loading",IF($F$103="yes",L101*0.05/2000,L101/2000),"")</f>
        <v/>
      </c>
      <c r="N101" s="219" t="str">
        <f t="shared" ref="N101:N109" si="34">IF(J101="central mix loading",IF($F$103="yes",L101*0.05/2000,L101/2000),"")</f>
        <v/>
      </c>
    </row>
    <row r="102" spans="2:14" ht="14.25" customHeight="1" x14ac:dyDescent="0.2">
      <c r="B102" s="79" t="str">
        <f>IF('Concrete Plant (CP-10)'!$D$4&gt;5,"Batching Period (Dates):","")</f>
        <v/>
      </c>
      <c r="C102" s="352"/>
      <c r="D102" s="358"/>
      <c r="E102" s="359"/>
      <c r="F102" s="175"/>
      <c r="H102" s="127" t="str">
        <f t="shared" si="32"/>
        <v/>
      </c>
      <c r="I102" s="127" t="str">
        <f t="shared" si="31"/>
        <v/>
      </c>
      <c r="J102" s="82"/>
      <c r="K102" s="61"/>
      <c r="L102" s="156"/>
      <c r="M102" s="219" t="str">
        <f t="shared" si="33"/>
        <v/>
      </c>
      <c r="N102" s="219" t="str">
        <f t="shared" si="34"/>
        <v/>
      </c>
    </row>
    <row r="103" spans="2:14" ht="14.25" customHeight="1" x14ac:dyDescent="0.2">
      <c r="B103" s="51" t="str">
        <f>IF(OR(COUNTIF(J100:J109,"Truck Mix Loading")&gt;0,(COUNTIF(J100:J109,"Central Mix Loading")&gt;0)),"Is the Central/Truck Mix Loading process controlled by a baghouse?","")</f>
        <v/>
      </c>
      <c r="C103" s="51"/>
      <c r="D103" s="51"/>
      <c r="E103" s="51"/>
      <c r="F103" s="221"/>
      <c r="H103" s="127" t="str">
        <f t="shared" si="32"/>
        <v/>
      </c>
      <c r="I103" s="127" t="str">
        <f t="shared" si="31"/>
        <v/>
      </c>
      <c r="J103" s="82"/>
      <c r="K103" s="61"/>
      <c r="L103" s="156"/>
      <c r="M103" s="219" t="str">
        <f t="shared" si="33"/>
        <v/>
      </c>
      <c r="N103" s="219" t="str">
        <f t="shared" si="34"/>
        <v/>
      </c>
    </row>
    <row r="104" spans="2:14" ht="14.25" customHeight="1" x14ac:dyDescent="0.2">
      <c r="F104" s="177"/>
      <c r="H104" s="127" t="str">
        <f t="shared" si="32"/>
        <v/>
      </c>
      <c r="I104" s="127" t="str">
        <f t="shared" si="31"/>
        <v/>
      </c>
      <c r="J104" s="82"/>
      <c r="K104" s="61"/>
      <c r="L104" s="156"/>
      <c r="M104" s="219" t="str">
        <f t="shared" si="33"/>
        <v/>
      </c>
      <c r="N104" s="219" t="str">
        <f t="shared" si="34"/>
        <v/>
      </c>
    </row>
    <row r="105" spans="2:14" ht="30" customHeight="1" x14ac:dyDescent="0.2">
      <c r="B105" s="312" t="str">
        <f>IF(AND(B107="",B108="",B109="",B110="",B111=""),"","Process (complete stack information if applicable):")</f>
        <v/>
      </c>
      <c r="C105" s="312" t="str">
        <f>IF(AND(B107="",B108="",B109="",B110="",B111=""),"","Stack Height (ft):")</f>
        <v/>
      </c>
      <c r="D105" s="312" t="str">
        <f>IF(AND(B107="",B108="",B109="",B110="",B111=""),"","Stack Diameter (inches):")</f>
        <v/>
      </c>
      <c r="E105" s="312" t="str">
        <f>IF(AND(B107="",B108="",B109="",B110="",B111=""),"","Flow Rate (acfm):")</f>
        <v/>
      </c>
      <c r="F105" s="312" t="str">
        <f>IF(AND(B107="",B108="",B109="",B110="",B111=""),"","Temp (Deg F):")</f>
        <v/>
      </c>
      <c r="G105" s="45"/>
      <c r="H105" s="127" t="str">
        <f t="shared" si="32"/>
        <v/>
      </c>
      <c r="I105" s="127" t="str">
        <f t="shared" si="31"/>
        <v/>
      </c>
      <c r="J105" s="82"/>
      <c r="K105" s="61"/>
      <c r="L105" s="156"/>
      <c r="M105" s="219" t="str">
        <f t="shared" si="33"/>
        <v/>
      </c>
      <c r="N105" s="219" t="str">
        <f t="shared" si="34"/>
        <v/>
      </c>
    </row>
    <row r="106" spans="2:14" ht="14.25" customHeight="1" x14ac:dyDescent="0.2">
      <c r="B106" s="312"/>
      <c r="C106" s="312"/>
      <c r="D106" s="312"/>
      <c r="E106" s="312"/>
      <c r="F106" s="312"/>
      <c r="G106" s="45"/>
      <c r="H106" s="127" t="str">
        <f t="shared" si="32"/>
        <v/>
      </c>
      <c r="I106" s="127" t="str">
        <f t="shared" si="31"/>
        <v/>
      </c>
      <c r="J106" s="82"/>
      <c r="K106" s="61"/>
      <c r="L106" s="156"/>
      <c r="M106" s="219" t="str">
        <f t="shared" si="33"/>
        <v/>
      </c>
      <c r="N106" s="219" t="str">
        <f t="shared" si="34"/>
        <v/>
      </c>
    </row>
    <row r="107" spans="2:14" ht="14.25" customHeight="1" x14ac:dyDescent="0.2">
      <c r="B107" s="45" t="str">
        <f>IF(COUNTIF(J100:J109,"Cement Delivery to Silo")&gt;0,"EP-2 Cement Silo Stack:","")</f>
        <v/>
      </c>
      <c r="C107" s="221"/>
      <c r="D107" s="221"/>
      <c r="E107" s="221"/>
      <c r="F107" s="221"/>
      <c r="G107" s="45"/>
      <c r="H107" s="127" t="str">
        <f t="shared" si="32"/>
        <v/>
      </c>
      <c r="I107" s="127" t="str">
        <f t="shared" si="31"/>
        <v/>
      </c>
      <c r="J107" s="82"/>
      <c r="K107" s="61"/>
      <c r="L107" s="156"/>
      <c r="M107" s="219" t="str">
        <f t="shared" si="33"/>
        <v/>
      </c>
      <c r="N107" s="219" t="str">
        <f t="shared" si="34"/>
        <v/>
      </c>
    </row>
    <row r="108" spans="2:14" ht="14.25" customHeight="1" x14ac:dyDescent="0.2">
      <c r="B108" s="45" t="str">
        <f>IF(COUNTIF(J100:J109,"Cement Supplement Delivery to Silo")&gt;0,"EP-3 Cement Supplement Silo Stack:","")</f>
        <v/>
      </c>
      <c r="C108" s="221"/>
      <c r="D108" s="221"/>
      <c r="E108" s="221"/>
      <c r="F108" s="221"/>
      <c r="G108" s="45"/>
      <c r="H108" s="127" t="str">
        <f t="shared" si="32"/>
        <v/>
      </c>
      <c r="I108" s="127" t="str">
        <f t="shared" si="31"/>
        <v/>
      </c>
      <c r="J108" s="82"/>
      <c r="K108" s="61"/>
      <c r="L108" s="156"/>
      <c r="M108" s="219" t="str">
        <f t="shared" si="33"/>
        <v/>
      </c>
      <c r="N108" s="219" t="str">
        <f t="shared" si="34"/>
        <v/>
      </c>
    </row>
    <row r="109" spans="2:14" ht="14.25" customHeight="1" x14ac:dyDescent="0.2">
      <c r="B109" s="45" t="str">
        <f>IF(COUNTIF(J100:J109,"Weigh Hopper Loading")&gt;0,"EP-4 Weigh Hopper Loading Stack:","")</f>
        <v/>
      </c>
      <c r="C109" s="221"/>
      <c r="D109" s="221"/>
      <c r="E109" s="221"/>
      <c r="F109" s="221"/>
      <c r="G109" s="45"/>
      <c r="H109" s="127" t="str">
        <f t="shared" si="32"/>
        <v/>
      </c>
      <c r="I109" s="127" t="str">
        <f t="shared" si="31"/>
        <v/>
      </c>
      <c r="J109" s="82"/>
      <c r="K109" s="61"/>
      <c r="L109" s="156"/>
      <c r="M109" s="219" t="str">
        <f t="shared" si="33"/>
        <v/>
      </c>
      <c r="N109" s="219" t="str">
        <f t="shared" si="34"/>
        <v/>
      </c>
    </row>
    <row r="110" spans="2:14" ht="14.25" customHeight="1" x14ac:dyDescent="0.2">
      <c r="B110" s="45" t="str">
        <f>IF(COUNTIF(J100:J109,"Truck Mix Loading")&gt;0,"EP-5 Truck Mix Loading Stack:","")</f>
        <v/>
      </c>
      <c r="C110" s="221"/>
      <c r="D110" s="221"/>
      <c r="E110" s="221"/>
      <c r="F110" s="221"/>
      <c r="G110" s="45"/>
      <c r="H110" s="45"/>
      <c r="I110" s="45"/>
    </row>
    <row r="111" spans="2:14" ht="14.25" customHeight="1" x14ac:dyDescent="0.2">
      <c r="B111" s="45" t="str">
        <f>IF(COUNTIF(J100:J109,"Central Mix Loading")&gt;0,"EP-6 Central Mix Loading Stack:","")</f>
        <v/>
      </c>
      <c r="C111" s="221"/>
      <c r="D111" s="221"/>
      <c r="E111" s="221"/>
      <c r="F111" s="221"/>
      <c r="G111" s="45"/>
      <c r="H111" s="74" t="str">
        <f>IF('Concrete Plant (CP-10)'!$D$4&gt;5,"Stock Pile Area","")</f>
        <v/>
      </c>
      <c r="I111" s="74"/>
      <c r="J111" s="75"/>
    </row>
    <row r="112" spans="2:14" ht="14.25" customHeight="1" x14ac:dyDescent="0.2">
      <c r="B112" s="73"/>
      <c r="C112" s="163"/>
      <c r="D112" s="163"/>
      <c r="E112" s="163"/>
      <c r="F112" s="176"/>
      <c r="G112" s="45"/>
      <c r="I112" s="51" t="str">
        <f>IF('Concrete Plant (CP-10)'!$D$4&gt;5,"Emission Unit #","")</f>
        <v/>
      </c>
      <c r="J112" s="80" t="str">
        <f>IF('Concrete Plant (CP-10)'!$D$4&gt;5,"Maximum Storage Area (acres)","")</f>
        <v/>
      </c>
      <c r="K112" s="81" t="str">
        <f>IF('Concrete Plant (CP-10)'!$D$4&gt;5,"Actual Storage Area (acres)","")</f>
        <v/>
      </c>
      <c r="L112" s="80" t="str">
        <f>IF('Concrete Plant (CP-10)'!$D$4&gt;5,"Actual Days in Existence (days)","")</f>
        <v/>
      </c>
      <c r="M112" s="146"/>
      <c r="N112" s="146"/>
    </row>
    <row r="113" spans="2:14" ht="14.25" customHeight="1" x14ac:dyDescent="0.2">
      <c r="B113" s="73"/>
      <c r="C113" s="163"/>
      <c r="D113" s="163"/>
      <c r="E113" s="163"/>
      <c r="F113" s="176"/>
      <c r="G113" s="45"/>
      <c r="I113" s="65"/>
      <c r="J113" s="144"/>
      <c r="K113" s="66"/>
      <c r="L113" s="144"/>
      <c r="M113" s="146"/>
      <c r="N113" s="146"/>
    </row>
    <row r="114" spans="2:14" ht="14.25" customHeight="1" x14ac:dyDescent="0.2">
      <c r="B114" s="73"/>
      <c r="C114" s="163"/>
      <c r="D114" s="163"/>
      <c r="E114" s="163"/>
      <c r="F114" s="176"/>
      <c r="G114" s="45"/>
      <c r="I114" s="139"/>
      <c r="J114" s="125"/>
      <c r="K114" s="125"/>
      <c r="L114" s="125"/>
      <c r="M114" s="146"/>
      <c r="N114" s="146"/>
    </row>
    <row r="115" spans="2:14" ht="28.5" customHeight="1" x14ac:dyDescent="0.25">
      <c r="B115" s="78" t="str">
        <f>IF('Concrete Plant (CP-10)'!$D$4&gt;6,"Batch Plant","")</f>
        <v/>
      </c>
      <c r="C115" s="71" t="str">
        <f>IF('Concrete Plant (CP-10)'!$D$4&gt;6,"Site 7","")</f>
        <v/>
      </c>
      <c r="D115" s="71"/>
      <c r="E115" s="71"/>
      <c r="F115" s="71"/>
      <c r="G115" s="76"/>
      <c r="H115" s="310" t="str">
        <f>IF('Concrete Plant (CP-10)'!$D$4&gt;6,"Emission Point #","")</f>
        <v/>
      </c>
      <c r="I115" s="310" t="str">
        <f>IF('Concrete Plant (CP-10)'!$D$4&gt;6,"Emission     Unit #","")</f>
        <v/>
      </c>
      <c r="J115" s="310" t="str">
        <f>IF('Concrete Plant (CP-10)'!$D$4&gt;6,"Processes","")</f>
        <v/>
      </c>
      <c r="K115" s="311" t="str">
        <f>IF('Concrete Plant (CP-10)'!$D$4&gt;6,"Combined Maximum Hourly Design Rate for all Like Processes (cubic yard/hr)","")</f>
        <v/>
      </c>
      <c r="L115" s="310" t="str">
        <f>IF('Concrete Plant (CP-10)'!$D$4&gt;6,('Facility Information'!G5&amp;" Annual Throughput (cubic yards)"),"")</f>
        <v/>
      </c>
      <c r="M115" s="217"/>
      <c r="N115" s="217"/>
    </row>
    <row r="116" spans="2:14" ht="14.25" customHeight="1" x14ac:dyDescent="0.2">
      <c r="B116" s="79" t="str">
        <f>IF('Concrete Plant (CP-10)'!$D$4&gt;6,"Site Name:","")</f>
        <v/>
      </c>
      <c r="C116" s="349"/>
      <c r="D116" s="356"/>
      <c r="E116" s="357"/>
      <c r="F116" s="175"/>
      <c r="H116" s="127" t="str">
        <f>IF(J116="cement delivery to silo","CP-1 EP-2",IF(J116="cement supplement delivery to silo","CP-1 EP-3",IF(J116="weigh hopper loading","CP-1 EP-4",IF(J116="truck mix loading","CP-1 EP-5",IF(J116="central mix loading","CP-1 EP-6",IF(J116="","","CP-1 EP-1"))))))</f>
        <v/>
      </c>
      <c r="I116" s="127" t="str">
        <f t="shared" ref="I116:I125" si="35">IF(J116="","",IF(J116="aggregate delivery to ground storage","CP-10 EU-1",IF(J116="sand delivery to ground storage","CP-10 EU-2",IF(J116="aggregate transfer to conveyor","CP-10 EU-3",IF(J116="sand transfer to conveyor","CP-10 EU-4",IF(J116="aggregate transfer to elevated storage","CP-10 EU-5",IF(J116="sand transfer to elevated storage","CP-10 EU-6",IF(J116="weigh hopper loading","CP-10 EU-7",IF(J116="central mix loading","CP-10 EU-8",IF(J116="truck mix loading","CP-10 EU-9",IF(J116="cement delivery to silo","CP-10 EU-10",IF(J116="cement supplement delivery to silo","CP-10 EU-11"))))))))))))</f>
        <v/>
      </c>
      <c r="J116" s="82"/>
      <c r="K116" s="61"/>
      <c r="L116" s="156"/>
      <c r="M116" s="219" t="str">
        <f>IF(J116="truck mix loading",IF($F$119="yes",L116*0.05/2000,L116/2000),"")</f>
        <v/>
      </c>
      <c r="N116" s="219" t="str">
        <f>IF(J116="central mix loading",IF($F$119="yes",L116*0.05/2000,L116/2000),"")</f>
        <v/>
      </c>
    </row>
    <row r="117" spans="2:14" ht="14.25" customHeight="1" x14ac:dyDescent="0.2">
      <c r="B117" s="79" t="str">
        <f>IF('Concrete Plant (CP-10)'!$D$4&gt;6,"County:","")</f>
        <v/>
      </c>
      <c r="C117" s="339"/>
      <c r="D117" s="342"/>
      <c r="E117" s="343"/>
      <c r="F117" s="175"/>
      <c r="H117" s="127" t="str">
        <f t="shared" ref="H117:H125" si="36">IF(J117="cement delivery to silo","CP-1 EP-2",IF(J117="cement supplement delivery to silo","CP-1 EP-3",IF(J117="weigh hopper loading","CP-1 EP-4",IF(J117="truck mix loading","CP-1 EP-5",IF(J117="central mix loading","CP-1 EP-6",IF(J117="","","CP-1 EP-1"))))))</f>
        <v/>
      </c>
      <c r="I117" s="127" t="str">
        <f t="shared" si="35"/>
        <v/>
      </c>
      <c r="J117" s="82"/>
      <c r="K117" s="61"/>
      <c r="L117" s="156"/>
      <c r="M117" s="219" t="str">
        <f t="shared" ref="M117:M125" si="37">IF(J117="truck mix loading",IF($F$119="yes",L117*0.05/2000,L117/2000),"")</f>
        <v/>
      </c>
      <c r="N117" s="219" t="str">
        <f t="shared" ref="N117:N125" si="38">IF(J117="central mix loading",IF($F$119="yes",L117*0.05/2000,L117/2000),"")</f>
        <v/>
      </c>
    </row>
    <row r="118" spans="2:14" ht="14.25" customHeight="1" x14ac:dyDescent="0.2">
      <c r="B118" s="79" t="str">
        <f>IF('Concrete Plant (CP-10)'!$D$4&gt;6,"Batching Period (Dates):","")</f>
        <v/>
      </c>
      <c r="C118" s="352"/>
      <c r="D118" s="358"/>
      <c r="E118" s="359"/>
      <c r="F118" s="175"/>
      <c r="H118" s="127" t="str">
        <f t="shared" si="36"/>
        <v/>
      </c>
      <c r="I118" s="127" t="str">
        <f t="shared" si="35"/>
        <v/>
      </c>
      <c r="J118" s="82"/>
      <c r="K118" s="61"/>
      <c r="L118" s="156"/>
      <c r="M118" s="219" t="str">
        <f t="shared" si="37"/>
        <v/>
      </c>
      <c r="N118" s="219" t="str">
        <f t="shared" si="38"/>
        <v/>
      </c>
    </row>
    <row r="119" spans="2:14" ht="14.25" customHeight="1" x14ac:dyDescent="0.2">
      <c r="B119" s="51" t="str">
        <f>IF(OR(COUNTIF(J116:J125,"Truck Mix Loading")&gt;0,(COUNTIF(J116:J125,"Central Mix Loading")&gt;0)),"Is the Central/Truck Mix Loading process controlled by a baghouse?","")</f>
        <v/>
      </c>
      <c r="C119" s="51"/>
      <c r="D119" s="51"/>
      <c r="E119" s="51"/>
      <c r="F119" s="221"/>
      <c r="G119" s="45"/>
      <c r="H119" s="127" t="str">
        <f t="shared" si="36"/>
        <v/>
      </c>
      <c r="I119" s="127" t="str">
        <f t="shared" si="35"/>
        <v/>
      </c>
      <c r="J119" s="82"/>
      <c r="K119" s="61"/>
      <c r="L119" s="156"/>
      <c r="M119" s="219" t="str">
        <f t="shared" si="37"/>
        <v/>
      </c>
      <c r="N119" s="219" t="str">
        <f t="shared" si="38"/>
        <v/>
      </c>
    </row>
    <row r="120" spans="2:14" ht="14.25" customHeight="1" x14ac:dyDescent="0.2">
      <c r="F120" s="177"/>
      <c r="G120" s="45"/>
      <c r="H120" s="127" t="str">
        <f t="shared" si="36"/>
        <v/>
      </c>
      <c r="I120" s="127" t="str">
        <f t="shared" si="35"/>
        <v/>
      </c>
      <c r="J120" s="82"/>
      <c r="K120" s="61"/>
      <c r="L120" s="156"/>
      <c r="M120" s="219" t="str">
        <f t="shared" si="37"/>
        <v/>
      </c>
      <c r="N120" s="219" t="str">
        <f t="shared" si="38"/>
        <v/>
      </c>
    </row>
    <row r="121" spans="2:14" ht="27.75" customHeight="1" x14ac:dyDescent="0.2">
      <c r="B121" s="312" t="str">
        <f>IF(AND(B123="",B124="",B125="",B126="",B127=""),"","Process (complete stack information if applicable):")</f>
        <v/>
      </c>
      <c r="C121" s="312" t="str">
        <f>IF(AND(B123="",B124="",B125="",B126="",B127=""),"","Stack Height (ft):")</f>
        <v/>
      </c>
      <c r="D121" s="312" t="str">
        <f>IF(AND(B123="",B124="",B125="",B126="",B127=""),"","Stack Diameter (inches):")</f>
        <v/>
      </c>
      <c r="E121" s="312" t="str">
        <f>IF(AND(B123="",B124="",B125="",B126="",B127=""),"","Flow Rate (acfm):")</f>
        <v/>
      </c>
      <c r="F121" s="312" t="str">
        <f>IF(AND(B123="",B124="",B125="",B126="",B127=""),"","Temp (Deg F):")</f>
        <v/>
      </c>
      <c r="G121" s="45"/>
      <c r="H121" s="127" t="str">
        <f t="shared" si="36"/>
        <v/>
      </c>
      <c r="I121" s="127" t="str">
        <f t="shared" si="35"/>
        <v/>
      </c>
      <c r="J121" s="82"/>
      <c r="K121" s="61"/>
      <c r="L121" s="156"/>
      <c r="M121" s="219" t="str">
        <f t="shared" si="37"/>
        <v/>
      </c>
      <c r="N121" s="219" t="str">
        <f t="shared" si="38"/>
        <v/>
      </c>
    </row>
    <row r="122" spans="2:14" ht="14.25" customHeight="1" x14ac:dyDescent="0.2">
      <c r="B122" s="312"/>
      <c r="C122" s="312"/>
      <c r="D122" s="312"/>
      <c r="E122" s="312"/>
      <c r="F122" s="312"/>
      <c r="G122" s="45"/>
      <c r="H122" s="127" t="str">
        <f t="shared" si="36"/>
        <v/>
      </c>
      <c r="I122" s="127" t="str">
        <f t="shared" si="35"/>
        <v/>
      </c>
      <c r="J122" s="82"/>
      <c r="K122" s="61"/>
      <c r="L122" s="156"/>
      <c r="M122" s="219" t="str">
        <f t="shared" si="37"/>
        <v/>
      </c>
      <c r="N122" s="219" t="str">
        <f t="shared" si="38"/>
        <v/>
      </c>
    </row>
    <row r="123" spans="2:14" ht="14.25" customHeight="1" x14ac:dyDescent="0.2">
      <c r="B123" s="45" t="str">
        <f>IF(COUNTIF(J116:J125,"Cement Delivery to Silo")&gt;0,"EP-2 Cement Silo Stack:","")</f>
        <v/>
      </c>
      <c r="C123" s="221"/>
      <c r="D123" s="221"/>
      <c r="E123" s="221"/>
      <c r="F123" s="221"/>
      <c r="G123" s="45"/>
      <c r="H123" s="127" t="str">
        <f t="shared" si="36"/>
        <v/>
      </c>
      <c r="I123" s="127" t="str">
        <f t="shared" si="35"/>
        <v/>
      </c>
      <c r="J123" s="82"/>
      <c r="K123" s="61"/>
      <c r="L123" s="156"/>
      <c r="M123" s="219" t="str">
        <f t="shared" si="37"/>
        <v/>
      </c>
      <c r="N123" s="219" t="str">
        <f t="shared" si="38"/>
        <v/>
      </c>
    </row>
    <row r="124" spans="2:14" ht="14.25" customHeight="1" x14ac:dyDescent="0.2">
      <c r="B124" s="45" t="str">
        <f>IF(COUNTIF(J116:J125,"Cement Supplement Delivery to Silo")&gt;0,"EP-3 Cement Supplement Silo Stack:","")</f>
        <v/>
      </c>
      <c r="C124" s="221"/>
      <c r="D124" s="221"/>
      <c r="E124" s="221"/>
      <c r="F124" s="221"/>
      <c r="G124" s="45"/>
      <c r="H124" s="127" t="str">
        <f t="shared" si="36"/>
        <v/>
      </c>
      <c r="I124" s="127" t="str">
        <f t="shared" si="35"/>
        <v/>
      </c>
      <c r="J124" s="82"/>
      <c r="K124" s="61"/>
      <c r="L124" s="156"/>
      <c r="M124" s="219" t="str">
        <f t="shared" si="37"/>
        <v/>
      </c>
      <c r="N124" s="219" t="str">
        <f t="shared" si="38"/>
        <v/>
      </c>
    </row>
    <row r="125" spans="2:14" ht="14.25" customHeight="1" x14ac:dyDescent="0.2">
      <c r="B125" s="45" t="str">
        <f>IF(COUNTIF(J116:J125,"Weigh Hopper Loading")&gt;0,"EP-4 Weigh Hopper Loading Stack:","")</f>
        <v/>
      </c>
      <c r="C125" s="221"/>
      <c r="D125" s="221"/>
      <c r="E125" s="221"/>
      <c r="F125" s="221"/>
      <c r="G125" s="45"/>
      <c r="H125" s="127" t="str">
        <f t="shared" si="36"/>
        <v/>
      </c>
      <c r="I125" s="127" t="str">
        <f t="shared" si="35"/>
        <v/>
      </c>
      <c r="J125" s="82"/>
      <c r="K125" s="61"/>
      <c r="L125" s="156"/>
      <c r="M125" s="219" t="str">
        <f t="shared" si="37"/>
        <v/>
      </c>
      <c r="N125" s="219" t="str">
        <f t="shared" si="38"/>
        <v/>
      </c>
    </row>
    <row r="126" spans="2:14" ht="14.25" customHeight="1" x14ac:dyDescent="0.2">
      <c r="B126" s="45" t="str">
        <f>IF(COUNTIF(J116:J125,"Truck Mix Loading")&gt;0,"EP-5 Truck Mix Loading Stack:","")</f>
        <v/>
      </c>
      <c r="C126" s="221"/>
      <c r="D126" s="221"/>
      <c r="E126" s="221"/>
      <c r="F126" s="221"/>
      <c r="G126" s="45"/>
      <c r="H126" s="45"/>
      <c r="I126" s="45"/>
    </row>
    <row r="127" spans="2:14" ht="14.25" customHeight="1" x14ac:dyDescent="0.2">
      <c r="B127" s="45" t="str">
        <f>IF(COUNTIF(J116:J125,"Central Mix Loading")&gt;0,"EP-6 Central Mix Loading Stack:","")</f>
        <v/>
      </c>
      <c r="C127" s="221"/>
      <c r="D127" s="221"/>
      <c r="E127" s="221"/>
      <c r="F127" s="221"/>
      <c r="G127" s="45"/>
      <c r="H127" s="74" t="str">
        <f>IF('Concrete Plant (CP-10)'!$D$4&gt;6,"Stock Pile Area","")</f>
        <v/>
      </c>
      <c r="I127" s="74"/>
      <c r="J127" s="75"/>
    </row>
    <row r="128" spans="2:14" ht="14.25" customHeight="1" x14ac:dyDescent="0.2">
      <c r="B128" s="73"/>
      <c r="C128" s="163"/>
      <c r="D128" s="163"/>
      <c r="E128" s="163"/>
      <c r="F128" s="176"/>
      <c r="G128" s="45"/>
      <c r="I128" s="51" t="str">
        <f>IF('Concrete Plant (CP-10)'!$D$4&gt;6,"Emission Unit #","")</f>
        <v/>
      </c>
      <c r="J128" s="80" t="str">
        <f>IF('Concrete Plant (CP-10)'!$D$4&gt;6,"Maximum Storage Area (acres)","")</f>
        <v/>
      </c>
      <c r="K128" s="81" t="str">
        <f>IF('Concrete Plant (CP-10)'!$D$4&gt;6,"Actual Storage Area (acres)","")</f>
        <v/>
      </c>
      <c r="L128" s="80" t="str">
        <f>IF('Concrete Plant (CP-10)'!$D$4&gt;6,"Actual Days in Existence (days)","")</f>
        <v/>
      </c>
      <c r="M128" s="146"/>
      <c r="N128" s="146"/>
    </row>
    <row r="129" spans="2:14" ht="14.25" customHeight="1" x14ac:dyDescent="0.2">
      <c r="B129" s="73"/>
      <c r="C129" s="163"/>
      <c r="D129" s="163"/>
      <c r="E129" s="163"/>
      <c r="F129" s="176"/>
      <c r="I129" s="65"/>
      <c r="J129" s="144"/>
      <c r="K129" s="66"/>
      <c r="L129" s="144"/>
      <c r="M129" s="146"/>
      <c r="N129" s="146"/>
    </row>
    <row r="130" spans="2:14" ht="14.25" customHeight="1" x14ac:dyDescent="0.2">
      <c r="B130" s="73"/>
      <c r="C130" s="163"/>
      <c r="D130" s="163"/>
      <c r="E130" s="163"/>
      <c r="F130" s="176"/>
      <c r="G130" s="76"/>
    </row>
    <row r="131" spans="2:14" ht="28.5" customHeight="1" x14ac:dyDescent="0.25">
      <c r="B131" s="78" t="str">
        <f>IF('Concrete Plant (CP-10)'!$D$4&gt;7,"Batch Plant","")</f>
        <v/>
      </c>
      <c r="C131" s="71" t="str">
        <f>IF('Concrete Plant (CP-10)'!$D$4&gt;7,"Site 8","")</f>
        <v/>
      </c>
      <c r="D131" s="71"/>
      <c r="E131" s="71"/>
      <c r="F131" s="71"/>
      <c r="H131" s="310" t="str">
        <f>IF('Concrete Plant (CP-10)'!$D$4&gt;7,"Emission Point #","")</f>
        <v/>
      </c>
      <c r="I131" s="310" t="str">
        <f>IF('Concrete Plant (CP-10)'!$D$4&gt;7,"Emission     Unit #","")</f>
        <v/>
      </c>
      <c r="J131" s="310" t="str">
        <f>IF('Concrete Plant (CP-10)'!$D$4&gt;7,"Processes","")</f>
        <v/>
      </c>
      <c r="K131" s="311" t="str">
        <f>IF('Concrete Plant (CP-10)'!$D$4&gt;7,"Combined Maximum Hourly Design Rate for all Like Processes (cubic yard/hr)","")</f>
        <v/>
      </c>
      <c r="L131" s="310" t="str">
        <f>IF('Concrete Plant (CP-10)'!$D$4&gt;7,('Facility Information'!G5&amp;" Annual Throughput (cubic yards)"),"")</f>
        <v/>
      </c>
      <c r="M131" s="217"/>
      <c r="N131" s="217"/>
    </row>
    <row r="132" spans="2:14" ht="14.25" customHeight="1" x14ac:dyDescent="0.2">
      <c r="B132" s="79" t="str">
        <f>IF('Concrete Plant (CP-10)'!$D$4&gt;7,"Site Name:","")</f>
        <v/>
      </c>
      <c r="C132" s="349"/>
      <c r="D132" s="356"/>
      <c r="E132" s="357"/>
      <c r="F132" s="175"/>
      <c r="H132" s="127" t="str">
        <f>IF(J132="cement delivery to silo","CP-1 EP-2",IF(J132="cement supplement delivery to silo","CP-1 EP-3",IF(J132="weigh hopper loading","CP-1 EP-4",IF(J132="truck mix loading","CP-1 EP-5",IF(J132="central mix loading","CP-1 EP-6",IF(J132="","","CP-1 EP-1"))))))</f>
        <v/>
      </c>
      <c r="I132" s="127" t="str">
        <f t="shared" ref="I132:I141" si="39">IF(J132="","",IF(J132="aggregate delivery to ground storage","CP-10 EU-1",IF(J132="sand delivery to ground storage","CP-10 EU-2",IF(J132="aggregate transfer to conveyor","CP-10 EU-3",IF(J132="sand transfer to conveyor","CP-10 EU-4",IF(J132="aggregate transfer to elevated storage","CP-10 EU-5",IF(J132="sand transfer to elevated storage","CP-10 EU-6",IF(J132="weigh hopper loading","CP-10 EU-7",IF(J132="central mix loading","CP-10 EU-8",IF(J132="truck mix loading","CP-10 EU-9",IF(J132="cement delivery to silo","CP-10 EU-10",IF(J132="cement supplement delivery to silo","CP-10 EU-11"))))))))))))</f>
        <v/>
      </c>
      <c r="J132" s="82"/>
      <c r="K132" s="61"/>
      <c r="L132" s="156"/>
      <c r="M132" s="219" t="str">
        <f>IF(J132="truck mix loading",IF($F$135="yes",L132*0.05/2000,L132/2000),"")</f>
        <v/>
      </c>
      <c r="N132" s="219" t="str">
        <f>IF(J132="central mix loading",IF($F$135="yes",L132*0.05/2000,L132/2000),"")</f>
        <v/>
      </c>
    </row>
    <row r="133" spans="2:14" ht="14.25" customHeight="1" x14ac:dyDescent="0.2">
      <c r="B133" s="79" t="str">
        <f>IF('Concrete Plant (CP-10)'!$D$4&gt;7,"County:","")</f>
        <v/>
      </c>
      <c r="C133" s="339"/>
      <c r="D133" s="342"/>
      <c r="E133" s="343"/>
      <c r="F133" s="175"/>
      <c r="G133" s="45"/>
      <c r="H133" s="127" t="str">
        <f t="shared" ref="H133:H141" si="40">IF(J133="cement delivery to silo","CP-1 EP-2",IF(J133="cement supplement delivery to silo","CP-1 EP-3",IF(J133="weigh hopper loading","CP-1 EP-4",IF(J133="truck mix loading","CP-1 EP-5",IF(J133="central mix loading","CP-1 EP-6",IF(J133="","","CP-1 EP-1"))))))</f>
        <v/>
      </c>
      <c r="I133" s="127" t="str">
        <f t="shared" si="39"/>
        <v/>
      </c>
      <c r="J133" s="82"/>
      <c r="K133" s="61"/>
      <c r="L133" s="156"/>
      <c r="M133" s="219" t="str">
        <f t="shared" ref="M133:M141" si="41">IF(J133="truck mix loading",IF($F$135="yes",L133*0.05/2000,L133/2000),"")</f>
        <v/>
      </c>
      <c r="N133" s="219" t="str">
        <f t="shared" ref="N133:N141" si="42">IF(J133="central mix loading",IF($F$135="yes",L133*0.05/2000,L133/2000),"")</f>
        <v/>
      </c>
    </row>
    <row r="134" spans="2:14" ht="14.25" customHeight="1" x14ac:dyDescent="0.2">
      <c r="B134" s="79" t="str">
        <f>IF('Concrete Plant (CP-10)'!$D$4&gt;7,"Batching Period (Dates):","")</f>
        <v/>
      </c>
      <c r="C134" s="352"/>
      <c r="D134" s="358"/>
      <c r="E134" s="359"/>
      <c r="F134" s="175"/>
      <c r="G134" s="45"/>
      <c r="H134" s="127" t="str">
        <f t="shared" si="40"/>
        <v/>
      </c>
      <c r="I134" s="127" t="str">
        <f t="shared" si="39"/>
        <v/>
      </c>
      <c r="J134" s="82"/>
      <c r="K134" s="61"/>
      <c r="L134" s="156"/>
      <c r="M134" s="219" t="str">
        <f t="shared" si="41"/>
        <v/>
      </c>
      <c r="N134" s="219" t="str">
        <f t="shared" si="42"/>
        <v/>
      </c>
    </row>
    <row r="135" spans="2:14" ht="14.25" customHeight="1" x14ac:dyDescent="0.2">
      <c r="B135" s="51" t="str">
        <f>IF(OR(COUNTIF(J132:J141,"Truck Mix Loading")&gt;0,(COUNTIF(J132:J141,"Central Mix Loading")&gt;0)),"Is the Central/Truck Mix Loading process controlled by a baghouse?","")</f>
        <v/>
      </c>
      <c r="C135" s="51"/>
      <c r="D135" s="51"/>
      <c r="E135" s="51"/>
      <c r="F135" s="221"/>
      <c r="G135" s="45"/>
      <c r="H135" s="127" t="str">
        <f t="shared" si="40"/>
        <v/>
      </c>
      <c r="I135" s="127" t="str">
        <f t="shared" si="39"/>
        <v/>
      </c>
      <c r="J135" s="82"/>
      <c r="K135" s="61"/>
      <c r="L135" s="156"/>
      <c r="M135" s="219" t="str">
        <f t="shared" si="41"/>
        <v/>
      </c>
      <c r="N135" s="219" t="str">
        <f t="shared" si="42"/>
        <v/>
      </c>
    </row>
    <row r="136" spans="2:14" ht="14.25" customHeight="1" x14ac:dyDescent="0.2">
      <c r="F136" s="177"/>
      <c r="G136" s="45"/>
      <c r="H136" s="127" t="str">
        <f t="shared" si="40"/>
        <v/>
      </c>
      <c r="I136" s="127" t="str">
        <f t="shared" si="39"/>
        <v/>
      </c>
      <c r="J136" s="82"/>
      <c r="K136" s="61"/>
      <c r="L136" s="156"/>
      <c r="M136" s="219" t="str">
        <f t="shared" si="41"/>
        <v/>
      </c>
      <c r="N136" s="219" t="str">
        <f t="shared" si="42"/>
        <v/>
      </c>
    </row>
    <row r="137" spans="2:14" ht="27.75" customHeight="1" x14ac:dyDescent="0.2">
      <c r="B137" s="312" t="str">
        <f>IF(AND(B139="",B140="",B141="",B142="",B143=""),"","Process (complete stack information if applicable):")</f>
        <v/>
      </c>
      <c r="C137" s="312" t="str">
        <f>IF(AND(B139="",B140="",B141="",B142="",B143=""),"","Stack Height (ft):")</f>
        <v/>
      </c>
      <c r="D137" s="312" t="str">
        <f>IF(AND(B139="",B140="",B141="",B142="",B143=""),"","Stack Diameter (inches):")</f>
        <v/>
      </c>
      <c r="E137" s="312" t="str">
        <f>IF(AND(B139="",B140="",B141="",B142="",B143=""),"","Flow Rate (acfm):")</f>
        <v/>
      </c>
      <c r="F137" s="312" t="str">
        <f>IF(AND(B139="",B140="",B141="",B142="",B143=""),"","Temp (Deg F):")</f>
        <v/>
      </c>
      <c r="G137" s="45"/>
      <c r="H137" s="127" t="str">
        <f t="shared" si="40"/>
        <v/>
      </c>
      <c r="I137" s="127" t="str">
        <f t="shared" si="39"/>
        <v/>
      </c>
      <c r="J137" s="82"/>
      <c r="K137" s="61"/>
      <c r="L137" s="156"/>
      <c r="M137" s="219" t="str">
        <f t="shared" si="41"/>
        <v/>
      </c>
      <c r="N137" s="219" t="str">
        <f t="shared" si="42"/>
        <v/>
      </c>
    </row>
    <row r="138" spans="2:14" ht="14.25" customHeight="1" x14ac:dyDescent="0.2">
      <c r="B138" s="312"/>
      <c r="C138" s="312"/>
      <c r="D138" s="312"/>
      <c r="E138" s="312"/>
      <c r="F138" s="312"/>
      <c r="G138" s="45"/>
      <c r="H138" s="127" t="str">
        <f t="shared" si="40"/>
        <v/>
      </c>
      <c r="I138" s="127" t="str">
        <f t="shared" si="39"/>
        <v/>
      </c>
      <c r="J138" s="82"/>
      <c r="K138" s="61"/>
      <c r="L138" s="156"/>
      <c r="M138" s="219" t="str">
        <f t="shared" si="41"/>
        <v/>
      </c>
      <c r="N138" s="219" t="str">
        <f t="shared" si="42"/>
        <v/>
      </c>
    </row>
    <row r="139" spans="2:14" ht="14.25" customHeight="1" x14ac:dyDescent="0.2">
      <c r="B139" s="45" t="str">
        <f>IF(COUNTIF(J132:J141,"Cement Delivery to Silo")&gt;0,"EP-2 Cement Silo Stack:","")</f>
        <v/>
      </c>
      <c r="C139" s="221"/>
      <c r="D139" s="221"/>
      <c r="E139" s="221"/>
      <c r="F139" s="221"/>
      <c r="G139" s="45"/>
      <c r="H139" s="127" t="str">
        <f t="shared" si="40"/>
        <v/>
      </c>
      <c r="I139" s="127" t="str">
        <f t="shared" si="39"/>
        <v/>
      </c>
      <c r="J139" s="82"/>
      <c r="K139" s="61"/>
      <c r="L139" s="156"/>
      <c r="M139" s="219" t="str">
        <f t="shared" si="41"/>
        <v/>
      </c>
      <c r="N139" s="219" t="str">
        <f t="shared" si="42"/>
        <v/>
      </c>
    </row>
    <row r="140" spans="2:14" ht="14.25" customHeight="1" x14ac:dyDescent="0.2">
      <c r="B140" s="45" t="str">
        <f>IF(COUNTIF(J132:J141,"Cement Supplement Delivery to Silo")&gt;0,"EP-3 Cement Supplement Silo Stack:","")</f>
        <v/>
      </c>
      <c r="C140" s="221"/>
      <c r="D140" s="221"/>
      <c r="E140" s="221"/>
      <c r="F140" s="221"/>
      <c r="G140" s="45"/>
      <c r="H140" s="127" t="str">
        <f t="shared" si="40"/>
        <v/>
      </c>
      <c r="I140" s="127" t="str">
        <f t="shared" si="39"/>
        <v/>
      </c>
      <c r="J140" s="82"/>
      <c r="K140" s="61"/>
      <c r="L140" s="156"/>
      <c r="M140" s="219" t="str">
        <f t="shared" si="41"/>
        <v/>
      </c>
      <c r="N140" s="219" t="str">
        <f t="shared" si="42"/>
        <v/>
      </c>
    </row>
    <row r="141" spans="2:14" ht="14.25" customHeight="1" x14ac:dyDescent="0.2">
      <c r="B141" s="45" t="str">
        <f>IF(COUNTIF(J132:J141,"Weigh Hopper Loading")&gt;0,"EP-4 Weigh Hopper Loading Stack:","")</f>
        <v/>
      </c>
      <c r="C141" s="221"/>
      <c r="D141" s="221"/>
      <c r="E141" s="221"/>
      <c r="F141" s="221"/>
      <c r="G141" s="45"/>
      <c r="H141" s="127" t="str">
        <f t="shared" si="40"/>
        <v/>
      </c>
      <c r="I141" s="127" t="str">
        <f t="shared" si="39"/>
        <v/>
      </c>
      <c r="J141" s="82"/>
      <c r="K141" s="61"/>
      <c r="L141" s="156"/>
      <c r="M141" s="219" t="str">
        <f t="shared" si="41"/>
        <v/>
      </c>
      <c r="N141" s="219" t="str">
        <f t="shared" si="42"/>
        <v/>
      </c>
    </row>
    <row r="142" spans="2:14" ht="14.25" customHeight="1" x14ac:dyDescent="0.2">
      <c r="B142" s="45" t="str">
        <f>IF(COUNTIF(J132:J141,"Truck Mix Loading")&gt;0,"EP-5 Truck Mix Loading Stack:","")</f>
        <v/>
      </c>
      <c r="C142" s="221"/>
      <c r="D142" s="221"/>
      <c r="E142" s="221"/>
      <c r="F142" s="221"/>
      <c r="G142" s="45"/>
      <c r="H142" s="45"/>
      <c r="I142" s="45"/>
    </row>
    <row r="143" spans="2:14" ht="14.25" customHeight="1" x14ac:dyDescent="0.2">
      <c r="B143" s="45" t="str">
        <f>IF(COUNTIF(J132:J141,"Central Mix Loading")&gt;0,"EP-6 Central Mix Loading Stack:","")</f>
        <v/>
      </c>
      <c r="C143" s="221"/>
      <c r="D143" s="221"/>
      <c r="E143" s="221"/>
      <c r="F143" s="221"/>
      <c r="H143" s="74" t="str">
        <f>IF('Concrete Plant (CP-10)'!$D$4&gt;7,"Stock Pile Area","")</f>
        <v/>
      </c>
      <c r="I143" s="74"/>
      <c r="J143" s="75"/>
    </row>
    <row r="144" spans="2:14" ht="14.25" customHeight="1" x14ac:dyDescent="0.2">
      <c r="B144" s="73"/>
      <c r="C144" s="163"/>
      <c r="D144" s="163"/>
      <c r="E144" s="163"/>
      <c r="F144" s="176"/>
      <c r="G144" s="76"/>
      <c r="I144" s="51" t="str">
        <f>IF('Concrete Plant (CP-10)'!$D$4&gt;7,"Emission Unit #","")</f>
        <v/>
      </c>
      <c r="J144" s="80" t="str">
        <f>IF('Concrete Plant (CP-10)'!$D$4&gt;7,"Maximum Storage Area (acres)","")</f>
        <v/>
      </c>
      <c r="K144" s="81" t="str">
        <f>IF('Concrete Plant (CP-10)'!$D$4&gt;7,"Actual Storage Area (acres)","")</f>
        <v/>
      </c>
      <c r="L144" s="80" t="str">
        <f>IF('Concrete Plant (CP-10)'!$D$4&gt;7,"Actual Days in Existence (days)","")</f>
        <v/>
      </c>
      <c r="M144" s="146"/>
      <c r="N144" s="146"/>
    </row>
    <row r="145" spans="2:14" ht="14.25" customHeight="1" x14ac:dyDescent="0.2">
      <c r="B145" s="73"/>
      <c r="C145" s="163"/>
      <c r="D145" s="163"/>
      <c r="E145" s="163"/>
      <c r="F145" s="176"/>
      <c r="I145" s="65"/>
      <c r="J145" s="144"/>
      <c r="K145" s="66"/>
      <c r="L145" s="144"/>
      <c r="M145" s="146"/>
      <c r="N145" s="146"/>
    </row>
    <row r="146" spans="2:14" ht="14.25" customHeight="1" x14ac:dyDescent="0.2">
      <c r="B146" s="73"/>
      <c r="C146" s="163"/>
      <c r="D146" s="163"/>
      <c r="E146" s="163"/>
      <c r="F146" s="176"/>
    </row>
    <row r="147" spans="2:14" ht="14.25" customHeight="1" x14ac:dyDescent="0.2">
      <c r="F147" s="177"/>
    </row>
    <row r="148" spans="2:14" ht="28.5" customHeight="1" x14ac:dyDescent="0.25">
      <c r="B148" s="78" t="str">
        <f>IF('Concrete Plant (CP-10)'!$D$4&gt;8,"Batch Plant","")</f>
        <v/>
      </c>
      <c r="C148" s="71" t="str">
        <f>IF('Concrete Plant (CP-10)'!$D$4&gt;8,"Site 9","")</f>
        <v/>
      </c>
      <c r="D148" s="71"/>
      <c r="E148" s="71"/>
      <c r="F148" s="71"/>
      <c r="H148" s="310" t="str">
        <f>IF('Concrete Plant (CP-10)'!$D$4&gt;8,"Emission Point #","")</f>
        <v/>
      </c>
      <c r="I148" s="310" t="str">
        <f>IF('Concrete Plant (CP-10)'!$D$4&gt;8,"Emission     Unit #","")</f>
        <v/>
      </c>
      <c r="J148" s="310" t="str">
        <f>IF('Concrete Plant (CP-10)'!$D$4&gt;8,"Processes","")</f>
        <v/>
      </c>
      <c r="K148" s="311" t="str">
        <f>IF('Concrete Plant (CP-10)'!$D$4&gt;8,"Combined Maximum Hourly Design Rate for all Like Processes (cubic yard/hr)","")</f>
        <v/>
      </c>
      <c r="L148" s="310" t="str">
        <f>IF('Concrete Plant (CP-10)'!$D$4&gt;8,('Facility Information'!G5&amp;" Annual Throughput (cubic yards)"),"")</f>
        <v/>
      </c>
      <c r="M148" s="217"/>
      <c r="N148" s="217"/>
    </row>
    <row r="149" spans="2:14" ht="14.25" customHeight="1" x14ac:dyDescent="0.2">
      <c r="B149" s="79" t="str">
        <f>IF('Concrete Plant (CP-10)'!$D$4&gt;8,"Site Name:","")</f>
        <v/>
      </c>
      <c r="C149" s="349"/>
      <c r="D149" s="356"/>
      <c r="E149" s="357"/>
      <c r="F149" s="175"/>
      <c r="G149" s="45"/>
      <c r="H149" s="127" t="str">
        <f>IF(J149="cement delivery to silo","CP-1 EP-2",IF(J149="cement supplement delivery to silo","CP-1 EP-3",IF(J149="weigh hopper loading","CP-1 EP-4",IF(J149="truck mix loading","CP-1 EP-5",IF(J149="central mix loading","CP-1 EP-6",IF(J149="","","CP-1 EP-1"))))))</f>
        <v/>
      </c>
      <c r="I149" s="127" t="str">
        <f t="shared" ref="I149:I158" si="43">IF(J149="","",IF(J149="aggregate delivery to ground storage","CP-10 EU-1",IF(J149="sand delivery to ground storage","CP-10 EU-2",IF(J149="aggregate transfer to conveyor","CP-10 EU-3",IF(J149="sand transfer to conveyor","CP-10 EU-4",IF(J149="aggregate transfer to elevated storage","CP-10 EU-5",IF(J149="sand transfer to elevated storage","CP-10 EU-6",IF(J149="weigh hopper loading","CP-10 EU-7",IF(J149="central mix loading","CP-10 EU-8",IF(J149="truck mix loading","CP-10 EU-9",IF(J149="cement delivery to silo","CP-10 EU-10",IF(J149="cement supplement delivery to silo","CP-10 EU-11"))))))))))))</f>
        <v/>
      </c>
      <c r="J149" s="82"/>
      <c r="K149" s="61"/>
      <c r="L149" s="156"/>
      <c r="M149" s="219" t="str">
        <f>IF(J149="truck mix loading",IF($F$152="yes",L149*0.05/2000,L149/2000),"")</f>
        <v/>
      </c>
      <c r="N149" s="219" t="str">
        <f>IF(J149="central mix loading",IF($F$152="yes",L149*0.05/2000,L149/2000),"")</f>
        <v/>
      </c>
    </row>
    <row r="150" spans="2:14" ht="14.25" customHeight="1" x14ac:dyDescent="0.2">
      <c r="B150" s="79" t="str">
        <f>IF('Concrete Plant (CP-10)'!$D$4&gt;8,"County:","")</f>
        <v/>
      </c>
      <c r="C150" s="339"/>
      <c r="D150" s="342"/>
      <c r="E150" s="343"/>
      <c r="F150" s="175"/>
      <c r="G150" s="45"/>
      <c r="H150" s="127" t="str">
        <f t="shared" ref="H150:H158" si="44">IF(J150="cement delivery to silo","CP-1 EP-2",IF(J150="cement supplement delivery to silo","CP-1 EP-3",IF(J150="weigh hopper loading","CP-1 EP-4",IF(J150="truck mix loading","CP-1 EP-5",IF(J150="central mix loading","CP-1 EP-6",IF(J150="","","CP-1 EP-1"))))))</f>
        <v/>
      </c>
      <c r="I150" s="127" t="str">
        <f t="shared" si="43"/>
        <v/>
      </c>
      <c r="J150" s="82"/>
      <c r="K150" s="61"/>
      <c r="L150" s="156"/>
      <c r="M150" s="219" t="str">
        <f t="shared" ref="M150:M158" si="45">IF(J150="truck mix loading",IF($F$152="yes",L150*0.05/2000,L150/2000),"")</f>
        <v/>
      </c>
      <c r="N150" s="219" t="str">
        <f t="shared" ref="N150:N158" si="46">IF(J150="central mix loading",IF($F$152="yes",L150*0.05/2000,L150/2000),"")</f>
        <v/>
      </c>
    </row>
    <row r="151" spans="2:14" ht="14.25" customHeight="1" x14ac:dyDescent="0.2">
      <c r="B151" s="79" t="str">
        <f>IF('Concrete Plant (CP-10)'!$D$4&gt;8,"Batching Period (Dates):","")</f>
        <v/>
      </c>
      <c r="C151" s="352"/>
      <c r="D151" s="358"/>
      <c r="E151" s="359"/>
      <c r="F151" s="175"/>
      <c r="G151" s="45"/>
      <c r="H151" s="127" t="str">
        <f t="shared" si="44"/>
        <v/>
      </c>
      <c r="I151" s="127" t="str">
        <f t="shared" si="43"/>
        <v/>
      </c>
      <c r="J151" s="82"/>
      <c r="K151" s="61"/>
      <c r="L151" s="156"/>
      <c r="M151" s="219" t="str">
        <f t="shared" si="45"/>
        <v/>
      </c>
      <c r="N151" s="219" t="str">
        <f t="shared" si="46"/>
        <v/>
      </c>
    </row>
    <row r="152" spans="2:14" ht="14.25" customHeight="1" x14ac:dyDescent="0.2">
      <c r="B152" s="51" t="str">
        <f>IF(OR(COUNTIF(J149:J158,"Truck Mix Loading")&gt;0,(COUNTIF(J149:J158,"Central Mix Loading")&gt;0)),"Is the Central/Truck Mix Loading process controlled by a baghouse?","")</f>
        <v/>
      </c>
      <c r="C152" s="51"/>
      <c r="D152" s="51"/>
      <c r="E152" s="51"/>
      <c r="F152" s="221"/>
      <c r="G152" s="45"/>
      <c r="H152" s="127" t="str">
        <f t="shared" si="44"/>
        <v/>
      </c>
      <c r="I152" s="127" t="str">
        <f t="shared" si="43"/>
        <v/>
      </c>
      <c r="J152" s="82"/>
      <c r="K152" s="61"/>
      <c r="L152" s="156"/>
      <c r="M152" s="219" t="str">
        <f t="shared" si="45"/>
        <v/>
      </c>
      <c r="N152" s="219" t="str">
        <f t="shared" si="46"/>
        <v/>
      </c>
    </row>
    <row r="153" spans="2:14" ht="14.25" customHeight="1" x14ac:dyDescent="0.2">
      <c r="F153" s="177"/>
      <c r="G153" s="45"/>
      <c r="H153" s="127" t="str">
        <f t="shared" si="44"/>
        <v/>
      </c>
      <c r="I153" s="127" t="str">
        <f t="shared" si="43"/>
        <v/>
      </c>
      <c r="J153" s="82"/>
      <c r="K153" s="61"/>
      <c r="L153" s="156"/>
      <c r="M153" s="219" t="str">
        <f t="shared" si="45"/>
        <v/>
      </c>
      <c r="N153" s="219" t="str">
        <f t="shared" si="46"/>
        <v/>
      </c>
    </row>
    <row r="154" spans="2:14" ht="27.75" customHeight="1" x14ac:dyDescent="0.2">
      <c r="B154" s="312" t="str">
        <f>IF(AND(B156="",B157="",B158="",B159="",B160=""),"","Process (complete stack information if applicable):")</f>
        <v/>
      </c>
      <c r="C154" s="312" t="str">
        <f>IF(AND(B156="",B157="",B158="",B159="",B160=""),"","Stack Height (ft):")</f>
        <v/>
      </c>
      <c r="D154" s="312" t="str">
        <f>IF(AND(B156="",B157="",B158="",B159="",B160=""),"","Stack Diameter (inches):")</f>
        <v/>
      </c>
      <c r="E154" s="312" t="str">
        <f>IF(AND(B156="",B157="",B158="",B159="",B160=""),"","Flow Rate (acfm):")</f>
        <v/>
      </c>
      <c r="F154" s="312" t="str">
        <f>IF(AND(B156="",B157="",B158="",B159="",B160=""),"","Temp (Deg F):")</f>
        <v/>
      </c>
      <c r="G154" s="45"/>
      <c r="H154" s="127" t="str">
        <f t="shared" si="44"/>
        <v/>
      </c>
      <c r="I154" s="127" t="str">
        <f t="shared" si="43"/>
        <v/>
      </c>
      <c r="J154" s="82"/>
      <c r="K154" s="61"/>
      <c r="L154" s="156"/>
      <c r="M154" s="219" t="str">
        <f t="shared" si="45"/>
        <v/>
      </c>
      <c r="N154" s="219" t="str">
        <f t="shared" si="46"/>
        <v/>
      </c>
    </row>
    <row r="155" spans="2:14" ht="14.25" customHeight="1" x14ac:dyDescent="0.2">
      <c r="B155" s="312"/>
      <c r="C155" s="312"/>
      <c r="D155" s="312"/>
      <c r="E155" s="312"/>
      <c r="F155" s="312"/>
      <c r="G155" s="45"/>
      <c r="H155" s="127" t="str">
        <f t="shared" si="44"/>
        <v/>
      </c>
      <c r="I155" s="127" t="str">
        <f t="shared" si="43"/>
        <v/>
      </c>
      <c r="J155" s="82"/>
      <c r="K155" s="61"/>
      <c r="L155" s="156"/>
      <c r="M155" s="219" t="str">
        <f t="shared" si="45"/>
        <v/>
      </c>
      <c r="N155" s="219" t="str">
        <f t="shared" si="46"/>
        <v/>
      </c>
    </row>
    <row r="156" spans="2:14" ht="14.25" customHeight="1" x14ac:dyDescent="0.2">
      <c r="B156" s="45" t="str">
        <f>IF(COUNTIF(J149:J158,"Cement Delivery to Silo")&gt;0,"EP-2 Cement Silo Stack:","")</f>
        <v/>
      </c>
      <c r="C156" s="221"/>
      <c r="D156" s="221"/>
      <c r="E156" s="221"/>
      <c r="F156" s="221"/>
      <c r="G156" s="45"/>
      <c r="H156" s="127" t="str">
        <f t="shared" si="44"/>
        <v/>
      </c>
      <c r="I156" s="127" t="str">
        <f t="shared" si="43"/>
        <v/>
      </c>
      <c r="J156" s="82"/>
      <c r="K156" s="61"/>
      <c r="L156" s="156"/>
      <c r="M156" s="219" t="str">
        <f t="shared" si="45"/>
        <v/>
      </c>
      <c r="N156" s="219" t="str">
        <f t="shared" si="46"/>
        <v/>
      </c>
    </row>
    <row r="157" spans="2:14" ht="14.25" customHeight="1" x14ac:dyDescent="0.2">
      <c r="B157" s="45" t="str">
        <f>IF(COUNTIF(J149:J158,"Cement Supplement Delivery to Silo")&gt;0,"EP-3 Cement Supplement Silo Stack:","")</f>
        <v/>
      </c>
      <c r="C157" s="221"/>
      <c r="D157" s="221"/>
      <c r="E157" s="221"/>
      <c r="F157" s="221"/>
      <c r="G157" s="45"/>
      <c r="H157" s="127" t="str">
        <f t="shared" si="44"/>
        <v/>
      </c>
      <c r="I157" s="127" t="str">
        <f t="shared" si="43"/>
        <v/>
      </c>
      <c r="J157" s="82"/>
      <c r="K157" s="61"/>
      <c r="L157" s="156"/>
      <c r="M157" s="219" t="str">
        <f t="shared" si="45"/>
        <v/>
      </c>
      <c r="N157" s="219" t="str">
        <f t="shared" si="46"/>
        <v/>
      </c>
    </row>
    <row r="158" spans="2:14" ht="14.25" customHeight="1" x14ac:dyDescent="0.2">
      <c r="B158" s="45" t="str">
        <f>IF(COUNTIF(J149:J158,"Weigh Hopper Loading")&gt;0,"EP-4 Weigh Hopper Loading Stack:","")</f>
        <v/>
      </c>
      <c r="C158" s="221"/>
      <c r="D158" s="221"/>
      <c r="E158" s="221"/>
      <c r="F158" s="221"/>
      <c r="H158" s="127" t="str">
        <f t="shared" si="44"/>
        <v/>
      </c>
      <c r="I158" s="127" t="str">
        <f t="shared" si="43"/>
        <v/>
      </c>
      <c r="J158" s="82"/>
      <c r="K158" s="61"/>
      <c r="L158" s="156"/>
      <c r="M158" s="219" t="str">
        <f t="shared" si="45"/>
        <v/>
      </c>
      <c r="N158" s="219" t="str">
        <f t="shared" si="46"/>
        <v/>
      </c>
    </row>
    <row r="159" spans="2:14" ht="14.25" customHeight="1" x14ac:dyDescent="0.2">
      <c r="B159" s="45" t="str">
        <f>IF(COUNTIF(J149:J158,"Truck Mix Loading")&gt;0,"EP-5 Truck Mix Loading Stack:","")</f>
        <v/>
      </c>
      <c r="C159" s="221"/>
      <c r="D159" s="221"/>
      <c r="E159" s="221"/>
      <c r="F159" s="221"/>
      <c r="G159" s="76"/>
      <c r="H159" s="45"/>
      <c r="I159" s="45"/>
    </row>
    <row r="160" spans="2:14" ht="14.25" customHeight="1" x14ac:dyDescent="0.2">
      <c r="B160" s="45" t="str">
        <f>IF(COUNTIF(J149:J158,"Central Mix Loading")&gt;0,"EP-6 Central Mix Loading Stack:","")</f>
        <v/>
      </c>
      <c r="C160" s="221"/>
      <c r="D160" s="221"/>
      <c r="E160" s="221"/>
      <c r="F160" s="221"/>
      <c r="H160" s="74" t="str">
        <f>IF('Concrete Plant (CP-10)'!$D$4&gt;8,"Stock Pile Area","")</f>
        <v/>
      </c>
      <c r="I160" s="74"/>
      <c r="J160" s="75"/>
    </row>
    <row r="161" spans="2:14" ht="14.25" customHeight="1" x14ac:dyDescent="0.2">
      <c r="B161" s="73"/>
      <c r="C161" s="163"/>
      <c r="D161" s="163"/>
      <c r="E161" s="163"/>
      <c r="F161" s="176"/>
      <c r="I161" s="51" t="str">
        <f>IF('Concrete Plant (CP-10)'!$D$4&gt;8,"Emission Unit #","")</f>
        <v/>
      </c>
      <c r="J161" s="80" t="str">
        <f>IF('Concrete Plant (CP-10)'!$D$4&gt;8,"Maximum Storage Area (acres)","")</f>
        <v/>
      </c>
      <c r="K161" s="81" t="str">
        <f>IF('Concrete Plant (CP-10)'!$D$4&gt;8,"Actual Storage Area (acres)","")</f>
        <v/>
      </c>
      <c r="L161" s="80" t="str">
        <f>IF('Concrete Plant (CP-10)'!$D$4&gt;8,"Actual Days in Existence (days)","")</f>
        <v/>
      </c>
      <c r="M161" s="146"/>
      <c r="N161" s="146"/>
    </row>
    <row r="162" spans="2:14" ht="14.25" customHeight="1" x14ac:dyDescent="0.2">
      <c r="B162" s="73"/>
      <c r="C162" s="163"/>
      <c r="D162" s="163"/>
      <c r="E162" s="163"/>
      <c r="F162" s="176"/>
      <c r="I162" s="65"/>
      <c r="J162" s="144"/>
      <c r="K162" s="66"/>
      <c r="L162" s="144"/>
      <c r="M162" s="146"/>
      <c r="N162" s="146"/>
    </row>
    <row r="163" spans="2:14" ht="14.25" customHeight="1" x14ac:dyDescent="0.2">
      <c r="B163" s="73"/>
      <c r="C163" s="163"/>
      <c r="D163" s="163"/>
      <c r="E163" s="163"/>
      <c r="F163" s="176"/>
    </row>
    <row r="164" spans="2:14" ht="28.5" customHeight="1" x14ac:dyDescent="0.25">
      <c r="B164" s="78" t="str">
        <f>IF('Concrete Plant (CP-10)'!$D$4&gt;9,"Batch Plant","")</f>
        <v/>
      </c>
      <c r="C164" s="71" t="str">
        <f>IF('Concrete Plant (CP-10)'!$D$4&gt;9,"Site 10","")</f>
        <v/>
      </c>
      <c r="D164" s="71"/>
      <c r="E164" s="71"/>
      <c r="F164" s="71"/>
      <c r="H164" s="310" t="str">
        <f>IF('Concrete Plant (CP-10)'!$D$4&gt;9,"Emission Point #","")</f>
        <v/>
      </c>
      <c r="I164" s="310" t="str">
        <f>IF('Concrete Plant (CP-10)'!$D$4&gt;9,"Emission     Unit #","")</f>
        <v/>
      </c>
      <c r="J164" s="310" t="str">
        <f>IF('Concrete Plant (CP-10)'!$D$4&gt;9,"Processes","")</f>
        <v/>
      </c>
      <c r="K164" s="311" t="str">
        <f>IF('Concrete Plant (CP-10)'!$D$4&gt;9,"Combined Maximum Hourly Design Rate for all Like Processes (cubic yard/hr)","")</f>
        <v/>
      </c>
      <c r="L164" s="310" t="str">
        <f>IF('Concrete Plant (CP-10)'!$D$4&gt;9,('Facility Information'!G5&amp;" Annual Throughput (cubic yards)"),"")</f>
        <v/>
      </c>
      <c r="M164" s="217"/>
      <c r="N164" s="217"/>
    </row>
    <row r="165" spans="2:14" ht="14.25" customHeight="1" x14ac:dyDescent="0.2">
      <c r="B165" s="79" t="str">
        <f>IF('Concrete Plant (CP-10)'!$D$4&gt;9,"Site Name:","")</f>
        <v/>
      </c>
      <c r="C165" s="349"/>
      <c r="D165" s="356"/>
      <c r="E165" s="357"/>
      <c r="F165" s="175"/>
      <c r="H165" s="127" t="str">
        <f>IF(J165="cement delivery to silo","CP-1 EP-2",IF(J165="cement supplement delivery to silo","CP-1 EP-3",IF(J165="weigh hopper loading","CP-1 EP-4",IF(J165="truck mix loading","CP-1 EP-5",IF(J165="central mix loading","CP-1 EP-6",IF(J165="","","CP-1 EP-1"))))))</f>
        <v/>
      </c>
      <c r="I165" s="127" t="str">
        <f t="shared" ref="I165:I174" si="47">IF(J165="","",IF(J165="aggregate delivery to ground storage","CP-10 EU-1",IF(J165="sand delivery to ground storage","CP-10 EU-2",IF(J165="aggregate transfer to conveyor","CP-10 EU-3",IF(J165="sand transfer to conveyor","CP-10 EU-4",IF(J165="aggregate transfer to elevated storage","CP-10 EU-5",IF(J165="sand transfer to elevated storage","CP-10 EU-6",IF(J165="weigh hopper loading","CP-10 EU-7",IF(J165="central mix loading","CP-10 EU-8",IF(J165="truck mix loading","CP-10 EU-9",IF(J165="cement delivery to silo","CP-10 EU-10",IF(J165="cement supplement delivery to silo","CP-10 EU-11"))))))))))))</f>
        <v/>
      </c>
      <c r="J165" s="82"/>
      <c r="K165" s="61"/>
      <c r="L165" s="156"/>
      <c r="M165" s="219" t="str">
        <f>IF(J165="truck mix loading",IF($F$168="yes",L165*0.05/2000,L165/2000),"")</f>
        <v/>
      </c>
      <c r="N165" s="219" t="str">
        <f>IF(J165="central mix loading",IF($F$168="yes",L165*0.05/2000,L165/2000),"")</f>
        <v/>
      </c>
    </row>
    <row r="166" spans="2:14" ht="14.25" customHeight="1" x14ac:dyDescent="0.2">
      <c r="B166" s="79" t="str">
        <f>IF('Concrete Plant (CP-10)'!$D$4&gt;9,"County:","")</f>
        <v/>
      </c>
      <c r="C166" s="339"/>
      <c r="D166" s="342"/>
      <c r="E166" s="343"/>
      <c r="F166" s="175"/>
      <c r="H166" s="127" t="str">
        <f t="shared" ref="H166:H174" si="48">IF(J166="cement delivery to silo","CP-1 EP-2",IF(J166="cement supplement delivery to silo","CP-1 EP-3",IF(J166="weigh hopper loading","CP-1 EP-4",IF(J166="truck mix loading","CP-1 EP-5",IF(J166="central mix loading","CP-1 EP-6",IF(J166="","","CP-1 EP-1"))))))</f>
        <v/>
      </c>
      <c r="I166" s="127" t="str">
        <f t="shared" si="47"/>
        <v/>
      </c>
      <c r="J166" s="82"/>
      <c r="K166" s="61"/>
      <c r="L166" s="156"/>
      <c r="M166" s="219" t="str">
        <f t="shared" ref="M166:M174" si="49">IF(J166="truck mix loading",IF($F$168="yes",L166*0.05/2000,L166/2000),"")</f>
        <v/>
      </c>
      <c r="N166" s="219" t="str">
        <f t="shared" ref="N166:N174" si="50">IF(J166="central mix loading",IF($F$168="yes",L166*0.05/2000,L166/2000),"")</f>
        <v/>
      </c>
    </row>
    <row r="167" spans="2:14" ht="14.25" customHeight="1" x14ac:dyDescent="0.2">
      <c r="B167" s="79" t="str">
        <f>IF('Concrete Plant (CP-10)'!$D$4&gt;9,"Batching Period (Dates):","")</f>
        <v/>
      </c>
      <c r="C167" s="352"/>
      <c r="D167" s="358"/>
      <c r="E167" s="359"/>
      <c r="F167" s="175"/>
      <c r="H167" s="127" t="str">
        <f t="shared" si="48"/>
        <v/>
      </c>
      <c r="I167" s="127" t="str">
        <f t="shared" si="47"/>
        <v/>
      </c>
      <c r="J167" s="82"/>
      <c r="K167" s="61"/>
      <c r="L167" s="156"/>
      <c r="M167" s="219" t="str">
        <f t="shared" si="49"/>
        <v/>
      </c>
      <c r="N167" s="219" t="str">
        <f t="shared" si="50"/>
        <v/>
      </c>
    </row>
    <row r="168" spans="2:14" ht="14.25" customHeight="1" x14ac:dyDescent="0.2">
      <c r="B168" s="51" t="str">
        <f>IF(OR(COUNTIF(J165:J174,"Truck Mix Loading")&gt;0,(COUNTIF(J165:J174,"Central Mix Loading")&gt;0)),"Is the Central/Truck Mix Loading process controlled by a baghouse?","")</f>
        <v/>
      </c>
      <c r="C168" s="51"/>
      <c r="D168" s="51"/>
      <c r="E168" s="51"/>
      <c r="F168" s="221"/>
      <c r="H168" s="127" t="str">
        <f t="shared" si="48"/>
        <v/>
      </c>
      <c r="I168" s="127" t="str">
        <f t="shared" si="47"/>
        <v/>
      </c>
      <c r="J168" s="82"/>
      <c r="K168" s="61"/>
      <c r="L168" s="156"/>
      <c r="M168" s="219" t="str">
        <f t="shared" si="49"/>
        <v/>
      </c>
      <c r="N168" s="219" t="str">
        <f t="shared" si="50"/>
        <v/>
      </c>
    </row>
    <row r="169" spans="2:14" ht="14.25" customHeight="1" x14ac:dyDescent="0.2">
      <c r="F169" s="177"/>
      <c r="H169" s="127" t="str">
        <f t="shared" si="48"/>
        <v/>
      </c>
      <c r="I169" s="127" t="str">
        <f t="shared" si="47"/>
        <v/>
      </c>
      <c r="J169" s="82"/>
      <c r="K169" s="61"/>
      <c r="L169" s="156"/>
      <c r="M169" s="219" t="str">
        <f t="shared" si="49"/>
        <v/>
      </c>
      <c r="N169" s="219" t="str">
        <f t="shared" si="50"/>
        <v/>
      </c>
    </row>
    <row r="170" spans="2:14" ht="30" customHeight="1" x14ac:dyDescent="0.2">
      <c r="B170" s="312" t="str">
        <f>IF(AND(B172="",B173="",B174="",B175="",B176=""),"","Process (complete stack information if applicable):")</f>
        <v/>
      </c>
      <c r="C170" s="312" t="str">
        <f>IF(AND(B172="",B173="",B174="",B175="",B176=""),"","Stack Height (ft):")</f>
        <v/>
      </c>
      <c r="D170" s="312" t="str">
        <f>IF(AND(B172="",B173="",B174="",B175="",B176=""),"","Stack Diameter (inches):")</f>
        <v/>
      </c>
      <c r="E170" s="312" t="str">
        <f>IF(AND(B172="",B173="",B174="",B175="",B176=""),"","Flow Rate (acfm):")</f>
        <v/>
      </c>
      <c r="F170" s="312" t="str">
        <f>IF(AND(B172="",B173="",B174="",B175="",B176=""),"","Temp (Deg F):")</f>
        <v/>
      </c>
      <c r="H170" s="127" t="str">
        <f t="shared" si="48"/>
        <v/>
      </c>
      <c r="I170" s="127" t="str">
        <f t="shared" si="47"/>
        <v/>
      </c>
      <c r="J170" s="82"/>
      <c r="K170" s="61"/>
      <c r="L170" s="156"/>
      <c r="M170" s="219" t="str">
        <f t="shared" si="49"/>
        <v/>
      </c>
      <c r="N170" s="219" t="str">
        <f t="shared" si="50"/>
        <v/>
      </c>
    </row>
    <row r="171" spans="2:14" ht="14.25" customHeight="1" x14ac:dyDescent="0.2">
      <c r="B171" s="312"/>
      <c r="C171" s="312"/>
      <c r="D171" s="312"/>
      <c r="E171" s="312"/>
      <c r="F171" s="312"/>
      <c r="H171" s="127" t="str">
        <f t="shared" si="48"/>
        <v/>
      </c>
      <c r="I171" s="127" t="str">
        <f t="shared" si="47"/>
        <v/>
      </c>
      <c r="J171" s="82"/>
      <c r="K171" s="61"/>
      <c r="L171" s="156"/>
      <c r="M171" s="219" t="str">
        <f t="shared" si="49"/>
        <v/>
      </c>
      <c r="N171" s="219" t="str">
        <f t="shared" si="50"/>
        <v/>
      </c>
    </row>
    <row r="172" spans="2:14" ht="14.25" customHeight="1" x14ac:dyDescent="0.2">
      <c r="B172" s="45" t="str">
        <f>IF(COUNTIF(J165:J174,"Cement Delivery to Silo")&gt;0,"EP-2 Cement Silo Stack:","")</f>
        <v/>
      </c>
      <c r="C172" s="221"/>
      <c r="D172" s="221"/>
      <c r="E172" s="221"/>
      <c r="F172" s="221"/>
      <c r="H172" s="127" t="str">
        <f t="shared" si="48"/>
        <v/>
      </c>
      <c r="I172" s="127" t="str">
        <f t="shared" si="47"/>
        <v/>
      </c>
      <c r="J172" s="82"/>
      <c r="K172" s="61"/>
      <c r="L172" s="156"/>
      <c r="M172" s="219" t="str">
        <f t="shared" si="49"/>
        <v/>
      </c>
      <c r="N172" s="219" t="str">
        <f t="shared" si="50"/>
        <v/>
      </c>
    </row>
    <row r="173" spans="2:14" ht="14.25" customHeight="1" x14ac:dyDescent="0.2">
      <c r="B173" s="45" t="str">
        <f>IF(COUNTIF(J165:J174,"Cement Supplement Delivery to Silo")&gt;0,"EP-3 Cement Supplement Silo Stack:","")</f>
        <v/>
      </c>
      <c r="C173" s="221"/>
      <c r="D173" s="221"/>
      <c r="E173" s="221"/>
      <c r="F173" s="221"/>
      <c r="H173" s="127" t="str">
        <f t="shared" si="48"/>
        <v/>
      </c>
      <c r="I173" s="127" t="str">
        <f t="shared" si="47"/>
        <v/>
      </c>
      <c r="J173" s="82"/>
      <c r="K173" s="61"/>
      <c r="L173" s="156"/>
      <c r="M173" s="219" t="str">
        <f t="shared" si="49"/>
        <v/>
      </c>
      <c r="N173" s="219" t="str">
        <f t="shared" si="50"/>
        <v/>
      </c>
    </row>
    <row r="174" spans="2:14" ht="14.25" customHeight="1" x14ac:dyDescent="0.2">
      <c r="B174" s="45" t="str">
        <f>IF(COUNTIF(J165:J174,"Weigh Hopper Loading")&gt;0,"EP-4 Weigh Hopper Loading Stack:","")</f>
        <v/>
      </c>
      <c r="C174" s="221"/>
      <c r="D174" s="221"/>
      <c r="E174" s="221"/>
      <c r="F174" s="221"/>
      <c r="H174" s="127" t="str">
        <f t="shared" si="48"/>
        <v/>
      </c>
      <c r="I174" s="127" t="str">
        <f t="shared" si="47"/>
        <v/>
      </c>
      <c r="J174" s="82"/>
      <c r="K174" s="61"/>
      <c r="L174" s="156"/>
      <c r="M174" s="219" t="str">
        <f t="shared" si="49"/>
        <v/>
      </c>
      <c r="N174" s="219" t="str">
        <f t="shared" si="50"/>
        <v/>
      </c>
    </row>
    <row r="175" spans="2:14" ht="14.25" customHeight="1" x14ac:dyDescent="0.2">
      <c r="B175" s="45" t="str">
        <f>IF(COUNTIF(J165:J174,"Truck Mix Loading")&gt;0,"EP-5 Truck Mix Loading Stack:","")</f>
        <v/>
      </c>
      <c r="C175" s="221"/>
      <c r="D175" s="221"/>
      <c r="E175" s="221"/>
      <c r="F175" s="221"/>
      <c r="H175" s="45"/>
      <c r="I175" s="45"/>
    </row>
    <row r="176" spans="2:14" ht="14.25" customHeight="1" x14ac:dyDescent="0.2">
      <c r="B176" s="45" t="str">
        <f>IF(COUNTIF(J165:J174,"Central Mix Loading")&gt;0,"EP-6 Central Mix Loading Stack:","")</f>
        <v/>
      </c>
      <c r="C176" s="221"/>
      <c r="D176" s="221"/>
      <c r="E176" s="221"/>
      <c r="F176" s="221"/>
      <c r="H176" s="74" t="str">
        <f>IF('Concrete Plant (CP-10)'!$D$4&gt;9,"Stock Pile Area","")</f>
        <v/>
      </c>
      <c r="I176" s="74"/>
      <c r="J176" s="74"/>
      <c r="K176" s="76"/>
      <c r="L176" s="76"/>
      <c r="M176" s="71"/>
      <c r="N176" s="71"/>
    </row>
    <row r="177" spans="2:14" ht="14.25" customHeight="1" x14ac:dyDescent="0.2">
      <c r="B177" s="73"/>
      <c r="C177" s="163"/>
      <c r="D177" s="163"/>
      <c r="E177" s="163"/>
      <c r="F177" s="163"/>
      <c r="I177" s="51" t="str">
        <f>IF('Concrete Plant (CP-10)'!$D$4&gt;9,"Emission Unit #","")</f>
        <v/>
      </c>
      <c r="J177" s="140" t="str">
        <f>IF('Concrete Plant (CP-10)'!$D$4&gt;9,"Maximum Storage Area (acres)","")</f>
        <v/>
      </c>
      <c r="K177" s="81" t="str">
        <f>IF('Concrete Plant (CP-10)'!$D$4&gt;9,"Actual Storage Area (acres)","")</f>
        <v/>
      </c>
      <c r="L177" s="140" t="str">
        <f>IF('Concrete Plant (CP-10)'!$D$4&gt;9,"Actual Days in Existence (days)","")</f>
        <v/>
      </c>
      <c r="M177" s="146"/>
      <c r="N177" s="146"/>
    </row>
    <row r="178" spans="2:14" ht="14.25" customHeight="1" x14ac:dyDescent="0.2">
      <c r="B178" s="73"/>
      <c r="C178" s="163"/>
      <c r="D178" s="163"/>
      <c r="E178" s="163"/>
      <c r="F178" s="163"/>
      <c r="I178" s="65"/>
      <c r="J178" s="144"/>
      <c r="K178" s="66"/>
      <c r="L178" s="144"/>
      <c r="M178" s="146"/>
      <c r="N178" s="146"/>
    </row>
    <row r="179" spans="2:14" ht="14.25" customHeight="1" x14ac:dyDescent="0.2">
      <c r="B179" s="73"/>
      <c r="C179" s="163"/>
      <c r="D179" s="163"/>
      <c r="E179" s="163"/>
      <c r="F179" s="163"/>
    </row>
    <row r="180" spans="2:14" ht="14.25" customHeight="1" x14ac:dyDescent="0.2">
      <c r="M180" s="220">
        <f>SUM(M165:M174,M149:M158,M132:M141,M116:M125,M100:M109,M84:M93,M68:M77,M52:M61,M37:M46,M21:M30)</f>
        <v>0</v>
      </c>
      <c r="N180" s="220">
        <f>SUM(N165:N174,N149:N158,N132:N141,N116:N125,N100:N109,N84:N93,N68:N77,N52:N61,N37:N46,N21:N30)</f>
        <v>0</v>
      </c>
    </row>
  </sheetData>
  <sheetProtection algorithmName="SHA-512" hashValue="gVXjp51tXZg3B39XOOSqWn8t0NyBCrojuthyVl4mF7rjHFmUURtVw1HjoMwpzI01oYpg/xppIqQma9PPQ0cB+g==" saltValue="SXaZ1t3jgUHDZ1vYATBu1A==" spinCount="100000" sheet="1" objects="1" scenarios="1"/>
  <conditionalFormatting sqref="I48:L48 B37:B39 B52:B54 B68:B70 B84:B86 B100:B102 B116:B118 B132:B134 B149:B151 B165:B167">
    <cfRule type="notContainsBlanks" dxfId="289" priority="246" stopIfTrue="1">
      <formula>LEN(TRIM(B37))&gt;0</formula>
    </cfRule>
  </conditionalFormatting>
  <conditionalFormatting sqref="B36:F36">
    <cfRule type="notContainsBlanks" dxfId="288" priority="247" stopIfTrue="1">
      <formula>LEN(TRIM(B36))&gt;0</formula>
    </cfRule>
  </conditionalFormatting>
  <conditionalFormatting sqref="I64:L64">
    <cfRule type="notContainsBlanks" dxfId="287" priority="245" stopIfTrue="1">
      <formula>LEN(TRIM(I64))&gt;0</formula>
    </cfRule>
  </conditionalFormatting>
  <conditionalFormatting sqref="B51:F51">
    <cfRule type="notContainsBlanks" dxfId="286" priority="248" stopIfTrue="1">
      <formula>LEN(TRIM(B51))&gt;0</formula>
    </cfRule>
  </conditionalFormatting>
  <conditionalFormatting sqref="I80:L80">
    <cfRule type="notContainsBlanks" dxfId="285" priority="242" stopIfTrue="1">
      <formula>LEN(TRIM(I80))&gt;0</formula>
    </cfRule>
  </conditionalFormatting>
  <conditionalFormatting sqref="B67:F67">
    <cfRule type="notContainsBlanks" dxfId="284" priority="243" stopIfTrue="1">
      <formula>LEN(TRIM(B67))&gt;0</formula>
    </cfRule>
  </conditionalFormatting>
  <conditionalFormatting sqref="I96:L96">
    <cfRule type="notContainsBlanks" dxfId="283" priority="240" stopIfTrue="1">
      <formula>LEN(TRIM(I96))&gt;0</formula>
    </cfRule>
  </conditionalFormatting>
  <conditionalFormatting sqref="B83:F83">
    <cfRule type="notContainsBlanks" dxfId="282" priority="241" stopIfTrue="1">
      <formula>LEN(TRIM(B83))&gt;0</formula>
    </cfRule>
  </conditionalFormatting>
  <conditionalFormatting sqref="I112:L112">
    <cfRule type="notContainsBlanks" dxfId="281" priority="238" stopIfTrue="1">
      <formula>LEN(TRIM(I112))&gt;0</formula>
    </cfRule>
  </conditionalFormatting>
  <conditionalFormatting sqref="B99:F99">
    <cfRule type="notContainsBlanks" dxfId="280" priority="239" stopIfTrue="1">
      <formula>LEN(TRIM(B99))&gt;0</formula>
    </cfRule>
  </conditionalFormatting>
  <conditionalFormatting sqref="I128:L128">
    <cfRule type="notContainsBlanks" dxfId="279" priority="236" stopIfTrue="1">
      <formula>LEN(TRIM(I128))&gt;0</formula>
    </cfRule>
  </conditionalFormatting>
  <conditionalFormatting sqref="B115:F115">
    <cfRule type="notContainsBlanks" dxfId="278" priority="237" stopIfTrue="1">
      <formula>LEN(TRIM(B115))&gt;0</formula>
    </cfRule>
  </conditionalFormatting>
  <conditionalFormatting sqref="I144:L144">
    <cfRule type="notContainsBlanks" dxfId="277" priority="234" stopIfTrue="1">
      <formula>LEN(TRIM(I144))&gt;0</formula>
    </cfRule>
  </conditionalFormatting>
  <conditionalFormatting sqref="B131:F131">
    <cfRule type="notContainsBlanks" dxfId="276" priority="235" stopIfTrue="1">
      <formula>LEN(TRIM(B131))&gt;0</formula>
    </cfRule>
  </conditionalFormatting>
  <conditionalFormatting sqref="I161:L161">
    <cfRule type="notContainsBlanks" dxfId="275" priority="232" stopIfTrue="1">
      <formula>LEN(TRIM(I161))&gt;0</formula>
    </cfRule>
  </conditionalFormatting>
  <conditionalFormatting sqref="B148:F148">
    <cfRule type="notContainsBlanks" dxfId="274" priority="233" stopIfTrue="1">
      <formula>LEN(TRIM(B148))&gt;0</formula>
    </cfRule>
  </conditionalFormatting>
  <conditionalFormatting sqref="I177:L177">
    <cfRule type="notContainsBlanks" dxfId="273" priority="231" stopIfTrue="1">
      <formula>LEN(TRIM(I177))&gt;0</formula>
    </cfRule>
  </conditionalFormatting>
  <conditionalFormatting sqref="I64:L65 H51 H62:L63 K53:L59 J53:J61 G49:G59 J51:L52 B51:F54">
    <cfRule type="cellIs" dxfId="272" priority="244" stopIfTrue="1" operator="equal">
      <formula>$B$51="batch plant"</formula>
    </cfRule>
  </conditionalFormatting>
  <conditionalFormatting sqref="I80:L81 H67 H78:L79 K69:L75 J69:J77 G62:G73 J67:L68 B67:F70">
    <cfRule type="cellIs" dxfId="271" priority="249" stopIfTrue="1" operator="equal">
      <formula>$B$67="batch plant"</formula>
    </cfRule>
  </conditionalFormatting>
  <conditionalFormatting sqref="I96:L97 H83 H94:L95 K85:L91 J85:J93 G76:G87 J83:L84 B83:F86">
    <cfRule type="cellIs" dxfId="270" priority="250" stopIfTrue="1" operator="equal">
      <formula>$B$83="batch plant"</formula>
    </cfRule>
  </conditionalFormatting>
  <conditionalFormatting sqref="I112:L113 H110:L111 G90:G98 G99:H99 H98 K101:L107 J101:J109 G100:G101 B104:F104 J99:L100 B99:F102">
    <cfRule type="cellIs" dxfId="269" priority="251" stopIfTrue="1" operator="equal">
      <formula>$B$99="batch plant"</formula>
    </cfRule>
  </conditionalFormatting>
  <conditionalFormatting sqref="I128:L129 H115 G104:G115 H126:L127 K117:L123 J117:J125 J115:L116 B115:F118">
    <cfRule type="cellIs" dxfId="268" priority="252" stopIfTrue="1" operator="equal">
      <formula>$B$115="batch plant"</formula>
    </cfRule>
  </conditionalFormatting>
  <conditionalFormatting sqref="I144:L145 H131 G118:G130 H142:L143 K133:L139 J133:J141 J131:L132 B131:F134">
    <cfRule type="cellIs" dxfId="267" priority="253" stopIfTrue="1" operator="equal">
      <formula>$B$131="batch plant"</formula>
    </cfRule>
  </conditionalFormatting>
  <conditionalFormatting sqref="I161:L162 H148 G132:G145 H159:L160 K150:L156 J150:J158 J148:L149 B148:F151">
    <cfRule type="cellIs" dxfId="266" priority="254" stopIfTrue="1" operator="equal">
      <formula>$B$148="batch plant"</formula>
    </cfRule>
  </conditionalFormatting>
  <conditionalFormatting sqref="I36">
    <cfRule type="cellIs" dxfId="265" priority="230" stopIfTrue="1" operator="equal">
      <formula>$B$36="crusher plant"</formula>
    </cfRule>
  </conditionalFormatting>
  <conditionalFormatting sqref="I51">
    <cfRule type="cellIs" dxfId="264" priority="229" stopIfTrue="1" operator="equal">
      <formula>$B$36="crusher plant"</formula>
    </cfRule>
  </conditionalFormatting>
  <conditionalFormatting sqref="I67">
    <cfRule type="cellIs" dxfId="263" priority="228" stopIfTrue="1" operator="equal">
      <formula>$B$36="crusher plant"</formula>
    </cfRule>
  </conditionalFormatting>
  <conditionalFormatting sqref="I83">
    <cfRule type="cellIs" dxfId="262" priority="227" stopIfTrue="1" operator="equal">
      <formula>$B$36="crusher plant"</formula>
    </cfRule>
  </conditionalFormatting>
  <conditionalFormatting sqref="I99">
    <cfRule type="cellIs" dxfId="261" priority="226" stopIfTrue="1" operator="equal">
      <formula>$B$36="crusher plant"</formula>
    </cfRule>
  </conditionalFormatting>
  <conditionalFormatting sqref="I115">
    <cfRule type="cellIs" dxfId="260" priority="225" stopIfTrue="1" operator="equal">
      <formula>$B$36="crusher plant"</formula>
    </cfRule>
  </conditionalFormatting>
  <conditionalFormatting sqref="I131">
    <cfRule type="cellIs" dxfId="259" priority="224" stopIfTrue="1" operator="equal">
      <formula>$B$36="crusher plant"</formula>
    </cfRule>
  </conditionalFormatting>
  <conditionalFormatting sqref="I148">
    <cfRule type="cellIs" dxfId="258" priority="223" stopIfTrue="1" operator="equal">
      <formula>$B$36="crusher plant"</formula>
    </cfRule>
  </conditionalFormatting>
  <conditionalFormatting sqref="I164">
    <cfRule type="cellIs" dxfId="257" priority="222" stopIfTrue="1" operator="equal">
      <formula>$B$36="crusher plant"</formula>
    </cfRule>
  </conditionalFormatting>
  <conditionalFormatting sqref="I21:I30">
    <cfRule type="notContainsBlanks" dxfId="256" priority="221">
      <formula>LEN(TRIM(I21))&gt;0</formula>
    </cfRule>
  </conditionalFormatting>
  <conditionalFormatting sqref="I37:I46">
    <cfRule type="expression" dxfId="255" priority="220">
      <formula>$B$36="batch plant"</formula>
    </cfRule>
  </conditionalFormatting>
  <conditionalFormatting sqref="I52:I61">
    <cfRule type="expression" dxfId="254" priority="219">
      <formula>$B$51="batch plant"</formula>
    </cfRule>
  </conditionalFormatting>
  <conditionalFormatting sqref="I68:I77">
    <cfRule type="expression" dxfId="253" priority="218">
      <formula>$B$67="batch plant"</formula>
    </cfRule>
  </conditionalFormatting>
  <conditionalFormatting sqref="I84:I93">
    <cfRule type="expression" dxfId="252" priority="217">
      <formula>$B$83="batch plant"</formula>
    </cfRule>
  </conditionalFormatting>
  <conditionalFormatting sqref="I100:I109">
    <cfRule type="expression" dxfId="251" priority="216">
      <formula>$B$99="batch plant"</formula>
    </cfRule>
  </conditionalFormatting>
  <conditionalFormatting sqref="I116:I125">
    <cfRule type="expression" dxfId="250" priority="215">
      <formula>$B$115="batch plant"</formula>
    </cfRule>
  </conditionalFormatting>
  <conditionalFormatting sqref="I132:I141">
    <cfRule type="expression" dxfId="249" priority="214">
      <formula>$B$131="batch plant"</formula>
    </cfRule>
  </conditionalFormatting>
  <conditionalFormatting sqref="I149:I158">
    <cfRule type="expression" dxfId="248" priority="213">
      <formula>$B$148="batch plant"</formula>
    </cfRule>
  </conditionalFormatting>
  <conditionalFormatting sqref="I165:I174">
    <cfRule type="expression" dxfId="247" priority="212">
      <formula>$B$164="batch plant"</formula>
    </cfRule>
  </conditionalFormatting>
  <conditionalFormatting sqref="J37:L46 I49:L49 C37:F39">
    <cfRule type="cellIs" dxfId="246" priority="204" operator="equal">
      <formula>$B$36="batch plant"</formula>
    </cfRule>
  </conditionalFormatting>
  <conditionalFormatting sqref="K60:L61">
    <cfRule type="cellIs" dxfId="245" priority="203" stopIfTrue="1" operator="equal">
      <formula>$B$51="batch plant"</formula>
    </cfRule>
  </conditionalFormatting>
  <conditionalFormatting sqref="K76:L77">
    <cfRule type="cellIs" dxfId="244" priority="197" stopIfTrue="1" operator="equal">
      <formula>$B$67="batch plant"</formula>
    </cfRule>
  </conditionalFormatting>
  <conditionalFormatting sqref="K92:L93">
    <cfRule type="cellIs" dxfId="243" priority="191" stopIfTrue="1" operator="equal">
      <formula>$B$83="batch plant"</formula>
    </cfRule>
  </conditionalFormatting>
  <conditionalFormatting sqref="K108:L109">
    <cfRule type="cellIs" dxfId="242" priority="185" stopIfTrue="1" operator="equal">
      <formula>$B$99="batch plant"</formula>
    </cfRule>
  </conditionalFormatting>
  <conditionalFormatting sqref="K124:L125">
    <cfRule type="cellIs" dxfId="241" priority="180" stopIfTrue="1" operator="equal">
      <formula>$B$115="batch plant"</formula>
    </cfRule>
  </conditionalFormatting>
  <conditionalFormatting sqref="K140:L141">
    <cfRule type="cellIs" dxfId="240" priority="172" stopIfTrue="1" operator="equal">
      <formula>$B$131="batch plant"</formula>
    </cfRule>
  </conditionalFormatting>
  <conditionalFormatting sqref="K157:L158">
    <cfRule type="cellIs" dxfId="239" priority="166" stopIfTrue="1" operator="equal">
      <formula>$B$148="batch plant"</formula>
    </cfRule>
  </conditionalFormatting>
  <conditionalFormatting sqref="B164:F164">
    <cfRule type="notContainsBlanks" dxfId="238" priority="256" stopIfTrue="1">
      <formula>LEN(TRIM(B164))&gt;0</formula>
    </cfRule>
  </conditionalFormatting>
  <conditionalFormatting sqref="B164:F164">
    <cfRule type="cellIs" dxfId="237" priority="155" stopIfTrue="1" operator="equal">
      <formula>$B$148="batch plant"</formula>
    </cfRule>
  </conditionalFormatting>
  <conditionalFormatting sqref="J165:L165 J174:L174 K166:L172 J166:J173 F165:F167">
    <cfRule type="cellIs" dxfId="236" priority="154" stopIfTrue="1" operator="equal">
      <formula>$B$164="batch plant"</formula>
    </cfRule>
  </conditionalFormatting>
  <conditionalFormatting sqref="K173:L173">
    <cfRule type="cellIs" dxfId="235" priority="153" stopIfTrue="1" operator="equal">
      <formula>$B$164="batch plant"</formula>
    </cfRule>
  </conditionalFormatting>
  <conditionalFormatting sqref="I178:L178">
    <cfRule type="cellIs" dxfId="234" priority="152" stopIfTrue="1" operator="equal">
      <formula>$B$164="batch plant"</formula>
    </cfRule>
  </conditionalFormatting>
  <conditionalFormatting sqref="C165:E167">
    <cfRule type="cellIs" dxfId="233" priority="151" stopIfTrue="1" operator="equal">
      <formula>$B$164="batch plant"</formula>
    </cfRule>
  </conditionalFormatting>
  <conditionalFormatting sqref="H21:H30">
    <cfRule type="notContainsBlanks" dxfId="232" priority="149">
      <formula>LEN(TRIM(H21))&gt;0</formula>
    </cfRule>
  </conditionalFormatting>
  <conditionalFormatting sqref="H37:H46">
    <cfRule type="expression" dxfId="231" priority="148">
      <formula>$B$36="batch plant"</formula>
    </cfRule>
  </conditionalFormatting>
  <conditionalFormatting sqref="H52:H61">
    <cfRule type="expression" dxfId="230" priority="147">
      <formula>$B$51="batch plant"</formula>
    </cfRule>
  </conditionalFormatting>
  <conditionalFormatting sqref="H68:H77">
    <cfRule type="expression" dxfId="229" priority="146">
      <formula>$B$67="batch plant"</formula>
    </cfRule>
  </conditionalFormatting>
  <conditionalFormatting sqref="H84:H93">
    <cfRule type="expression" dxfId="228" priority="145">
      <formula>$B$83="batch plant"</formula>
    </cfRule>
  </conditionalFormatting>
  <conditionalFormatting sqref="H100:H109">
    <cfRule type="expression" dxfId="227" priority="144">
      <formula>$B$99="batch plant"</formula>
    </cfRule>
  </conditionalFormatting>
  <conditionalFormatting sqref="H116:H125">
    <cfRule type="expression" dxfId="226" priority="143">
      <formula>$B$115="batch plant"</formula>
    </cfRule>
  </conditionalFormatting>
  <conditionalFormatting sqref="H132:H141">
    <cfRule type="expression" dxfId="225" priority="142">
      <formula>$B$131="batch plant"</formula>
    </cfRule>
  </conditionalFormatting>
  <conditionalFormatting sqref="H149:H158">
    <cfRule type="expression" dxfId="224" priority="141">
      <formula>$B$148="batch plant"</formula>
    </cfRule>
  </conditionalFormatting>
  <conditionalFormatting sqref="H165:H174">
    <cfRule type="expression" dxfId="223" priority="140">
      <formula>$B$164="batch plant"</formula>
    </cfRule>
  </conditionalFormatting>
  <conditionalFormatting sqref="B29:B32">
    <cfRule type="notContainsBlanks" dxfId="222" priority="136">
      <formula>LEN(TRIM(B29))&gt;0</formula>
    </cfRule>
  </conditionalFormatting>
  <conditionalFormatting sqref="B28">
    <cfRule type="notContainsBlanks" dxfId="221" priority="135">
      <formula>LEN(TRIM(B28))&gt;0</formula>
    </cfRule>
  </conditionalFormatting>
  <conditionalFormatting sqref="C28:F28">
    <cfRule type="cellIs" dxfId="220" priority="134" operator="equal">
      <formula>$B$28=""</formula>
    </cfRule>
  </conditionalFormatting>
  <conditionalFormatting sqref="C29:F29">
    <cfRule type="cellIs" dxfId="219" priority="133" operator="equal">
      <formula>$B$29=""</formula>
    </cfRule>
  </conditionalFormatting>
  <conditionalFormatting sqref="C31:F31">
    <cfRule type="cellIs" dxfId="218" priority="132" operator="equal">
      <formula>$B$31=""</formula>
    </cfRule>
  </conditionalFormatting>
  <conditionalFormatting sqref="C26:F27">
    <cfRule type="notContainsBlanks" dxfId="217" priority="137">
      <formula>LEN(TRIM(C26))&gt;0</formula>
    </cfRule>
  </conditionalFormatting>
  <conditionalFormatting sqref="B26:B27">
    <cfRule type="notContainsBlanks" dxfId="216" priority="131">
      <formula>LEN(TRIM(B26))&gt;0</formula>
    </cfRule>
  </conditionalFormatting>
  <conditionalFormatting sqref="C28:F32">
    <cfRule type="notContainsBlanks" dxfId="215" priority="130">
      <formula>LEN(TRIM(C28))&gt;0</formula>
    </cfRule>
  </conditionalFormatting>
  <conditionalFormatting sqref="C32:F32">
    <cfRule type="cellIs" dxfId="214" priority="138" operator="equal">
      <formula>$B$32=""</formula>
    </cfRule>
  </conditionalFormatting>
  <conditionalFormatting sqref="C30:F30">
    <cfRule type="cellIs" dxfId="213" priority="139" operator="equal">
      <formula>$B$30=""</formula>
    </cfRule>
  </conditionalFormatting>
  <conditionalFormatting sqref="B42:F43">
    <cfRule type="notContainsBlanks" dxfId="212" priority="129">
      <formula>LEN(TRIM(B42))&gt;0</formula>
    </cfRule>
  </conditionalFormatting>
  <conditionalFormatting sqref="C44:F44">
    <cfRule type="cellIs" dxfId="211" priority="128" operator="equal">
      <formula>$B$44=""</formula>
    </cfRule>
  </conditionalFormatting>
  <conditionalFormatting sqref="C45:F45">
    <cfRule type="cellIs" dxfId="210" priority="127" operator="equal">
      <formula>$B$45=""</formula>
    </cfRule>
  </conditionalFormatting>
  <conditionalFormatting sqref="C46:F46">
    <cfRule type="cellIs" dxfId="209" priority="126" operator="equal">
      <formula>$B$46=""</formula>
    </cfRule>
  </conditionalFormatting>
  <conditionalFormatting sqref="C47:F47">
    <cfRule type="cellIs" dxfId="208" priority="125" operator="equal">
      <formula>$B$47=""</formula>
    </cfRule>
  </conditionalFormatting>
  <conditionalFormatting sqref="C48:F48">
    <cfRule type="cellIs" dxfId="207" priority="124" operator="equal">
      <formula>$B$48=""</formula>
    </cfRule>
  </conditionalFormatting>
  <conditionalFormatting sqref="C44:F48">
    <cfRule type="notContainsBlanks" dxfId="206" priority="123">
      <formula>LEN(TRIM(C44))&gt;0</formula>
    </cfRule>
  </conditionalFormatting>
  <conditionalFormatting sqref="B45:B48">
    <cfRule type="notContainsBlanks" dxfId="205" priority="122">
      <formula>LEN(TRIM(B45))&gt;0</formula>
    </cfRule>
  </conditionalFormatting>
  <conditionalFormatting sqref="B44">
    <cfRule type="notContainsBlanks" dxfId="204" priority="121">
      <formula>LEN(TRIM(B44))&gt;0</formula>
    </cfRule>
  </conditionalFormatting>
  <conditionalFormatting sqref="B60:B63">
    <cfRule type="notContainsBlanks" dxfId="203" priority="112">
      <formula>LEN(TRIM(B60))&gt;0</formula>
    </cfRule>
  </conditionalFormatting>
  <conditionalFormatting sqref="B59">
    <cfRule type="notContainsBlanks" dxfId="202" priority="111">
      <formula>LEN(TRIM(B59))&gt;0</formula>
    </cfRule>
  </conditionalFormatting>
  <conditionalFormatting sqref="C57:F58">
    <cfRule type="notContainsBlanks" dxfId="201" priority="120">
      <formula>LEN(TRIM(C57))&gt;0</formula>
    </cfRule>
  </conditionalFormatting>
  <conditionalFormatting sqref="B57:B58">
    <cfRule type="notContainsBlanks" dxfId="200" priority="119">
      <formula>LEN(TRIM(B57))&gt;0</formula>
    </cfRule>
  </conditionalFormatting>
  <conditionalFormatting sqref="C59:F59">
    <cfRule type="cellIs" dxfId="199" priority="118" operator="equal">
      <formula>$B$59=""</formula>
    </cfRule>
  </conditionalFormatting>
  <conditionalFormatting sqref="C60:F60">
    <cfRule type="cellIs" dxfId="198" priority="117" operator="equal">
      <formula>$B$60=""</formula>
    </cfRule>
  </conditionalFormatting>
  <conditionalFormatting sqref="C61:F61">
    <cfRule type="cellIs" dxfId="197" priority="116" operator="equal">
      <formula>$B$61=""</formula>
    </cfRule>
  </conditionalFormatting>
  <conditionalFormatting sqref="C62:F62">
    <cfRule type="cellIs" dxfId="196" priority="115" operator="equal">
      <formula>$B$62=""</formula>
    </cfRule>
  </conditionalFormatting>
  <conditionalFormatting sqref="C63:F63">
    <cfRule type="cellIs" dxfId="195" priority="114" operator="equal">
      <formula>$B$63=""</formula>
    </cfRule>
  </conditionalFormatting>
  <conditionalFormatting sqref="C59:F63">
    <cfRule type="notContainsBlanks" dxfId="194" priority="113">
      <formula>LEN(TRIM(C59))&gt;0</formula>
    </cfRule>
  </conditionalFormatting>
  <conditionalFormatting sqref="C73:F74">
    <cfRule type="notContainsBlanks" dxfId="193" priority="110">
      <formula>LEN(TRIM(C73))&gt;0</formula>
    </cfRule>
  </conditionalFormatting>
  <conditionalFormatting sqref="B73:B74">
    <cfRule type="notContainsBlanks" dxfId="192" priority="109">
      <formula>LEN(TRIM(B73))&gt;0</formula>
    </cfRule>
  </conditionalFormatting>
  <conditionalFormatting sqref="B76:B79">
    <cfRule type="notContainsBlanks" dxfId="191" priority="102">
      <formula>LEN(TRIM(B76))&gt;0</formula>
    </cfRule>
  </conditionalFormatting>
  <conditionalFormatting sqref="B75">
    <cfRule type="notContainsBlanks" dxfId="190" priority="101">
      <formula>LEN(TRIM(B75))&gt;0</formula>
    </cfRule>
  </conditionalFormatting>
  <conditionalFormatting sqref="C75:F75">
    <cfRule type="cellIs" dxfId="189" priority="108" operator="equal">
      <formula>$B$75=""</formula>
    </cfRule>
  </conditionalFormatting>
  <conditionalFormatting sqref="C76:F76">
    <cfRule type="cellIs" dxfId="188" priority="107" operator="equal">
      <formula>$B$76=""</formula>
    </cfRule>
  </conditionalFormatting>
  <conditionalFormatting sqref="C77:F77">
    <cfRule type="cellIs" dxfId="187" priority="106" operator="equal">
      <formula>$B$77=""</formula>
    </cfRule>
  </conditionalFormatting>
  <conditionalFormatting sqref="C78:F78">
    <cfRule type="cellIs" dxfId="186" priority="105" operator="equal">
      <formula>$B$78=""</formula>
    </cfRule>
  </conditionalFormatting>
  <conditionalFormatting sqref="C79:F79">
    <cfRule type="cellIs" dxfId="185" priority="104" operator="equal">
      <formula>$B$79=""</formula>
    </cfRule>
  </conditionalFormatting>
  <conditionalFormatting sqref="C75:F79">
    <cfRule type="notContainsBlanks" dxfId="184" priority="103">
      <formula>LEN(TRIM(C75))&gt;0</formula>
    </cfRule>
  </conditionalFormatting>
  <conditionalFormatting sqref="C89:F90">
    <cfRule type="notContainsBlanks" dxfId="183" priority="100">
      <formula>LEN(TRIM(C89))&gt;0</formula>
    </cfRule>
  </conditionalFormatting>
  <conditionalFormatting sqref="B91">
    <cfRule type="notContainsBlanks" dxfId="182" priority="91">
      <formula>LEN(TRIM(B91))&gt;0</formula>
    </cfRule>
  </conditionalFormatting>
  <conditionalFormatting sqref="B89:B90">
    <cfRule type="notContainsBlanks" dxfId="181" priority="99">
      <formula>LEN(TRIM(B89))&gt;0</formula>
    </cfRule>
  </conditionalFormatting>
  <conditionalFormatting sqref="C91:F91">
    <cfRule type="cellIs" dxfId="180" priority="98" operator="equal">
      <formula>$B$91=""</formula>
    </cfRule>
  </conditionalFormatting>
  <conditionalFormatting sqref="C92:F92">
    <cfRule type="cellIs" dxfId="179" priority="97" operator="equal">
      <formula>$B$92=""</formula>
    </cfRule>
  </conditionalFormatting>
  <conditionalFormatting sqref="C93:F93">
    <cfRule type="cellIs" dxfId="178" priority="96" operator="equal">
      <formula>$B$93=""</formula>
    </cfRule>
  </conditionalFormatting>
  <conditionalFormatting sqref="C94:F94">
    <cfRule type="cellIs" dxfId="177" priority="95" operator="equal">
      <formula>$B$94=""</formula>
    </cfRule>
  </conditionalFormatting>
  <conditionalFormatting sqref="C95:F95">
    <cfRule type="cellIs" dxfId="176" priority="94" operator="equal">
      <formula>$B$95=""</formula>
    </cfRule>
  </conditionalFormatting>
  <conditionalFormatting sqref="C91:F95">
    <cfRule type="notContainsBlanks" dxfId="175" priority="93">
      <formula>LEN(TRIM(C91))&gt;0</formula>
    </cfRule>
  </conditionalFormatting>
  <conditionalFormatting sqref="B92:B95">
    <cfRule type="notContainsBlanks" dxfId="174" priority="92">
      <formula>LEN(TRIM(B92))&gt;0</formula>
    </cfRule>
  </conditionalFormatting>
  <conditionalFormatting sqref="C105:F106">
    <cfRule type="notContainsBlanks" dxfId="173" priority="90">
      <formula>LEN(TRIM(C105))&gt;0</formula>
    </cfRule>
  </conditionalFormatting>
  <conditionalFormatting sqref="B105:B106">
    <cfRule type="notContainsBlanks" dxfId="172" priority="89">
      <formula>LEN(TRIM(B105))&gt;0</formula>
    </cfRule>
  </conditionalFormatting>
  <conditionalFormatting sqref="B108:B111">
    <cfRule type="notContainsBlanks" dxfId="171" priority="82">
      <formula>LEN(TRIM(B108))&gt;0</formula>
    </cfRule>
  </conditionalFormatting>
  <conditionalFormatting sqref="B107">
    <cfRule type="notContainsBlanks" dxfId="170" priority="81">
      <formula>LEN(TRIM(B107))&gt;0</formula>
    </cfRule>
  </conditionalFormatting>
  <conditionalFormatting sqref="C107:F107">
    <cfRule type="cellIs" dxfId="169" priority="88" operator="equal">
      <formula>$B$107=""</formula>
    </cfRule>
  </conditionalFormatting>
  <conditionalFormatting sqref="C108:F108">
    <cfRule type="cellIs" dxfId="168" priority="87" operator="equal">
      <formula>$B$108=""</formula>
    </cfRule>
  </conditionalFormatting>
  <conditionalFormatting sqref="C109:F109">
    <cfRule type="cellIs" dxfId="167" priority="86" operator="equal">
      <formula>$B$109=""</formula>
    </cfRule>
  </conditionalFormatting>
  <conditionalFormatting sqref="C110:F110">
    <cfRule type="cellIs" dxfId="166" priority="85" operator="equal">
      <formula>$B$110=""</formula>
    </cfRule>
  </conditionalFormatting>
  <conditionalFormatting sqref="C111:F111">
    <cfRule type="cellIs" dxfId="165" priority="84" operator="equal">
      <formula>$B$111=""</formula>
    </cfRule>
  </conditionalFormatting>
  <conditionalFormatting sqref="C107:F111">
    <cfRule type="notContainsBlanks" dxfId="164" priority="83">
      <formula>LEN(TRIM(C107))&gt;0</formula>
    </cfRule>
  </conditionalFormatting>
  <conditionalFormatting sqref="C121:F122">
    <cfRule type="notContainsBlanks" dxfId="163" priority="80">
      <formula>LEN(TRIM(C121))&gt;0</formula>
    </cfRule>
  </conditionalFormatting>
  <conditionalFormatting sqref="B124:B127">
    <cfRule type="notContainsBlanks" dxfId="162" priority="72">
      <formula>LEN(TRIM(B124))&gt;0</formula>
    </cfRule>
  </conditionalFormatting>
  <conditionalFormatting sqref="B123">
    <cfRule type="notContainsBlanks" dxfId="161" priority="71">
      <formula>LEN(TRIM(B123))&gt;0</formula>
    </cfRule>
  </conditionalFormatting>
  <conditionalFormatting sqref="B121:B122">
    <cfRule type="notContainsBlanks" dxfId="160" priority="79">
      <formula>LEN(TRIM(B121))&gt;0</formula>
    </cfRule>
  </conditionalFormatting>
  <conditionalFormatting sqref="C123:F123">
    <cfRule type="cellIs" dxfId="159" priority="78" operator="equal">
      <formula>$B$123=""</formula>
    </cfRule>
  </conditionalFormatting>
  <conditionalFormatting sqref="C124:F124">
    <cfRule type="cellIs" dxfId="158" priority="77" operator="equal">
      <formula>$B$124=""</formula>
    </cfRule>
  </conditionalFormatting>
  <conditionalFormatting sqref="C125:F125">
    <cfRule type="cellIs" dxfId="157" priority="76" operator="equal">
      <formula>$B$125=""</formula>
    </cfRule>
  </conditionalFormatting>
  <conditionalFormatting sqref="C126:F126">
    <cfRule type="cellIs" dxfId="156" priority="75" operator="equal">
      <formula>$B$126=""</formula>
    </cfRule>
  </conditionalFormatting>
  <conditionalFormatting sqref="C127:F127">
    <cfRule type="cellIs" dxfId="155" priority="74" operator="equal">
      <formula>$B$127=""</formula>
    </cfRule>
  </conditionalFormatting>
  <conditionalFormatting sqref="C123:F127">
    <cfRule type="notContainsBlanks" dxfId="154" priority="73">
      <formula>LEN(TRIM(C123))&gt;0</formula>
    </cfRule>
  </conditionalFormatting>
  <conditionalFormatting sqref="C137:F138">
    <cfRule type="notContainsBlanks" dxfId="153" priority="70">
      <formula>LEN(TRIM(C137))&gt;0</formula>
    </cfRule>
  </conditionalFormatting>
  <conditionalFormatting sqref="B139">
    <cfRule type="notContainsBlanks" dxfId="152" priority="61">
      <formula>LEN(TRIM(B139))&gt;0</formula>
    </cfRule>
  </conditionalFormatting>
  <conditionalFormatting sqref="B137:B138">
    <cfRule type="notContainsBlanks" dxfId="151" priority="69">
      <formula>LEN(TRIM(B137))&gt;0</formula>
    </cfRule>
  </conditionalFormatting>
  <conditionalFormatting sqref="C139:F139">
    <cfRule type="cellIs" dxfId="150" priority="68" operator="equal">
      <formula>$B$139=""</formula>
    </cfRule>
  </conditionalFormatting>
  <conditionalFormatting sqref="C140:F140">
    <cfRule type="cellIs" dxfId="149" priority="67" operator="equal">
      <formula>$B$140=""</formula>
    </cfRule>
  </conditionalFormatting>
  <conditionalFormatting sqref="C141:F141">
    <cfRule type="cellIs" dxfId="148" priority="66" operator="equal">
      <formula>$B$141=""</formula>
    </cfRule>
  </conditionalFormatting>
  <conditionalFormatting sqref="C142:F142">
    <cfRule type="cellIs" dxfId="147" priority="65" operator="equal">
      <formula>$B$142=""</formula>
    </cfRule>
  </conditionalFormatting>
  <conditionalFormatting sqref="C143:F143">
    <cfRule type="cellIs" dxfId="146" priority="64" operator="equal">
      <formula>$B$143=""</formula>
    </cfRule>
  </conditionalFormatting>
  <conditionalFormatting sqref="C139:F143">
    <cfRule type="notContainsBlanks" dxfId="145" priority="63">
      <formula>LEN(TRIM(C139))&gt;0</formula>
    </cfRule>
  </conditionalFormatting>
  <conditionalFormatting sqref="B140:B143">
    <cfRule type="notContainsBlanks" dxfId="144" priority="62">
      <formula>LEN(TRIM(B140))&gt;0</formula>
    </cfRule>
  </conditionalFormatting>
  <conditionalFormatting sqref="C154:F155">
    <cfRule type="notContainsBlanks" dxfId="143" priority="60">
      <formula>LEN(TRIM(C154))&gt;0</formula>
    </cfRule>
  </conditionalFormatting>
  <conditionalFormatting sqref="B154:B155">
    <cfRule type="notContainsBlanks" dxfId="142" priority="59">
      <formula>LEN(TRIM(B154))&gt;0</formula>
    </cfRule>
  </conditionalFormatting>
  <conditionalFormatting sqref="C156:F156">
    <cfRule type="cellIs" dxfId="141" priority="58" operator="equal">
      <formula>$B$156=""</formula>
    </cfRule>
  </conditionalFormatting>
  <conditionalFormatting sqref="C157:F157">
    <cfRule type="cellIs" dxfId="140" priority="57" operator="equal">
      <formula>$B$157=""</formula>
    </cfRule>
  </conditionalFormatting>
  <conditionalFormatting sqref="C158:F158">
    <cfRule type="cellIs" dxfId="139" priority="56" operator="equal">
      <formula>$B$158=""</formula>
    </cfRule>
  </conditionalFormatting>
  <conditionalFormatting sqref="C159:F159">
    <cfRule type="cellIs" dxfId="138" priority="55" operator="equal">
      <formula>$B$159=""</formula>
    </cfRule>
  </conditionalFormatting>
  <conditionalFormatting sqref="C160:F160">
    <cfRule type="cellIs" dxfId="137" priority="54" operator="equal">
      <formula>$B$160=""</formula>
    </cfRule>
  </conditionalFormatting>
  <conditionalFormatting sqref="C156:F160">
    <cfRule type="notContainsBlanks" dxfId="136" priority="53">
      <formula>LEN(TRIM(C156))&gt;0</formula>
    </cfRule>
  </conditionalFormatting>
  <conditionalFormatting sqref="B157:B160">
    <cfRule type="notContainsBlanks" dxfId="135" priority="52">
      <formula>LEN(TRIM(B157))&gt;0</formula>
    </cfRule>
  </conditionalFormatting>
  <conditionalFormatting sqref="B156">
    <cfRule type="notContainsBlanks" dxfId="134" priority="51">
      <formula>LEN(TRIM(B156))&gt;0</formula>
    </cfRule>
  </conditionalFormatting>
  <conditionalFormatting sqref="B173:B176">
    <cfRule type="notContainsBlanks" dxfId="133" priority="42">
      <formula>LEN(TRIM(B173))&gt;0</formula>
    </cfRule>
  </conditionalFormatting>
  <conditionalFormatting sqref="C170:F171">
    <cfRule type="notContainsBlanks" dxfId="132" priority="50">
      <formula>LEN(TRIM(C170))&gt;0</formula>
    </cfRule>
  </conditionalFormatting>
  <conditionalFormatting sqref="B170:B171">
    <cfRule type="notContainsBlanks" dxfId="131" priority="49">
      <formula>LEN(TRIM(B170))&gt;0</formula>
    </cfRule>
  </conditionalFormatting>
  <conditionalFormatting sqref="C172:F172">
    <cfRule type="cellIs" dxfId="130" priority="48" operator="equal">
      <formula>$B$172=""</formula>
    </cfRule>
  </conditionalFormatting>
  <conditionalFormatting sqref="C173:F173">
    <cfRule type="cellIs" dxfId="129" priority="47" operator="equal">
      <formula>$B$173=""</formula>
    </cfRule>
  </conditionalFormatting>
  <conditionalFormatting sqref="C174:F174">
    <cfRule type="cellIs" dxfId="128" priority="46" operator="equal">
      <formula>$B$174=""</formula>
    </cfRule>
  </conditionalFormatting>
  <conditionalFormatting sqref="C175:F175">
    <cfRule type="cellIs" dxfId="127" priority="45" operator="equal">
      <formula>$B$175=""</formula>
    </cfRule>
  </conditionalFormatting>
  <conditionalFormatting sqref="C176:F176">
    <cfRule type="cellIs" dxfId="126" priority="44" operator="equal">
      <formula>$B$176=""</formula>
    </cfRule>
  </conditionalFormatting>
  <conditionalFormatting sqref="C172:F176">
    <cfRule type="notContainsBlanks" dxfId="125" priority="43">
      <formula>LEN(TRIM(C172))&gt;0</formula>
    </cfRule>
  </conditionalFormatting>
  <conditionalFormatting sqref="B172">
    <cfRule type="notContainsBlanks" dxfId="124" priority="41">
      <formula>LEN(TRIM(B172))&gt;0</formula>
    </cfRule>
  </conditionalFormatting>
  <conditionalFormatting sqref="F24">
    <cfRule type="cellIs" dxfId="123" priority="38" operator="equal">
      <formula>$B$24=""</formula>
    </cfRule>
  </conditionalFormatting>
  <conditionalFormatting sqref="B24:E24">
    <cfRule type="notContainsBlanks" dxfId="122" priority="257">
      <formula>LEN(TRIM(B24))&gt;0</formula>
    </cfRule>
  </conditionalFormatting>
  <conditionalFormatting sqref="F40">
    <cfRule type="cellIs" dxfId="121" priority="35" operator="equal">
      <formula>$B$40=""</formula>
    </cfRule>
  </conditionalFormatting>
  <conditionalFormatting sqref="B40:E40">
    <cfRule type="notContainsBlanks" dxfId="120" priority="37">
      <formula>LEN(TRIM(B40))&gt;0</formula>
    </cfRule>
  </conditionalFormatting>
  <conditionalFormatting sqref="F55">
    <cfRule type="cellIs" dxfId="119" priority="32" operator="equal">
      <formula>$B$55=""</formula>
    </cfRule>
  </conditionalFormatting>
  <conditionalFormatting sqref="B55:E55">
    <cfRule type="notContainsBlanks" dxfId="118" priority="34">
      <formula>LEN(TRIM(B55))&gt;0</formula>
    </cfRule>
  </conditionalFormatting>
  <conditionalFormatting sqref="F71">
    <cfRule type="cellIs" dxfId="117" priority="29" operator="equal">
      <formula>$B$71=""</formula>
    </cfRule>
  </conditionalFormatting>
  <conditionalFormatting sqref="B71:E71">
    <cfRule type="notContainsBlanks" dxfId="116" priority="31">
      <formula>LEN(TRIM(B71))&gt;0</formula>
    </cfRule>
  </conditionalFormatting>
  <conditionalFormatting sqref="F87">
    <cfRule type="cellIs" dxfId="115" priority="26" operator="equal">
      <formula>$B$87=""</formula>
    </cfRule>
  </conditionalFormatting>
  <conditionalFormatting sqref="B87:E87">
    <cfRule type="notContainsBlanks" dxfId="114" priority="28">
      <formula>LEN(TRIM(B87))&gt;0</formula>
    </cfRule>
  </conditionalFormatting>
  <conditionalFormatting sqref="F103">
    <cfRule type="cellIs" dxfId="113" priority="23" operator="equal">
      <formula>$B$103=""</formula>
    </cfRule>
  </conditionalFormatting>
  <conditionalFormatting sqref="B103:E103">
    <cfRule type="notContainsBlanks" dxfId="112" priority="25">
      <formula>LEN(TRIM(B103))&gt;0</formula>
    </cfRule>
  </conditionalFormatting>
  <conditionalFormatting sqref="F119">
    <cfRule type="cellIs" dxfId="111" priority="20" operator="equal">
      <formula>$B$119=""</formula>
    </cfRule>
  </conditionalFormatting>
  <conditionalFormatting sqref="B119:E119">
    <cfRule type="notContainsBlanks" dxfId="110" priority="22">
      <formula>LEN(TRIM(B119))&gt;0</formula>
    </cfRule>
  </conditionalFormatting>
  <conditionalFormatting sqref="F135">
    <cfRule type="cellIs" dxfId="109" priority="17" operator="equal">
      <formula>$B$135=""</formula>
    </cfRule>
  </conditionalFormatting>
  <conditionalFormatting sqref="B135:E135">
    <cfRule type="notContainsBlanks" dxfId="108" priority="19">
      <formula>LEN(TRIM(B135))&gt;0</formula>
    </cfRule>
  </conditionalFormatting>
  <conditionalFormatting sqref="F152">
    <cfRule type="cellIs" dxfId="107" priority="14" operator="equal">
      <formula>$B$152=""</formula>
    </cfRule>
  </conditionalFormatting>
  <conditionalFormatting sqref="B152:E152">
    <cfRule type="notContainsBlanks" dxfId="106" priority="16">
      <formula>LEN(TRIM(B152))&gt;0</formula>
    </cfRule>
  </conditionalFormatting>
  <conditionalFormatting sqref="F168">
    <cfRule type="cellIs" dxfId="105" priority="11" operator="equal">
      <formula>$B$168=""</formula>
    </cfRule>
  </conditionalFormatting>
  <conditionalFormatting sqref="B168:E168">
    <cfRule type="notContainsBlanks" dxfId="104" priority="13">
      <formula>LEN(TRIM(B168))&gt;0</formula>
    </cfRule>
  </conditionalFormatting>
  <dataValidations count="3">
    <dataValidation type="list" allowBlank="1" showInputMessage="1" showErrorMessage="1" sqref="J21:J30 J37:J46 J52:J61 J68:J77 J84:J93 J100:J109 J116:J125 J132:J141 J149:J158 J165:J174" xr:uid="{00000000-0002-0000-0A00-000000000000}">
      <formula1>ConcreteProcesses</formula1>
    </dataValidation>
    <dataValidation type="whole" allowBlank="1" showInputMessage="1" showErrorMessage="1" sqref="C18:F18 D4 G5" xr:uid="{00000000-0002-0000-0A00-000001000000}">
      <formula1>0</formula1>
      <formula2>100</formula2>
    </dataValidation>
    <dataValidation type="list" allowBlank="1" showInputMessage="1" showErrorMessage="1" sqref="F24 F40 F55 F71 F87 F103 F119 F135 F152 F168" xr:uid="{00000000-0002-0000-0A00-000002000000}">
      <formula1>CHECK</formula1>
    </dataValidation>
  </dataValidations>
  <pageMargins left="0.25" right="0.25" top="0.75" bottom="0.75" header="0.3" footer="0.3"/>
  <pageSetup scale="65" fitToHeight="0" orientation="landscape" verticalDpi="300" r:id="rId1"/>
  <legacyDrawing r:id="rId2"/>
  <extLst>
    <ext xmlns:x14="http://schemas.microsoft.com/office/spreadsheetml/2009/9/main" uri="{78C0D931-6437-407d-A8EE-F0AAD7539E65}">
      <x14:conditionalFormattings>
        <x14:conditionalFormatting xmlns:xm="http://schemas.microsoft.com/office/excel/2006/main">
          <x14:cfRule type="notContainsBlanks" priority="39" id="{EFE923E2-49C5-469A-BAC4-155769392BC1}">
            <xm:f>LEN(TRIM('Concrete Plant (CP-3)'!F41))&gt;0</xm:f>
            <x14:dxf>
              <fill>
                <patternFill>
                  <bgColor rgb="FFFFFF99"/>
                </patternFill>
              </fill>
              <border>
                <left style="thin">
                  <color auto="1"/>
                </left>
                <right style="thin">
                  <color auto="1"/>
                </right>
                <top style="thin">
                  <color auto="1"/>
                </top>
                <bottom style="thin">
                  <color auto="1"/>
                </bottom>
                <vertical/>
                <horizontal/>
              </border>
            </x14:dxf>
          </x14:cfRule>
          <xm:sqref>F168 F152 F40</xm:sqref>
        </x14:conditionalFormatting>
        <x14:conditionalFormatting xmlns:xm="http://schemas.microsoft.com/office/excel/2006/main">
          <x14:cfRule type="notContainsBlanks" priority="4" stopIfTrue="1" id="{2A9F78D7-D153-4E5F-9A4C-B2FCAE26766A}">
            <xm:f>LEN(TRIM('Concrete Plant (CP-1)'!M64))&gt;0</xm:f>
            <x14:dxf>
              <border>
                <left style="thin">
                  <color indexed="64"/>
                </left>
                <right style="thin">
                  <color indexed="64"/>
                </right>
                <top style="thin">
                  <color indexed="64"/>
                </top>
                <bottom style="thin">
                  <color indexed="64"/>
                </bottom>
              </border>
            </x14:dxf>
          </x14:cfRule>
          <xm:sqref>M177:N177 M80:N80 M64:N64 M96:N96 M112:N112 M128:N128 M144:N144</xm:sqref>
        </x14:conditionalFormatting>
        <x14:conditionalFormatting xmlns:xm="http://schemas.microsoft.com/office/excel/2006/main">
          <x14:cfRule type="cellIs" priority="3" stopIfTrue="1" operator="equal" id="{A86558A8-BADA-46AD-AE2C-5882FC73AD3A}">
            <xm:f>'Concrete Plant (CP-1)'!$B$51="batch plant"</xm:f>
            <x14:dxf>
              <fill>
                <patternFill patternType="none">
                  <bgColor indexed="65"/>
                </patternFill>
              </fill>
              <border>
                <left/>
                <right/>
                <top/>
                <bottom/>
              </border>
            </x14:dxf>
          </x14:cfRule>
          <xm:sqref>M62:N65 M51:N51</xm:sqref>
        </x14:conditionalFormatting>
        <x14:conditionalFormatting xmlns:xm="http://schemas.microsoft.com/office/excel/2006/main">
          <x14:cfRule type="cellIs" priority="5" stopIfTrue="1" operator="equal" id="{519D53C4-93BE-4911-B93D-342B6890BF43}">
            <xm:f>'Concrete Plant (CP-1)'!$B$67="batch plant"</xm:f>
            <x14:dxf>
              <fill>
                <patternFill patternType="none">
                  <bgColor indexed="65"/>
                </patternFill>
              </fill>
              <border>
                <left/>
                <right/>
                <top/>
                <bottom/>
              </border>
            </x14:dxf>
          </x14:cfRule>
          <xm:sqref>M78:N81 M67:N67</xm:sqref>
        </x14:conditionalFormatting>
        <x14:conditionalFormatting xmlns:xm="http://schemas.microsoft.com/office/excel/2006/main">
          <x14:cfRule type="cellIs" priority="6" stopIfTrue="1" operator="equal" id="{00C8EDCA-76BE-4FA5-BBA4-76FC72B30D35}">
            <xm:f>'Concrete Plant (CP-1)'!$B$83="batch plant"</xm:f>
            <x14:dxf>
              <fill>
                <patternFill patternType="none">
                  <bgColor indexed="65"/>
                </patternFill>
              </fill>
              <border>
                <left/>
                <right/>
                <top/>
                <bottom/>
              </border>
            </x14:dxf>
          </x14:cfRule>
          <xm:sqref>M94:N97 M83:N83</xm:sqref>
        </x14:conditionalFormatting>
        <x14:conditionalFormatting xmlns:xm="http://schemas.microsoft.com/office/excel/2006/main">
          <x14:cfRule type="cellIs" priority="7" stopIfTrue="1" operator="equal" id="{B50DDD80-3D02-4B7E-A8CF-D54B1B5D84E5}">
            <xm:f>'Concrete Plant (CP-1)'!$B$99="batch plant"</xm:f>
            <x14:dxf>
              <fill>
                <patternFill patternType="none">
                  <bgColor indexed="65"/>
                </patternFill>
              </fill>
              <border>
                <left/>
                <right/>
                <top/>
                <bottom/>
              </border>
            </x14:dxf>
          </x14:cfRule>
          <xm:sqref>M110:N113 M99:N99</xm:sqref>
        </x14:conditionalFormatting>
        <x14:conditionalFormatting xmlns:xm="http://schemas.microsoft.com/office/excel/2006/main">
          <x14:cfRule type="cellIs" priority="8" stopIfTrue="1" operator="equal" id="{DC4C7DF1-B98F-4AD0-8BA0-F409ED9465D2}">
            <xm:f>'Concrete Plant (CP-1)'!$B$115="batch plant"</xm:f>
            <x14:dxf>
              <fill>
                <patternFill patternType="none">
                  <bgColor indexed="65"/>
                </patternFill>
              </fill>
              <border>
                <left/>
                <right/>
                <top/>
                <bottom/>
              </border>
            </x14:dxf>
          </x14:cfRule>
          <xm:sqref>M126:N129 M115:N115</xm:sqref>
        </x14:conditionalFormatting>
        <x14:conditionalFormatting xmlns:xm="http://schemas.microsoft.com/office/excel/2006/main">
          <x14:cfRule type="cellIs" priority="9" stopIfTrue="1" operator="equal" id="{6ED7033F-BF74-4932-8042-6D08E088561D}">
            <xm:f>'Concrete Plant (CP-1)'!$B$131="batch plant"</xm:f>
            <x14:dxf>
              <fill>
                <patternFill patternType="none">
                  <bgColor indexed="65"/>
                </patternFill>
              </fill>
              <border>
                <left/>
                <right/>
                <top/>
                <bottom/>
              </border>
            </x14:dxf>
          </x14:cfRule>
          <xm:sqref>M142:N145 M131:N131</xm:sqref>
        </x14:conditionalFormatting>
        <x14:conditionalFormatting xmlns:xm="http://schemas.microsoft.com/office/excel/2006/main">
          <x14:cfRule type="cellIs" priority="10" stopIfTrue="1" operator="equal" id="{EE23557A-B119-4DEC-8FF2-4EE49FEDE146}">
            <xm:f>'Concrete Plant (CP-1)'!$B$147="batch plant"</xm:f>
            <x14:dxf>
              <fill>
                <patternFill patternType="none">
                  <bgColor indexed="65"/>
                </patternFill>
              </fill>
              <border>
                <left/>
                <right/>
                <top/>
                <bottom/>
              </border>
            </x14:dxf>
          </x14:cfRule>
          <xm:sqref>M159:N162 M148:N148</xm:sqref>
        </x14:conditionalFormatting>
        <x14:conditionalFormatting xmlns:xm="http://schemas.microsoft.com/office/excel/2006/main">
          <x14:cfRule type="cellIs" priority="1" stopIfTrue="1" operator="equal" id="{C6F7CE12-9DFF-4EC2-A999-9B5CA797BAFF}">
            <xm:f>'Concrete Plant (CP-1)'!$B$164="batch plant"</xm:f>
            <x14:dxf>
              <fill>
                <patternFill patternType="none">
                  <bgColor indexed="65"/>
                </patternFill>
              </fill>
              <border>
                <left/>
                <right/>
                <top/>
                <bottom/>
              </border>
            </x14:dxf>
          </x14:cfRule>
          <xm:sqref>M178:N178</xm:sqref>
        </x14:conditionalFormatting>
        <x14:conditionalFormatting xmlns:xm="http://schemas.microsoft.com/office/excel/2006/main">
          <x14:cfRule type="notContainsBlanks" priority="1355" stopIfTrue="1" id="{2A9F78D7-D153-4E5F-9A4C-B2FCAE26766A}">
            <xm:f>LEN(TRIM('Concrete Plant (CP-1)'!#REF!))&gt;0</xm:f>
            <x14:dxf>
              <border>
                <left style="thin">
                  <color indexed="64"/>
                </left>
                <right style="thin">
                  <color indexed="64"/>
                </right>
                <top style="thin">
                  <color indexed="64"/>
                </top>
                <bottom style="thin">
                  <color indexed="64"/>
                </bottom>
              </border>
            </x14:dxf>
          </x14:cfRule>
          <xm:sqref>M49:N49</xm:sqref>
        </x14:conditionalFormatting>
        <x14:conditionalFormatting xmlns:xm="http://schemas.microsoft.com/office/excel/2006/main">
          <x14:cfRule type="notContainsBlanks" priority="1741" id="{EFE923E2-49C5-469A-BAC4-155769392BC1}">
            <xm:f>LEN(TRIM('Concrete Plant (CP-3)'!F24))&gt;0</xm:f>
            <x14:dxf>
              <fill>
                <patternFill>
                  <bgColor rgb="FFFFFF99"/>
                </patternFill>
              </fill>
              <border>
                <left style="thin">
                  <color auto="1"/>
                </left>
                <right style="thin">
                  <color auto="1"/>
                </right>
                <top style="thin">
                  <color auto="1"/>
                </top>
                <bottom style="thin">
                  <color auto="1"/>
                </bottom>
                <vertical/>
                <horizontal/>
              </border>
            </x14:dxf>
          </x14:cfRule>
          <xm:sqref>F24</xm:sqref>
        </x14:conditionalFormatting>
        <x14:conditionalFormatting xmlns:xm="http://schemas.microsoft.com/office/excel/2006/main">
          <x14:cfRule type="notContainsBlanks" priority="2715" stopIfTrue="1" id="{2A9F78D7-D153-4E5F-9A4C-B2FCAE26766A}">
            <xm:f>LEN(TRIM('Concrete Plant (CP-1)'!M160))&gt;0</xm:f>
            <x14:dxf>
              <border>
                <left style="thin">
                  <color indexed="64"/>
                </left>
                <right style="thin">
                  <color indexed="64"/>
                </right>
                <top style="thin">
                  <color indexed="64"/>
                </top>
                <bottom style="thin">
                  <color indexed="64"/>
                </bottom>
              </border>
            </x14:dxf>
          </x14:cfRule>
          <xm:sqref>M161:N161</xm:sqref>
        </x14:conditionalFormatting>
        <x14:conditionalFormatting xmlns:xm="http://schemas.microsoft.com/office/excel/2006/main">
          <x14:cfRule type="notContainsBlanks" priority="7373" id="{EFE923E2-49C5-469A-BAC4-155769392BC1}">
            <xm:f>LEN(TRIM('Concrete Plant (CP-3)'!F57))&gt;0</xm:f>
            <x14:dxf>
              <fill>
                <patternFill>
                  <bgColor rgb="FFFFFF99"/>
                </patternFill>
              </fill>
              <border>
                <left style="thin">
                  <color auto="1"/>
                </left>
                <right style="thin">
                  <color auto="1"/>
                </right>
                <top style="thin">
                  <color auto="1"/>
                </top>
                <bottom style="thin">
                  <color auto="1"/>
                </bottom>
                <vertical/>
                <horizontal/>
              </border>
            </x14:dxf>
          </x14:cfRule>
          <xm:sqref>F55 F71 F87 F103 F119 F135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AO48"/>
  <sheetViews>
    <sheetView topLeftCell="B1" workbookViewId="0">
      <selection activeCell="B7" sqref="B7"/>
    </sheetView>
  </sheetViews>
  <sheetFormatPr defaultColWidth="8.85546875" defaultRowHeight="15" x14ac:dyDescent="0.25"/>
  <cols>
    <col min="1" max="1" width="14.42578125" style="6" hidden="1" customWidth="1"/>
    <col min="2" max="2" width="18.42578125" style="6" customWidth="1"/>
    <col min="3" max="3" width="9.85546875" style="6" customWidth="1"/>
    <col min="4" max="4" width="8.7109375" style="6" customWidth="1"/>
    <col min="5" max="5" width="10.42578125" style="6" customWidth="1"/>
    <col min="6" max="6" width="21.42578125" style="6" customWidth="1"/>
    <col min="7" max="7" width="12.140625" style="6" customWidth="1"/>
    <col min="8" max="8" width="12.42578125" style="6" customWidth="1"/>
    <col min="9" max="9" width="13.7109375" style="6" customWidth="1"/>
    <col min="10" max="10" width="10" style="6" customWidth="1"/>
    <col min="11" max="11" width="9.28515625" style="6" customWidth="1"/>
    <col min="12" max="12" width="10.42578125" style="6" customWidth="1"/>
    <col min="13" max="13" width="12.42578125" style="6" customWidth="1"/>
    <col min="14" max="14" width="13.7109375" style="6" customWidth="1"/>
    <col min="15" max="15" width="14.28515625" style="6" customWidth="1"/>
    <col min="16" max="16" width="11.7109375" style="6" customWidth="1"/>
    <col min="17" max="17" width="9.42578125" style="6" customWidth="1"/>
    <col min="18" max="18" width="10.42578125" style="6" customWidth="1"/>
    <col min="19" max="19" width="13.7109375" style="6" customWidth="1"/>
    <col min="20" max="20" width="14" style="6" customWidth="1"/>
    <col min="21" max="21" width="8.85546875" style="6"/>
    <col min="22" max="22" width="9.85546875" style="6" hidden="1" customWidth="1"/>
    <col min="23" max="23" width="10.42578125" style="6" hidden="1" customWidth="1"/>
    <col min="24" max="24" width="9.42578125" style="6" hidden="1" customWidth="1"/>
    <col min="25" max="25" width="9.42578125" style="6" customWidth="1"/>
    <col min="26" max="26" width="8.85546875" style="6"/>
    <col min="27" max="27" width="9.42578125" style="6" hidden="1" customWidth="1"/>
    <col min="28" max="28" width="10.28515625" style="6" hidden="1" customWidth="1"/>
    <col min="29" max="29" width="9.85546875" style="6" hidden="1" customWidth="1"/>
    <col min="30" max="30" width="9.42578125" style="6" customWidth="1"/>
    <col min="31" max="31" width="12.42578125" style="6" hidden="1" customWidth="1"/>
    <col min="32" max="32" width="12.7109375" style="6" hidden="1" customWidth="1"/>
    <col min="33" max="33" width="10.42578125" style="6" hidden="1" customWidth="1"/>
    <col min="34" max="34" width="9.85546875" style="6" hidden="1" customWidth="1"/>
    <col min="35" max="35" width="8.42578125" style="6" hidden="1" customWidth="1"/>
    <col min="36" max="36" width="8.42578125" style="6" customWidth="1"/>
    <col min="37" max="37" width="5.7109375" style="6" bestFit="1" customWidth="1"/>
    <col min="38" max="38" width="12.42578125" style="6" hidden="1" customWidth="1"/>
    <col min="39" max="39" width="9.85546875" style="6" bestFit="1" customWidth="1"/>
    <col min="40" max="40" width="12.42578125" style="6" hidden="1" customWidth="1"/>
    <col min="41" max="41" width="9.85546875" style="6" bestFit="1" customWidth="1"/>
    <col min="42" max="16384" width="8.85546875" style="6"/>
  </cols>
  <sheetData>
    <row r="1" spans="1:41" ht="18.75" x14ac:dyDescent="0.3">
      <c r="B1" s="21" t="s">
        <v>114</v>
      </c>
      <c r="C1" s="21"/>
    </row>
    <row r="2" spans="1:41" x14ac:dyDescent="0.25">
      <c r="B2" s="394" t="s">
        <v>37</v>
      </c>
      <c r="C2" s="395"/>
      <c r="D2" s="395"/>
      <c r="E2" s="395"/>
      <c r="F2" s="395"/>
    </row>
    <row r="3" spans="1:41" ht="13.5" customHeight="1" x14ac:dyDescent="0.25">
      <c r="B3" s="225"/>
      <c r="G3" s="31"/>
      <c r="H3" s="31"/>
      <c r="M3" s="158" t="s">
        <v>244</v>
      </c>
      <c r="N3" s="160"/>
      <c r="O3" s="159" t="s">
        <v>245</v>
      </c>
      <c r="P3" s="159" t="s">
        <v>247</v>
      </c>
      <c r="Q3" s="159" t="str">
        <f>IF(N3=0,"",N3*4024*365/2000)</f>
        <v/>
      </c>
      <c r="R3" s="159" t="s">
        <v>246</v>
      </c>
    </row>
    <row r="4" spans="1:41" s="161" customFormat="1" ht="13.5" customHeight="1" x14ac:dyDescent="0.25">
      <c r="B4" s="162"/>
      <c r="C4" s="162"/>
      <c r="D4" s="162"/>
      <c r="E4" s="162"/>
      <c r="F4" s="162"/>
      <c r="G4" s="31"/>
      <c r="H4" s="31"/>
      <c r="M4" s="158" t="s">
        <v>244</v>
      </c>
      <c r="N4" s="160"/>
      <c r="O4" s="159" t="s">
        <v>248</v>
      </c>
      <c r="P4" s="159" t="s">
        <v>247</v>
      </c>
      <c r="Q4" s="159" t="str">
        <f>IF(N4=0,"",N4*4024/2000)</f>
        <v/>
      </c>
      <c r="R4" s="159" t="s">
        <v>246</v>
      </c>
    </row>
    <row r="5" spans="1:41" ht="8.25" customHeight="1" x14ac:dyDescent="0.25"/>
    <row r="6" spans="1:41" ht="60" customHeight="1" x14ac:dyDescent="0.25">
      <c r="B6" s="229" t="s">
        <v>117</v>
      </c>
      <c r="C6" s="229" t="s">
        <v>237</v>
      </c>
      <c r="D6" s="229" t="s">
        <v>91</v>
      </c>
      <c r="E6" s="229" t="s">
        <v>213</v>
      </c>
      <c r="F6" s="230" t="s">
        <v>188</v>
      </c>
      <c r="G6" s="229" t="s">
        <v>264</v>
      </c>
      <c r="H6" s="229" t="s">
        <v>265</v>
      </c>
      <c r="I6" s="234" t="s">
        <v>118</v>
      </c>
      <c r="J6" s="231" t="s">
        <v>120</v>
      </c>
      <c r="K6" s="231" t="s">
        <v>121</v>
      </c>
      <c r="L6" s="234" t="s">
        <v>113</v>
      </c>
      <c r="M6" s="230" t="s">
        <v>266</v>
      </c>
      <c r="N6" s="229" t="s">
        <v>267</v>
      </c>
      <c r="O6" s="229" t="s">
        <v>268</v>
      </c>
      <c r="P6" s="231" t="s">
        <v>123</v>
      </c>
      <c r="Q6" s="231" t="s">
        <v>122</v>
      </c>
      <c r="R6" s="234" t="s">
        <v>125</v>
      </c>
      <c r="S6" s="234" t="s">
        <v>124</v>
      </c>
      <c r="T6" s="234" t="s">
        <v>119</v>
      </c>
      <c r="U6" s="235" t="s">
        <v>129</v>
      </c>
      <c r="V6" s="234" t="s">
        <v>131</v>
      </c>
      <c r="W6" s="234" t="s">
        <v>130</v>
      </c>
      <c r="X6" s="234" t="s">
        <v>132</v>
      </c>
      <c r="Y6" s="231" t="s">
        <v>18</v>
      </c>
      <c r="Z6" s="233" t="s">
        <v>128</v>
      </c>
      <c r="AA6" s="234" t="s">
        <v>131</v>
      </c>
      <c r="AB6" s="234" t="s">
        <v>130</v>
      </c>
      <c r="AC6" s="234" t="s">
        <v>132</v>
      </c>
      <c r="AD6" s="231" t="s">
        <v>18</v>
      </c>
    </row>
    <row r="7" spans="1:41" ht="13.5" customHeight="1" x14ac:dyDescent="0.25">
      <c r="A7" s="6" t="s">
        <v>116</v>
      </c>
      <c r="B7" s="55"/>
      <c r="C7" s="55"/>
      <c r="D7" s="11"/>
      <c r="E7" s="11"/>
      <c r="F7" s="11"/>
      <c r="G7" s="133"/>
      <c r="H7" s="133"/>
      <c r="I7" s="11"/>
      <c r="J7" s="131" t="str">
        <f>IF(G7="","",(G7*(I7/100)+H7*(1-(I7/100))))</f>
        <v/>
      </c>
      <c r="K7" s="131" t="str">
        <f>IF(G7="","",H7-G7)</f>
        <v/>
      </c>
      <c r="L7" s="133"/>
      <c r="M7" s="120" t="str">
        <f>IF(E7="","",IF(E7="CP-1",IF('Concrete Plant (CP-1)'!$D$9&gt;0,'Concrete Plant (CP-1)'!$D$9*4024/2000,IF('Concrete Plant (CP-1)'!$D$10&gt;0,'Concrete Plant (CP-1)'!$D$10*365*4024/2000,"")),IF(E7="CP-2",IF('Concrete Plant (CP-2)'!$D$9&gt;0,'Concrete Plant (CP-2)'!$D$9*4024/2000,IF('Concrete Plant (CP-2)'!$C$10&gt;0,'Concrete Plant (CP-2)'!$C$10*365*4024/2000,"")),IF(E7="CP-3",IF('Concrete Plant (CP-3)'!$D$9&gt;0,'Concrete Plant (CP-3)'!$D$9*4024/2000,IF('Concrete Plant (CP-3)'!$D$10&gt;0,'Concrete Plant (CP-3)'!$D$10*365*4024/2000,"")),IF(E7="CP-4",IF('Concrete Plant (CP-4)'!$D$9&gt;0,'Concrete Plant (CP-4)'!$D$9*4024/2000,IF('Concrete Plant (CP-4)'!$D$10&gt;0,'Concrete Plant (CP-4)'!$D$10*365*4024/2000,"")),IF(E7="CP-5",IF('Concrete Plant (CP-5)'!$D$9&gt;0,'Concrete Plant (CP-5)'!$D$9*4024/2000,IF('Concrete Plant (CP-5)'!$D$10&gt;0,'Concrete Plant (CP-5)'!$D$10*365*4024/2000,"")),IF(E7="CP-6",IF('Concrete Plant (CP-6)'!$D$9&gt;0,'Concrete Plant (CP-6)'!$D$9*4024/2000,IF('Concrete Plant (CP-6)'!$D$10&gt;0,'Concrete Plant (CP-6)'!$D$10*365*4024/2000,"")),IF(E7="CP-7",IF('Concrete Plant (CP-7)'!$D$9&gt;0,'Concrete Plant (CP-7)'!$D$9*4024/2000,IF('Concrete Plant (CP-7)'!$D$10&gt;0,'Concrete Plant (CP-7)'!$D$10*365*4024/2000,"")),IF(E7="CP-8",IF('Concrete Plant (CP-8)'!$D$9&gt;0,'Concrete Plant (CP-8)'!$D$9*4024/2000,IF('Concrete Plant (CP-8)'!$D$10&gt;0,'Concrete Plant (CP-8)'!$D$10*365*4024/2000,"")),IF(E7="CP-9",IF('Concrete Plant (CP-9)'!$D$9&gt;0,'Concrete Plant (CP-9)'!$D$9*4024/2000,IF('Concrete Plant (CP-9)'!$D$10&gt;0,'Concrete Plant (CP-9)'!$D$10*365*4024/2000,"")),IF(E7="CP-10",IF('Concrete Plant (CP-10)'!$D$9&gt;0,'Concrete Plant (CP-10)'!$D$9*4024/2000,IF('Concrete Plant (CP-10)'!$D$10&gt;0,'Concrete Plant (CP-10)'!$D$10*365*4024/2000,"")))))))))))))</f>
        <v/>
      </c>
      <c r="N7" s="133"/>
      <c r="O7" s="133"/>
      <c r="P7" s="120" t="str">
        <f t="shared" ref="P7:P36" si="0">IF(B7="","",IF(M7="",N7/K7,M7/K7))</f>
        <v/>
      </c>
      <c r="Q7" s="120" t="str">
        <f>IF(O7="","",O7/K7)</f>
        <v/>
      </c>
      <c r="R7" s="11" t="str">
        <f>IF(B7="","",IF(B7="Unpaved Haul Road",4.8,12))</f>
        <v/>
      </c>
      <c r="S7" s="11" t="str">
        <f t="shared" ref="S7:S36" si="1">IF(B7="","",100)</f>
        <v/>
      </c>
      <c r="T7" s="151"/>
      <c r="U7" s="131" t="str">
        <f t="shared" ref="U7:U36" si="2">IF(B7="","",IF(B7="unpaved haul road",(0.15*((R7/12)^0.9)*((J7/3)^0.45)*((365-S7)/365)),((0.00054*(R7^0.91)*(J7^1.02))*(1-S7/1460))))</f>
        <v/>
      </c>
      <c r="V7" s="131" t="str">
        <f t="shared" ref="V7:V36" si="3">IF(B7="","",U7*P7*L7/8760)</f>
        <v/>
      </c>
      <c r="W7" s="131" t="str">
        <f t="shared" ref="W7:W36" si="4">IF(B7="","",IF(T7="yes",V7*((100-40)/100),""))</f>
        <v/>
      </c>
      <c r="X7" s="131" t="str">
        <f t="shared" ref="X7:X37" si="5">IF(B7="","",IF(W7="",V7*8760/2000,W7*8760/2000))</f>
        <v/>
      </c>
      <c r="Y7" s="131" t="str">
        <f t="shared" ref="Y7:Y36" si="6">IF(B7="","",IF(T7="yes",Q7*L7*U7/2000*((100-40)/100),Q7*L7*U7/2000))</f>
        <v/>
      </c>
      <c r="Z7" s="131" t="str">
        <f t="shared" ref="Z7:Z36" si="7">IF(B7="","",IF(B7="unpaved haul road",(1.5*((R7/12)^0.9)*((J7/3)^0.45)*((365-S7)/365)),((0.0022*(R7^0.91)*(J7^1.02))*(1-S7/1460))))</f>
        <v/>
      </c>
      <c r="AA7" s="131" t="str">
        <f t="shared" ref="AA7:AA36" si="8">IF(B7="","",Z7*P7*L7/8760)</f>
        <v/>
      </c>
      <c r="AB7" s="131" t="str">
        <f t="shared" ref="AB7:AB36" si="9">IF(B7="","",IF(T7="yes",AA7*((100-40)/100),""))</f>
        <v/>
      </c>
      <c r="AC7" s="131" t="str">
        <f t="shared" ref="AC7:AC37" si="10">IF(B7="","",IF(AB7="",AA7*8760/2000,AB7*8760/2000))</f>
        <v/>
      </c>
      <c r="AD7" s="131" t="str">
        <f t="shared" ref="AD7:AD36" si="11">IF(B7="","",IF(T7="yes",Q7*L7*Z7/2000*((100-40)/100),Q7*L7*Z7/2000))</f>
        <v/>
      </c>
      <c r="AE7" s="6" t="str">
        <f>IF(B7="unpaved haul road","x","")</f>
        <v/>
      </c>
      <c r="AF7" s="154">
        <f t="array" ref="AF7">IF(AND('Concrete Plant (CP-1)'!$D$10="",'Concrete Plant (CP-1)'!$D$9=""),SUMIFS($X$7:$X$36,$E$7:$E$36,"CP-1",$AE$7:$AE$36,"x"),MAX(IF($E$7:$E$36="CP-1",IF($AE$7:$AE$36="x",$X$7:$X$36))))</f>
        <v>0</v>
      </c>
      <c r="AG7" s="154">
        <f t="array" ref="AG7">IF(AND('Concrete Plant (CP-1)'!$D$10="",'Concrete Plant (CP-1)'!$D$9=""),SUMIFS($X$7:$X$36,$E$7:$E$36,"CP-1",AE7:AE36,""),MAX(IF($E$7:$E$36="CP-1",IF($AE$7:$AE$36="",$X$7:$X$36))))</f>
        <v>0</v>
      </c>
      <c r="AH7" s="154">
        <f t="array" ref="AH7">IF(AND('Concrete Plant (CP-1)'!$D$10="",'Concrete Plant (CP-1)'!$D$9=""),SUMIFS($AC$7:$AC$36,$E$7:$E$36,"CP-1",$AE$7:$AE$36,"x"),MAX(IF($E$7:$E$36="CP-1",IF($AE$7:$AE$36="x",$AC$7:$AC$36))))</f>
        <v>0</v>
      </c>
      <c r="AI7" s="154">
        <f t="array" ref="AI7">IF(AND('Concrete Plant (CP-1)'!$D$10="",'Concrete Plant (CP-1)'!$D$9=""),SUMIFS($AC$7:$AC$36,$E$7:$E$36,"CP-1",$AE$7:$AE$36,""),MAX(IF($E$7:$E$36="CP-1",IF($AE$7:$AE$36="",$AC$7:$AC$36))))</f>
        <v>0</v>
      </c>
      <c r="AM7" s="257" t="s">
        <v>110</v>
      </c>
      <c r="AO7" s="257" t="s">
        <v>17</v>
      </c>
    </row>
    <row r="8" spans="1:41" ht="13.5" customHeight="1" x14ac:dyDescent="0.25">
      <c r="A8" s="6" t="s">
        <v>33</v>
      </c>
      <c r="B8" s="55"/>
      <c r="C8" s="55"/>
      <c r="D8" s="11"/>
      <c r="E8" s="11"/>
      <c r="F8" s="11"/>
      <c r="G8" s="133"/>
      <c r="H8" s="133"/>
      <c r="I8" s="11"/>
      <c r="J8" s="131" t="str">
        <f t="shared" ref="J8:J36" si="12">IF(G8="","",(G8*(I8/100)+H8*(1-(I8/100))))</f>
        <v/>
      </c>
      <c r="K8" s="131" t="str">
        <f t="shared" ref="K8:K36" si="13">IF(G8="","",H8-G8)</f>
        <v/>
      </c>
      <c r="L8" s="133"/>
      <c r="M8" s="120" t="str">
        <f>IF(E8="","",IF(E8="CP-1",IF('Concrete Plant (CP-1)'!$D$9&gt;0,'Concrete Plant (CP-1)'!$D$9*4024/2000,IF('Concrete Plant (CP-1)'!$D$10&gt;0,'Concrete Plant (CP-1)'!$D$10*365*4024/2000,"")),IF(E8="CP-2",IF('Concrete Plant (CP-2)'!$D$9&gt;0,'Concrete Plant (CP-2)'!$D$9*4024/2000,IF('Concrete Plant (CP-2)'!$C$10&gt;0,'Concrete Plant (CP-2)'!$C$10*365*4024/2000,"")),IF(E8="CP-3",IF('Concrete Plant (CP-3)'!$D$9&gt;0,'Concrete Plant (CP-3)'!$D$9*4024/2000,IF('Concrete Plant (CP-3)'!$D$10&gt;0,'Concrete Plant (CP-3)'!$D$10*365*4024/2000,"")),IF(E8="CP-4",IF('Concrete Plant (CP-4)'!$D$9&gt;0,'Concrete Plant (CP-4)'!$D$9*4024/2000,IF('Concrete Plant (CP-4)'!$D$10&gt;0,'Concrete Plant (CP-4)'!$D$10*365*4024/2000,"")),IF(E8="CP-5",IF('Concrete Plant (CP-5)'!$D$9&gt;0,'Concrete Plant (CP-5)'!$D$9*4024/2000,IF('Concrete Plant (CP-5)'!$D$10&gt;0,'Concrete Plant (CP-5)'!$D$10*365*4024/2000,"")),IF(E8="CP-6",IF('Concrete Plant (CP-6)'!$D$9&gt;0,'Concrete Plant (CP-6)'!$D$9*4024/2000,IF('Concrete Plant (CP-6)'!$D$10&gt;0,'Concrete Plant (CP-6)'!$D$10*365*4024/2000,"")),IF(E8="CP-7",IF('Concrete Plant (CP-7)'!$D$9&gt;0,'Concrete Plant (CP-7)'!$D$9*4024/2000,IF('Concrete Plant (CP-7)'!$D$10&gt;0,'Concrete Plant (CP-7)'!$D$10*365*4024/2000,"")),IF(E8="CP-8",IF('Concrete Plant (CP-8)'!$D$9&gt;0,'Concrete Plant (CP-8)'!$D$9*4024/2000,IF('Concrete Plant (CP-8)'!$D$10&gt;0,'Concrete Plant (CP-8)'!$D$10*365*4024/2000,"")),IF(E8="CP-9",IF('Concrete Plant (CP-9)'!$D$9&gt;0,'Concrete Plant (CP-9)'!$D$9*4024/2000,IF('Concrete Plant (CP-9)'!$D$10&gt;0,'Concrete Plant (CP-9)'!$D$10*365*4024/2000,"")),IF(E8="CP-10",IF('Concrete Plant (CP-10)'!$D$9&gt;0,'Concrete Plant (CP-10)'!$D$9*4024/2000,IF('Concrete Plant (CP-10)'!$D$10&gt;0,'Concrete Plant (CP-10)'!$D$10*365*4024/2000,"")))))))))))))</f>
        <v/>
      </c>
      <c r="N8" s="133"/>
      <c r="O8" s="133"/>
      <c r="P8" s="120" t="str">
        <f t="shared" si="0"/>
        <v/>
      </c>
      <c r="Q8" s="120" t="str">
        <f t="shared" ref="Q8:Q36" si="14">IF(O8="","",O8/K8)</f>
        <v/>
      </c>
      <c r="R8" s="11" t="str">
        <f t="shared" ref="R8:R38" si="15">IF(B8="","",IF(B8="Unpaved Haul Road",4.8,12))</f>
        <v/>
      </c>
      <c r="S8" s="11" t="str">
        <f t="shared" si="1"/>
        <v/>
      </c>
      <c r="T8" s="151"/>
      <c r="U8" s="131" t="str">
        <f t="shared" si="2"/>
        <v/>
      </c>
      <c r="V8" s="131" t="str">
        <f t="shared" si="3"/>
        <v/>
      </c>
      <c r="W8" s="131" t="str">
        <f t="shared" si="4"/>
        <v/>
      </c>
      <c r="X8" s="131" t="str">
        <f t="shared" si="5"/>
        <v/>
      </c>
      <c r="Y8" s="131" t="str">
        <f t="shared" si="6"/>
        <v/>
      </c>
      <c r="Z8" s="131" t="str">
        <f t="shared" si="7"/>
        <v/>
      </c>
      <c r="AA8" s="131" t="str">
        <f t="shared" si="8"/>
        <v/>
      </c>
      <c r="AB8" s="131" t="str">
        <f t="shared" si="9"/>
        <v/>
      </c>
      <c r="AC8" s="131" t="str">
        <f t="shared" si="10"/>
        <v/>
      </c>
      <c r="AD8" s="131" t="str">
        <f t="shared" si="11"/>
        <v/>
      </c>
      <c r="AE8" s="6" t="str">
        <f t="shared" ref="AE8:AE16" si="16">IF(B8="unpaved haul road","x","")</f>
        <v/>
      </c>
      <c r="AF8" s="154">
        <f t="array" ref="AF8">IF(AND('Concrete Plant (CP-2)'!$C$10="",'Concrete Plant (CP-2)'!$C$9=""),SUMIFS($X$7:$X$36,$E$7:$E$36,"CP-2",$AE$7:$AE$36,"x"),MAX(IF($E$7:$E$36="CP-2",IF($AE$7:$AE$36="x",$X$7:$X$36))))</f>
        <v>0</v>
      </c>
      <c r="AG8" s="154">
        <f t="array" ref="AG8">IF(AND('Concrete Plant (CP-2)'!$C$10="",'Concrete Plant (CP-2)'!$C$9=""),SUMIFS($X$7:$X$36,$E$7:$E$36,"CP-2",AE8:AE37,""),MAX(IF($E$7:$E$36="CP-2",IF($AE$7:$AE$36="",$X$7:$X$36))))</f>
        <v>0</v>
      </c>
      <c r="AH8" s="154">
        <f t="array" ref="AH8">IF(AND('Concrete Plant (CP-2)'!$C$10="",'Concrete Plant (CP-2)'!$C$9=""),SUMIFS($AC$7:$AC$36,$E$7:$E$36,"CP-2",$AE$7:$AE$36,"x"),MAX(IF($E$7:$E$36="CP-2",IF($AE$7:$AE$36="x",$AC$7:$AC$36))))</f>
        <v>0</v>
      </c>
      <c r="AI8" s="154">
        <f t="array" ref="AI8">IF(AND('Concrete Plant (CP-2)'!$C$10="",'Concrete Plant (CP-2)'!$C$9=""),SUMIFS($AC$7:$AC$36,$E$7:$E$36,"CP-2",$AE$7:$AE$36,""),MAX(IF($E$7:$E$36="CP-2",IF($AE$7:$AE$36="",$AC$7:$AC$36))))</f>
        <v>0</v>
      </c>
      <c r="AL8" s="119" t="s">
        <v>160</v>
      </c>
      <c r="AM8" s="119" t="s">
        <v>161</v>
      </c>
      <c r="AN8" s="119" t="s">
        <v>160</v>
      </c>
      <c r="AO8" s="119" t="s">
        <v>161</v>
      </c>
    </row>
    <row r="9" spans="1:41" ht="13.5" customHeight="1" x14ac:dyDescent="0.25">
      <c r="B9" s="55"/>
      <c r="C9" s="55"/>
      <c r="D9" s="11"/>
      <c r="E9" s="11"/>
      <c r="F9" s="11"/>
      <c r="G9" s="133"/>
      <c r="H9" s="133"/>
      <c r="I9" s="11"/>
      <c r="J9" s="131" t="str">
        <f t="shared" si="12"/>
        <v/>
      </c>
      <c r="K9" s="131" t="str">
        <f t="shared" si="13"/>
        <v/>
      </c>
      <c r="L9" s="133"/>
      <c r="M9" s="120" t="str">
        <f>IF(E9="","",IF(E9="CP-1",IF('Concrete Plant (CP-1)'!$D$9&gt;0,'Concrete Plant (CP-1)'!$D$9*4024/2000,IF('Concrete Plant (CP-1)'!$D$10&gt;0,'Concrete Plant (CP-1)'!$D$10*365*4024/2000,"")),IF(E9="CP-2",IF('Concrete Plant (CP-2)'!$D$9&gt;0,'Concrete Plant (CP-2)'!$D$9*4024/2000,IF('Concrete Plant (CP-2)'!$C$10&gt;0,'Concrete Plant (CP-2)'!$C$10*365*4024/2000,"")),IF(E9="CP-3",IF('Concrete Plant (CP-3)'!$D$9&gt;0,'Concrete Plant (CP-3)'!$D$9*4024/2000,IF('Concrete Plant (CP-3)'!$D$10&gt;0,'Concrete Plant (CP-3)'!$D$10*365*4024/2000,"")),IF(E9="CP-4",IF('Concrete Plant (CP-4)'!$D$9&gt;0,'Concrete Plant (CP-4)'!$D$9*4024/2000,IF('Concrete Plant (CP-4)'!$D$10&gt;0,'Concrete Plant (CP-4)'!$D$10*365*4024/2000,"")),IF(E9="CP-5",IF('Concrete Plant (CP-5)'!$D$9&gt;0,'Concrete Plant (CP-5)'!$D$9*4024/2000,IF('Concrete Plant (CP-5)'!$D$10&gt;0,'Concrete Plant (CP-5)'!$D$10*365*4024/2000,"")),IF(E9="CP-6",IF('Concrete Plant (CP-6)'!$D$9&gt;0,'Concrete Plant (CP-6)'!$D$9*4024/2000,IF('Concrete Plant (CP-6)'!$D$10&gt;0,'Concrete Plant (CP-6)'!$D$10*365*4024/2000,"")),IF(E9="CP-7",IF('Concrete Plant (CP-7)'!$D$9&gt;0,'Concrete Plant (CP-7)'!$D$9*4024/2000,IF('Concrete Plant (CP-7)'!$D$10&gt;0,'Concrete Plant (CP-7)'!$D$10*365*4024/2000,"")),IF(E9="CP-8",IF('Concrete Plant (CP-8)'!$D$9&gt;0,'Concrete Plant (CP-8)'!$D$9*4024/2000,IF('Concrete Plant (CP-8)'!$D$10&gt;0,'Concrete Plant (CP-8)'!$D$10*365*4024/2000,"")),IF(E9="CP-9",IF('Concrete Plant (CP-9)'!$D$9&gt;0,'Concrete Plant (CP-9)'!$D$9*4024/2000,IF('Concrete Plant (CP-9)'!$D$10&gt;0,'Concrete Plant (CP-9)'!$D$10*365*4024/2000,"")),IF(E9="CP-10",IF('Concrete Plant (CP-10)'!$D$9&gt;0,'Concrete Plant (CP-10)'!$D$9*4024/2000,IF('Concrete Plant (CP-10)'!$D$10&gt;0,'Concrete Plant (CP-10)'!$D$10*365*4024/2000,"")))))))))))))</f>
        <v/>
      </c>
      <c r="N9" s="133"/>
      <c r="O9" s="133"/>
      <c r="P9" s="120" t="str">
        <f t="shared" si="0"/>
        <v/>
      </c>
      <c r="Q9" s="120" t="str">
        <f t="shared" si="14"/>
        <v/>
      </c>
      <c r="R9" s="11" t="str">
        <f t="shared" si="15"/>
        <v/>
      </c>
      <c r="S9" s="11" t="str">
        <f t="shared" si="1"/>
        <v/>
      </c>
      <c r="T9" s="151"/>
      <c r="U9" s="131" t="str">
        <f t="shared" si="2"/>
        <v/>
      </c>
      <c r="V9" s="131" t="str">
        <f t="shared" si="3"/>
        <v/>
      </c>
      <c r="W9" s="131" t="str">
        <f t="shared" si="4"/>
        <v/>
      </c>
      <c r="X9" s="131" t="str">
        <f t="shared" si="5"/>
        <v/>
      </c>
      <c r="Y9" s="131" t="str">
        <f t="shared" si="6"/>
        <v/>
      </c>
      <c r="Z9" s="131" t="str">
        <f t="shared" si="7"/>
        <v/>
      </c>
      <c r="AA9" s="131" t="str">
        <f t="shared" si="8"/>
        <v/>
      </c>
      <c r="AB9" s="131" t="str">
        <f t="shared" si="9"/>
        <v/>
      </c>
      <c r="AC9" s="131" t="str">
        <f t="shared" si="10"/>
        <v/>
      </c>
      <c r="AD9" s="131" t="str">
        <f t="shared" si="11"/>
        <v/>
      </c>
      <c r="AE9" s="6" t="str">
        <f t="shared" si="16"/>
        <v/>
      </c>
      <c r="AF9" s="154">
        <f t="array" ref="AF9">IF(AND('Concrete Plant (CP-3)'!$D$10="",'Concrete Plant (CP-3)'!$D$9=""),SUMIFS($X$7:$X$36,$E$7:$E$36,"CP-3",$AE$7:$AE$36,"x"),MAX(IF($E$7:$E$36="CP-3",IF($AE$7:$AE$36="x",$X$7:$X$36))))</f>
        <v>0</v>
      </c>
      <c r="AG9" s="154">
        <f t="array" ref="AG9">IF(AND('Concrete Plant (CP-3)'!$D$10="",'Concrete Plant (CP-3)'!$D$9=""),SUMIFS($X$7:$X$36,$E$7:$E$36,"CP-3",AE9:AE38,""),MAX(IF($E$7:$E$36="CP-3",IF($AE$7:$AE$36="",$X$7:$X$36))))</f>
        <v>0</v>
      </c>
      <c r="AH9" s="154">
        <f t="array" ref="AH9">IF(AND('Concrete Plant (CP-3)'!$D$10="",'Concrete Plant (CP-3)'!$D$9=""),SUMIFS($AC$7:$AC$36,$E$7:$E$36,"CP-3",$AE$7:$AE$36,"x"),MAX(IF($E$7:$E$36="CP-3",IF($AE$7:$AE$36="x",$AC$7:$AC$36))))</f>
        <v>0</v>
      </c>
      <c r="AI9" s="154">
        <f t="array" ref="AI9">IF(AND('Concrete Plant (CP-3)'!$D$10="",'Concrete Plant (CP-3)'!$D$9=""),SUMIFS($AC$7:$AC$36,$E$7:$E$36,"CP-3",$AE$7:$AE$36,""),MAX(IF($E$7:$E$36="CP-3",IF($AE$7:$AE$36="",$AC$7:$AC$36))))</f>
        <v>0</v>
      </c>
      <c r="AK9" s="119" t="s">
        <v>225</v>
      </c>
      <c r="AL9" s="131">
        <f t="array" ref="AL9">IF(AND('Concrete Plant (CP-1)'!$D$10="",'Concrete Plant (CP-1)'!$D$9=""),SUMIF($E$7:$E$36,"CP-1",$X$7:$X$36),MAX(IF($E$7:$E$36="CP-1",$X$7:$X$36)))</f>
        <v>0</v>
      </c>
      <c r="AM9" s="131">
        <f>SUMIF($E$7:$E$36,"CP-1",$Y$7:$Y$36)</f>
        <v>0</v>
      </c>
      <c r="AN9" s="131">
        <f t="array" ref="AN9">IF(AND('Concrete Plant (CP-1)'!$D$10="",'Concrete Plant (CP-1)'!$D$9=""),SUMIF($E$7:$E$36,"CP-1",$AC$7:$AC$36),MAX(IF($E$7:$E$36="CP-1",$AC$7:$AC$36)))</f>
        <v>0</v>
      </c>
      <c r="AO9" s="131">
        <f ca="1">SUMIF($E$7:$E436,"CP-1",$AD$7:$AD$36)</f>
        <v>0</v>
      </c>
    </row>
    <row r="10" spans="1:41" ht="13.5" customHeight="1" x14ac:dyDescent="0.25">
      <c r="A10" s="6" t="s">
        <v>126</v>
      </c>
      <c r="B10" s="55"/>
      <c r="C10" s="55"/>
      <c r="D10" s="11"/>
      <c r="E10" s="11"/>
      <c r="F10" s="11"/>
      <c r="G10" s="133"/>
      <c r="H10" s="133"/>
      <c r="I10" s="11"/>
      <c r="J10" s="131" t="str">
        <f t="shared" si="12"/>
        <v/>
      </c>
      <c r="K10" s="131" t="str">
        <f t="shared" si="13"/>
        <v/>
      </c>
      <c r="L10" s="133"/>
      <c r="M10" s="120" t="str">
        <f>IF(E10="","",IF(E10="CP-1",IF('Concrete Plant (CP-1)'!$D$9&gt;0,'Concrete Plant (CP-1)'!$D$9*4024/2000,IF('Concrete Plant (CP-1)'!$D$10&gt;0,'Concrete Plant (CP-1)'!$D$10*365*4024/2000,"")),IF(E10="CP-2",IF('Concrete Plant (CP-2)'!$D$9&gt;0,'Concrete Plant (CP-2)'!$D$9*4024/2000,IF('Concrete Plant (CP-2)'!$C$10&gt;0,'Concrete Plant (CP-2)'!$C$10*365*4024/2000,"")),IF(E10="CP-3",IF('Concrete Plant (CP-3)'!$D$9&gt;0,'Concrete Plant (CP-3)'!$D$9*4024/2000,IF('Concrete Plant (CP-3)'!$D$10&gt;0,'Concrete Plant (CP-3)'!$D$10*365*4024/2000,"")),IF(E10="CP-4",IF('Concrete Plant (CP-4)'!$D$9&gt;0,'Concrete Plant (CP-4)'!$D$9*4024/2000,IF('Concrete Plant (CP-4)'!$D$10&gt;0,'Concrete Plant (CP-4)'!$D$10*365*4024/2000,"")),IF(E10="CP-5",IF('Concrete Plant (CP-5)'!$D$9&gt;0,'Concrete Plant (CP-5)'!$D$9*4024/2000,IF('Concrete Plant (CP-5)'!$D$10&gt;0,'Concrete Plant (CP-5)'!$D$10*365*4024/2000,"")),IF(E10="CP-6",IF('Concrete Plant (CP-6)'!$D$9&gt;0,'Concrete Plant (CP-6)'!$D$9*4024/2000,IF('Concrete Plant (CP-6)'!$D$10&gt;0,'Concrete Plant (CP-6)'!$D$10*365*4024/2000,"")),IF(E10="CP-7",IF('Concrete Plant (CP-7)'!$D$9&gt;0,'Concrete Plant (CP-7)'!$D$9*4024/2000,IF('Concrete Plant (CP-7)'!$D$10&gt;0,'Concrete Plant (CP-7)'!$D$10*365*4024/2000,"")),IF(E10="CP-8",IF('Concrete Plant (CP-8)'!$D$9&gt;0,'Concrete Plant (CP-8)'!$D$9*4024/2000,IF('Concrete Plant (CP-8)'!$D$10&gt;0,'Concrete Plant (CP-8)'!$D$10*365*4024/2000,"")),IF(E10="CP-9",IF('Concrete Plant (CP-9)'!$D$9&gt;0,'Concrete Plant (CP-9)'!$D$9*4024/2000,IF('Concrete Plant (CP-9)'!$D$10&gt;0,'Concrete Plant (CP-9)'!$D$10*365*4024/2000,"")),IF(E10="CP-10",IF('Concrete Plant (CP-10)'!$D$9&gt;0,'Concrete Plant (CP-10)'!$D$9*4024/2000,IF('Concrete Plant (CP-10)'!$D$10&gt;0,'Concrete Plant (CP-10)'!$D$10*365*4024/2000,"")))))))))))))</f>
        <v/>
      </c>
      <c r="N10" s="133"/>
      <c r="O10" s="133"/>
      <c r="P10" s="120" t="str">
        <f t="shared" si="0"/>
        <v/>
      </c>
      <c r="Q10" s="120" t="str">
        <f t="shared" si="14"/>
        <v/>
      </c>
      <c r="R10" s="11" t="str">
        <f t="shared" si="15"/>
        <v/>
      </c>
      <c r="S10" s="11" t="str">
        <f t="shared" si="1"/>
        <v/>
      </c>
      <c r="T10" s="151"/>
      <c r="U10" s="131" t="str">
        <f t="shared" si="2"/>
        <v/>
      </c>
      <c r="V10" s="131" t="str">
        <f t="shared" si="3"/>
        <v/>
      </c>
      <c r="W10" s="131" t="str">
        <f t="shared" si="4"/>
        <v/>
      </c>
      <c r="X10" s="131" t="str">
        <f t="shared" si="5"/>
        <v/>
      </c>
      <c r="Y10" s="131" t="str">
        <f t="shared" si="6"/>
        <v/>
      </c>
      <c r="Z10" s="131" t="str">
        <f t="shared" si="7"/>
        <v/>
      </c>
      <c r="AA10" s="131" t="str">
        <f t="shared" si="8"/>
        <v/>
      </c>
      <c r="AB10" s="131" t="str">
        <f t="shared" si="9"/>
        <v/>
      </c>
      <c r="AC10" s="131" t="str">
        <f t="shared" si="10"/>
        <v/>
      </c>
      <c r="AD10" s="131" t="str">
        <f t="shared" si="11"/>
        <v/>
      </c>
      <c r="AE10" s="6" t="str">
        <f t="shared" si="16"/>
        <v/>
      </c>
      <c r="AF10" s="154">
        <f t="array" ref="AF10">IF(AND('Concrete Plant (CP-4)'!$D$10="",'Concrete Plant (CP-4)'!$D$9=""),SUMIFS($X$7:$X$36,$E$7:$E$36,"CP-4",$AE$7:$AE$36,"x"),MAX(IF($E$7:$E$36="CP-4",IF($AE$7:$AE$36="x",$X$7:$X$36))))</f>
        <v>0</v>
      </c>
      <c r="AG10" s="154">
        <f t="array" ref="AG10">IF(AND('Concrete Plant (CP-4)'!$D$10="",'Concrete Plant (CP-4)'!$D$9=""),SUMIFS($X$7:$X$36,$E$7:$E$36,"CP-4",AE10:AE39,""),MAX(IF($E$7:$E$36="CP-4",IF($AE$7:$AE$36="",$X$7:$X$36))))</f>
        <v>0</v>
      </c>
      <c r="AH10" s="154">
        <f t="array" ref="AH10">IF(AND('Concrete Plant (CP-4)'!$D$10="",'Concrete Plant (CP-4)'!$D$9=""),SUMIFS($AC$7:$AC$36,$E$7:$E$36,"CP-4",$AE$7:$AE$36,"x"),MAX(IF($E$7:$E$36="CP-4",IF($AE$7:$AE$36="x",$AC$7:$AC$36))))</f>
        <v>0</v>
      </c>
      <c r="AI10" s="154">
        <f t="array" ref="AI10">IF(AND('Concrete Plant (CP-4)'!$D$10="",'Concrete Plant (CP-4)'!$D$9=""),SUMIFS($AC$7:$AC$36,$E$7:$E$36,"CP-4",$AE$7:$AE$36,""),MAX(IF($E$7:$E$36="CP-4",IF($AE$7:$AE$36="",$AC$7:$AC$36))))</f>
        <v>0</v>
      </c>
      <c r="AK10" s="119" t="s">
        <v>226</v>
      </c>
      <c r="AL10" s="131">
        <f t="array" ref="AL10">IF(AND('Concrete Plant (CP-2)'!$D$10="",'Concrete Plant (CP-2)'!$D$9=""),SUMIF($E$7:$E$36,"CP-2",$X$7:$X$36),MAX(IF($E$7:$E$36="CP-2",$X$7:$X$36)))</f>
        <v>0</v>
      </c>
      <c r="AM10" s="131">
        <f>SUMIF($E$7:$E$36,"CP-2",$Y$7:$Y$36)</f>
        <v>0</v>
      </c>
      <c r="AN10" s="131">
        <f t="array" ref="AN10">IF(AND('Concrete Plant (CP-2)'!$D$10="",'Concrete Plant (CP-2)'!$D$9=""),SUMIF($E$7:$E$36,"CP-2",$AC$7:$AC$36),MAX(IF($E$7:$E$36="CP-2",$AC$7:$AC$36)))</f>
        <v>0</v>
      </c>
      <c r="AO10" s="131">
        <f ca="1">SUMIF($E$7:$E437,"CP-2",$AD$7:$AD$36)</f>
        <v>0</v>
      </c>
    </row>
    <row r="11" spans="1:41" ht="13.5" customHeight="1" x14ac:dyDescent="0.25">
      <c r="A11" s="6" t="s">
        <v>127</v>
      </c>
      <c r="B11" s="55"/>
      <c r="C11" s="55"/>
      <c r="D11" s="11"/>
      <c r="E11" s="11"/>
      <c r="F11" s="11"/>
      <c r="G11" s="133"/>
      <c r="H11" s="133"/>
      <c r="I11" s="11"/>
      <c r="J11" s="131" t="str">
        <f t="shared" si="12"/>
        <v/>
      </c>
      <c r="K11" s="131" t="str">
        <f t="shared" si="13"/>
        <v/>
      </c>
      <c r="L11" s="133"/>
      <c r="M11" s="120" t="str">
        <f>IF(E11="","",IF(E11="CP-1",IF('Concrete Plant (CP-1)'!$D$9&gt;0,'Concrete Plant (CP-1)'!$D$9*4024/2000,IF('Concrete Plant (CP-1)'!$D$10&gt;0,'Concrete Plant (CP-1)'!$D$10*365*4024/2000,"")),IF(E11="CP-2",IF('Concrete Plant (CP-2)'!$D$9&gt;0,'Concrete Plant (CP-2)'!$D$9*4024/2000,IF('Concrete Plant (CP-2)'!$C$10&gt;0,'Concrete Plant (CP-2)'!$C$10*365*4024/2000,"")),IF(E11="CP-3",IF('Concrete Plant (CP-3)'!$D$9&gt;0,'Concrete Plant (CP-3)'!$D$9*4024/2000,IF('Concrete Plant (CP-3)'!$D$10&gt;0,'Concrete Plant (CP-3)'!$D$10*365*4024/2000,"")),IF(E11="CP-4",IF('Concrete Plant (CP-4)'!$D$9&gt;0,'Concrete Plant (CP-4)'!$D$9*4024/2000,IF('Concrete Plant (CP-4)'!$D$10&gt;0,'Concrete Plant (CP-4)'!$D$10*365*4024/2000,"")),IF(E11="CP-5",IF('Concrete Plant (CP-5)'!$D$9&gt;0,'Concrete Plant (CP-5)'!$D$9*4024/2000,IF('Concrete Plant (CP-5)'!$D$10&gt;0,'Concrete Plant (CP-5)'!$D$10*365*4024/2000,"")),IF(E11="CP-6",IF('Concrete Plant (CP-6)'!$D$9&gt;0,'Concrete Plant (CP-6)'!$D$9*4024/2000,IF('Concrete Plant (CP-6)'!$D$10&gt;0,'Concrete Plant (CP-6)'!$D$10*365*4024/2000,"")),IF(E11="CP-7",IF('Concrete Plant (CP-7)'!$D$9&gt;0,'Concrete Plant (CP-7)'!$D$9*4024/2000,IF('Concrete Plant (CP-7)'!$D$10&gt;0,'Concrete Plant (CP-7)'!$D$10*365*4024/2000,"")),IF(E11="CP-8",IF('Concrete Plant (CP-8)'!$D$9&gt;0,'Concrete Plant (CP-8)'!$D$9*4024/2000,IF('Concrete Plant (CP-8)'!$D$10&gt;0,'Concrete Plant (CP-8)'!$D$10*365*4024/2000,"")),IF(E11="CP-9",IF('Concrete Plant (CP-9)'!$D$9&gt;0,'Concrete Plant (CP-9)'!$D$9*4024/2000,IF('Concrete Plant (CP-9)'!$D$10&gt;0,'Concrete Plant (CP-9)'!$D$10*365*4024/2000,"")),IF(E11="CP-10",IF('Concrete Plant (CP-10)'!$D$9&gt;0,'Concrete Plant (CP-10)'!$D$9*4024/2000,IF('Concrete Plant (CP-10)'!$D$10&gt;0,'Concrete Plant (CP-10)'!$D$10*365*4024/2000,"")))))))))))))</f>
        <v/>
      </c>
      <c r="N11" s="133"/>
      <c r="O11" s="133"/>
      <c r="P11" s="120" t="str">
        <f t="shared" si="0"/>
        <v/>
      </c>
      <c r="Q11" s="120" t="str">
        <f t="shared" si="14"/>
        <v/>
      </c>
      <c r="R11" s="11" t="str">
        <f t="shared" si="15"/>
        <v/>
      </c>
      <c r="S11" s="11" t="str">
        <f t="shared" si="1"/>
        <v/>
      </c>
      <c r="T11" s="151"/>
      <c r="U11" s="131" t="str">
        <f t="shared" si="2"/>
        <v/>
      </c>
      <c r="V11" s="131" t="str">
        <f t="shared" si="3"/>
        <v/>
      </c>
      <c r="W11" s="131" t="str">
        <f t="shared" si="4"/>
        <v/>
      </c>
      <c r="X11" s="131" t="str">
        <f t="shared" si="5"/>
        <v/>
      </c>
      <c r="Y11" s="131" t="str">
        <f t="shared" si="6"/>
        <v/>
      </c>
      <c r="Z11" s="131" t="str">
        <f t="shared" si="7"/>
        <v/>
      </c>
      <c r="AA11" s="131" t="str">
        <f t="shared" si="8"/>
        <v/>
      </c>
      <c r="AB11" s="131" t="str">
        <f t="shared" si="9"/>
        <v/>
      </c>
      <c r="AC11" s="131" t="str">
        <f t="shared" si="10"/>
        <v/>
      </c>
      <c r="AD11" s="131" t="str">
        <f t="shared" si="11"/>
        <v/>
      </c>
      <c r="AE11" s="6" t="str">
        <f t="shared" si="16"/>
        <v/>
      </c>
      <c r="AF11" s="154">
        <f>IF(AND('Concrete Plant (CP-5)'!$D$10="",'Concrete Plant (CP-5)'!$D$9=""),SUMIFS($X$7:$X$36,$E$7:$E$36,"CP-5",$AE$7:$AE$36,"x"),MAX(IF($E$7:$E$36="CP-5",IF($AE$7:$AE$36="x",$X$7:$X$36))))</f>
        <v>0</v>
      </c>
      <c r="AG11" s="154">
        <f t="array" ref="AG11">IF(AND('Concrete Plant (CP-5)'!$D$10="",'Concrete Plant (CP-5)'!$D$9=""),SUMIFS($X$7:$X$36,$E$7:$E$36,"CP-5",AE11:AE40,""),MAX(IF($E$7:$E$36="CP-5",IF($AE$7:$AE$36="",$X$7:$X$36))))</f>
        <v>0</v>
      </c>
      <c r="AH11" s="154">
        <f t="array" ref="AH11">IF(AND('Concrete Plant (CP-5)'!$D$10="",'Concrete Plant (CP-5)'!$D$9=""),SUMIFS($AC$7:$AC$36,$E$7:$E$36,"CP-5",$AE$7:$AE$36,"x"),MAX(IF($E$7:$E$36="CP-5",IF($AE$7:$AE$36="x",$AC$7:$AC$36))))</f>
        <v>0</v>
      </c>
      <c r="AI11" s="154">
        <f t="array" ref="AI11">IF(AND('Concrete Plant (CP-5)'!$D$10="",'Concrete Plant (CP-5)'!$D$9=""),SUMIFS($AC$7:$AC$36,$E$7:$E$36,"CP-5",$AE$7:$AE$36,""),MAX(IF($E$7:$E$36="CP-5",IF($AE$7:$AE$36="",$AC$7:$AC$36))))</f>
        <v>0</v>
      </c>
      <c r="AK11" s="119" t="s">
        <v>227</v>
      </c>
      <c r="AL11" s="131">
        <f t="array" ref="AL11">IF(AND('Concrete Plant (CP-3)'!$D$10="",'Concrete Plant (CP-3)'!$D$9=""),SUMIF($E$7:$E$36,"CP-3",$X$7:$X$36),MAX(IF($E$7:$E$36="CP-3",$X$7:$X$36)))</f>
        <v>0</v>
      </c>
      <c r="AM11" s="131">
        <f>SUMIF($E$7:$E$36,"CP-3",$Y$7:$Y$36)</f>
        <v>0</v>
      </c>
      <c r="AN11" s="131">
        <f t="array" ref="AN11">IF(AND('Concrete Plant (CP-3)'!$D$10="",'Concrete Plant (CP-3)'!$D$9=""),SUMIF($E$7:$E$36,"CP-3",$AC$7:$AC$36),MAX(IF($E$7:$E$36="CP-3",$AC$7:$AC$36)))</f>
        <v>0</v>
      </c>
      <c r="AO11" s="131">
        <f ca="1">SUMIF($E$7:$E438,"CP-3",$AD$7:$AD$36)</f>
        <v>0</v>
      </c>
    </row>
    <row r="12" spans="1:41" ht="13.5" customHeight="1" x14ac:dyDescent="0.25">
      <c r="B12" s="55"/>
      <c r="C12" s="55"/>
      <c r="D12" s="11"/>
      <c r="E12" s="11"/>
      <c r="F12" s="11"/>
      <c r="G12" s="133"/>
      <c r="H12" s="133"/>
      <c r="I12" s="11"/>
      <c r="J12" s="131" t="str">
        <f t="shared" si="12"/>
        <v/>
      </c>
      <c r="K12" s="131" t="str">
        <f t="shared" si="13"/>
        <v/>
      </c>
      <c r="L12" s="133"/>
      <c r="M12" s="120" t="str">
        <f>IF(E12="","",IF(E12="CP-1",IF('Concrete Plant (CP-1)'!$D$9&gt;0,'Concrete Plant (CP-1)'!$D$9*4024/2000,IF('Concrete Plant (CP-1)'!$D$10&gt;0,'Concrete Plant (CP-1)'!$D$10*365*4024/2000,"")),IF(E12="CP-2",IF('Concrete Plant (CP-2)'!$D$9&gt;0,'Concrete Plant (CP-2)'!$D$9*4024/2000,IF('Concrete Plant (CP-2)'!$C$10&gt;0,'Concrete Plant (CP-2)'!$C$10*365*4024/2000,"")),IF(E12="CP-3",IF('Concrete Plant (CP-3)'!$D$9&gt;0,'Concrete Plant (CP-3)'!$D$9*4024/2000,IF('Concrete Plant (CP-3)'!$D$10&gt;0,'Concrete Plant (CP-3)'!$D$10*365*4024/2000,"")),IF(E12="CP-4",IF('Concrete Plant (CP-4)'!$D$9&gt;0,'Concrete Plant (CP-4)'!$D$9*4024/2000,IF('Concrete Plant (CP-4)'!$D$10&gt;0,'Concrete Plant (CP-4)'!$D$10*365*4024/2000,"")),IF(E12="CP-5",IF('Concrete Plant (CP-5)'!$D$9&gt;0,'Concrete Plant (CP-5)'!$D$9*4024/2000,IF('Concrete Plant (CP-5)'!$D$10&gt;0,'Concrete Plant (CP-5)'!$D$10*365*4024/2000,"")),IF(E12="CP-6",IF('Concrete Plant (CP-6)'!$D$9&gt;0,'Concrete Plant (CP-6)'!$D$9*4024/2000,IF('Concrete Plant (CP-6)'!$D$10&gt;0,'Concrete Plant (CP-6)'!$D$10*365*4024/2000,"")),IF(E12="CP-7",IF('Concrete Plant (CP-7)'!$D$9&gt;0,'Concrete Plant (CP-7)'!$D$9*4024/2000,IF('Concrete Plant (CP-7)'!$D$10&gt;0,'Concrete Plant (CP-7)'!$D$10*365*4024/2000,"")),IF(E12="CP-8",IF('Concrete Plant (CP-8)'!$D$9&gt;0,'Concrete Plant (CP-8)'!$D$9*4024/2000,IF('Concrete Plant (CP-8)'!$D$10&gt;0,'Concrete Plant (CP-8)'!$D$10*365*4024/2000,"")),IF(E12="CP-9",IF('Concrete Plant (CP-9)'!$D$9&gt;0,'Concrete Plant (CP-9)'!$D$9*4024/2000,IF('Concrete Plant (CP-9)'!$D$10&gt;0,'Concrete Plant (CP-9)'!$D$10*365*4024/2000,"")),IF(E12="CP-10",IF('Concrete Plant (CP-10)'!$D$9&gt;0,'Concrete Plant (CP-10)'!$D$9*4024/2000,IF('Concrete Plant (CP-10)'!$D$10&gt;0,'Concrete Plant (CP-10)'!$D$10*365*4024/2000,"")))))))))))))</f>
        <v/>
      </c>
      <c r="N12" s="133"/>
      <c r="O12" s="133"/>
      <c r="P12" s="120" t="str">
        <f t="shared" si="0"/>
        <v/>
      </c>
      <c r="Q12" s="120" t="str">
        <f t="shared" si="14"/>
        <v/>
      </c>
      <c r="R12" s="11" t="str">
        <f t="shared" si="15"/>
        <v/>
      </c>
      <c r="S12" s="11" t="str">
        <f t="shared" si="1"/>
        <v/>
      </c>
      <c r="T12" s="151"/>
      <c r="U12" s="131" t="str">
        <f t="shared" si="2"/>
        <v/>
      </c>
      <c r="V12" s="131" t="str">
        <f t="shared" si="3"/>
        <v/>
      </c>
      <c r="W12" s="131" t="str">
        <f t="shared" si="4"/>
        <v/>
      </c>
      <c r="X12" s="131" t="str">
        <f t="shared" si="5"/>
        <v/>
      </c>
      <c r="Y12" s="131" t="str">
        <f t="shared" si="6"/>
        <v/>
      </c>
      <c r="Z12" s="131" t="str">
        <f t="shared" si="7"/>
        <v/>
      </c>
      <c r="AA12" s="131" t="str">
        <f t="shared" si="8"/>
        <v/>
      </c>
      <c r="AB12" s="131" t="str">
        <f t="shared" si="9"/>
        <v/>
      </c>
      <c r="AC12" s="131" t="str">
        <f t="shared" si="10"/>
        <v/>
      </c>
      <c r="AD12" s="131" t="str">
        <f t="shared" si="11"/>
        <v/>
      </c>
      <c r="AE12" s="6" t="str">
        <f t="shared" si="16"/>
        <v/>
      </c>
      <c r="AF12" s="154">
        <f t="array" ref="AF12">IF(AND('Concrete Plant (CP-6)'!$D$10="",'Concrete Plant (CP-6)'!$D$9=""),SUMIFS($X$7:$X$36,$E$7:$E$36,"CP-6",$AE$7:$AE$36,"x"),MAX(IF($E$7:$E$36="CP-6",IF($AE$7:$AE$36="x",$X$7:$X$36))))</f>
        <v>0</v>
      </c>
      <c r="AG12" s="154">
        <f t="array" ref="AG12">IF(AND('Concrete Plant (CP-6)'!$D$10="",'Concrete Plant (CP-6)'!$D$9=""),SUMIFS($X$7:$X$36,$E$7:$E$36,"CP-6",AE12:AE41,""),MAX(IF($E$7:$E$36="CP-6",IF($AE$7:$AE$36="",$X$7:$X$36))))</f>
        <v>0</v>
      </c>
      <c r="AH12" s="154">
        <f t="array" ref="AH12">IF(AND('Concrete Plant (CP-6)'!$D$10="",'Concrete Plant (CP-6)'!$D$9=""),SUMIFS($AC$7:$AC$36,$E$7:$E$36,"CP-6",$AE$7:$AE$36,"x"),MAX(IF($E$7:$E$36="CP-6",IF($AE$7:$AE$36="x",$AC$7:$AC$36))))</f>
        <v>0</v>
      </c>
      <c r="AI12" s="154">
        <f t="array" ref="AI12">IF(AND('Concrete Plant (CP-6)'!$D$10="",'Concrete Plant (CP-6)'!$D$9=""),SUMIFS($AC$7:$AC$36,$E$7:$E$36,"CP-6",$AE$7:$AE$36,""),MAX(IF($E$7:$E$36="CP-6",IF($AE$7:$AE$36="",$AC$7:$AC$36))))</f>
        <v>0</v>
      </c>
      <c r="AK12" s="119" t="s">
        <v>228</v>
      </c>
      <c r="AL12" s="131">
        <f t="array" ref="AL12">IF(AND('Concrete Plant (CP-4)'!$D$10="",'Concrete Plant (CP-4)'!$D$9=""),SUMIF($E$7:$E$36,"CP-4",$X$7:$X$36),MAX(IF($E$7:$E$36="CP-4",$X$7:$X$36)))</f>
        <v>0</v>
      </c>
      <c r="AM12" s="131">
        <f>SUMIF($E$7:$E$36,"CP-4",$Y$7:$Y$36)</f>
        <v>0</v>
      </c>
      <c r="AN12" s="131">
        <f t="array" ref="AN12">IF(AND('Concrete Plant (CP-4)'!$D$10="",'Concrete Plant (CP-4)'!$D$9=""),SUMIF($E$7:$E$36,"CP-4",$AC$7:$AC$36),MAX(IF($E$7:$E$36="CP-4",$AC$7:$AC$36)))</f>
        <v>0</v>
      </c>
      <c r="AO12" s="131">
        <f ca="1">SUMIF($E$7:$E439,"CP-4",$AD$7:$AD$36)</f>
        <v>0</v>
      </c>
    </row>
    <row r="13" spans="1:41" ht="13.5" customHeight="1" x14ac:dyDescent="0.25">
      <c r="A13" s="6" t="str">
        <f>IF('Facility Information'!$C$21&gt;0,"CP-1","")</f>
        <v/>
      </c>
      <c r="B13" s="55"/>
      <c r="C13" s="55"/>
      <c r="D13" s="11"/>
      <c r="E13" s="11"/>
      <c r="F13" s="11"/>
      <c r="G13" s="133"/>
      <c r="H13" s="133"/>
      <c r="I13" s="11"/>
      <c r="J13" s="131" t="str">
        <f t="shared" si="12"/>
        <v/>
      </c>
      <c r="K13" s="131" t="str">
        <f t="shared" si="13"/>
        <v/>
      </c>
      <c r="L13" s="133"/>
      <c r="M13" s="120" t="str">
        <f>IF(E13="","",IF(E13="CP-1",IF('Concrete Plant (CP-1)'!$D$9&gt;0,'Concrete Plant (CP-1)'!$D$9*4024/2000,IF('Concrete Plant (CP-1)'!$D$10&gt;0,'Concrete Plant (CP-1)'!$D$10*365*4024/2000,"")),IF(E13="CP-2",IF('Concrete Plant (CP-2)'!$D$9&gt;0,'Concrete Plant (CP-2)'!$D$9*4024/2000,IF('Concrete Plant (CP-2)'!$C$10&gt;0,'Concrete Plant (CP-2)'!$C$10*365*4024/2000,"")),IF(E13="CP-3",IF('Concrete Plant (CP-3)'!$D$9&gt;0,'Concrete Plant (CP-3)'!$D$9*4024/2000,IF('Concrete Plant (CP-3)'!$D$10&gt;0,'Concrete Plant (CP-3)'!$D$10*365*4024/2000,"")),IF(E13="CP-4",IF('Concrete Plant (CP-4)'!$D$9&gt;0,'Concrete Plant (CP-4)'!$D$9*4024/2000,IF('Concrete Plant (CP-4)'!$D$10&gt;0,'Concrete Plant (CP-4)'!$D$10*365*4024/2000,"")),IF(E13="CP-5",IF('Concrete Plant (CP-5)'!$D$9&gt;0,'Concrete Plant (CP-5)'!$D$9*4024/2000,IF('Concrete Plant (CP-5)'!$D$10&gt;0,'Concrete Plant (CP-5)'!$D$10*365*4024/2000,"")),IF(E13="CP-6",IF('Concrete Plant (CP-6)'!$D$9&gt;0,'Concrete Plant (CP-6)'!$D$9*4024/2000,IF('Concrete Plant (CP-6)'!$D$10&gt;0,'Concrete Plant (CP-6)'!$D$10*365*4024/2000,"")),IF(E13="CP-7",IF('Concrete Plant (CP-7)'!$D$9&gt;0,'Concrete Plant (CP-7)'!$D$9*4024/2000,IF('Concrete Plant (CP-7)'!$D$10&gt;0,'Concrete Plant (CP-7)'!$D$10*365*4024/2000,"")),IF(E13="CP-8",IF('Concrete Plant (CP-8)'!$D$9&gt;0,'Concrete Plant (CP-8)'!$D$9*4024/2000,IF('Concrete Plant (CP-8)'!$D$10&gt;0,'Concrete Plant (CP-8)'!$D$10*365*4024/2000,"")),IF(E13="CP-9",IF('Concrete Plant (CP-9)'!$D$9&gt;0,'Concrete Plant (CP-9)'!$D$9*4024/2000,IF('Concrete Plant (CP-9)'!$D$10&gt;0,'Concrete Plant (CP-9)'!$D$10*365*4024/2000,"")),IF(E13="CP-10",IF('Concrete Plant (CP-10)'!$D$9&gt;0,'Concrete Plant (CP-10)'!$D$9*4024/2000,IF('Concrete Plant (CP-10)'!$D$10&gt;0,'Concrete Plant (CP-10)'!$D$10*365*4024/2000,"")))))))))))))</f>
        <v/>
      </c>
      <c r="N13" s="133"/>
      <c r="O13" s="133"/>
      <c r="P13" s="120" t="str">
        <f t="shared" si="0"/>
        <v/>
      </c>
      <c r="Q13" s="120" t="str">
        <f t="shared" si="14"/>
        <v/>
      </c>
      <c r="R13" s="11" t="str">
        <f t="shared" si="15"/>
        <v/>
      </c>
      <c r="S13" s="11" t="str">
        <f t="shared" si="1"/>
        <v/>
      </c>
      <c r="T13" s="151"/>
      <c r="U13" s="131" t="str">
        <f t="shared" si="2"/>
        <v/>
      </c>
      <c r="V13" s="131" t="str">
        <f t="shared" si="3"/>
        <v/>
      </c>
      <c r="W13" s="131" t="str">
        <f t="shared" si="4"/>
        <v/>
      </c>
      <c r="X13" s="131" t="str">
        <f t="shared" si="5"/>
        <v/>
      </c>
      <c r="Y13" s="131" t="str">
        <f t="shared" si="6"/>
        <v/>
      </c>
      <c r="Z13" s="131" t="str">
        <f t="shared" si="7"/>
        <v/>
      </c>
      <c r="AA13" s="131" t="str">
        <f t="shared" si="8"/>
        <v/>
      </c>
      <c r="AB13" s="131" t="str">
        <f t="shared" si="9"/>
        <v/>
      </c>
      <c r="AC13" s="131" t="str">
        <f t="shared" si="10"/>
        <v/>
      </c>
      <c r="AD13" s="131" t="str">
        <f t="shared" si="11"/>
        <v/>
      </c>
      <c r="AE13" s="6" t="str">
        <f t="shared" si="16"/>
        <v/>
      </c>
      <c r="AF13" s="154">
        <f t="array" ref="AF13">IF(AND('Concrete Plant (CP-7)'!$D$10="",'Concrete Plant (CP-7)'!$D$9=""),SUMIFS($X$7:$X$36,$E$7:$E$36,"CP-7",$AE$7:$AE$36,"x"),MAX(IF($E$7:$E$36="CP-7",IF($AE$7:$AE$36="x",$X$7:$X$36))))</f>
        <v>0</v>
      </c>
      <c r="AG13" s="154">
        <f t="array" ref="AG13">IF(AND('Concrete Plant (CP-7)'!$D$10="",'Concrete Plant (CP-7)'!$D$9=""),SUMIFS($X$7:$X$36,$E$7:$E$36,"CP-7",AE13:AE42,""),MAX(IF($E$7:$E$36="CP-7",IF($AE$7:$AE$36="",$X$7:$X$36))))</f>
        <v>0</v>
      </c>
      <c r="AH13" s="154">
        <f t="array" ref="AH13">IF(AND('Concrete Plant (CP-7)'!$D$10="",'Concrete Plant (CP-7)'!$D$9=""),SUMIFS($AC$7:$AC$36,$E$7:$E$36,"CP-7",$AE$7:$AE$36,"x"),MAX(IF($E$7:$E$36="CP-7",IF($AE$7:$AE$36="x",$AC$7:$AC$36))))</f>
        <v>0</v>
      </c>
      <c r="AI13" s="154">
        <f t="array" ref="AI13">IF(AND('Concrete Plant (CP-7)'!$D$10="",'Concrete Plant (CP-7)'!$D$9=""),SUMIFS($AC$7:$AC$36,$E$7:$E$36,"CP-7",$AE$7:$AE$36,""),MAX(IF($E$7:$E$36="CP-7",IF($AE$7:$AE$36="",$AC$7:$AC$36))))</f>
        <v>0</v>
      </c>
      <c r="AK13" s="119" t="s">
        <v>229</v>
      </c>
      <c r="AL13" s="131">
        <f t="array" ref="AL13">IF(AND('Concrete Plant (CP-5)'!$D$10="",'Concrete Plant (CP-5)'!$D$9=""),SUMIF($E$7:$E$36,"CP-5",$X$7:$X$36),MAX(IF($E$7:$E$36="CP-5",$X$7:$X$36)))</f>
        <v>0</v>
      </c>
      <c r="AM13" s="131">
        <f>SUMIF($E$7:$E$36,"CP-5",$Y$7:$Y$36)</f>
        <v>0</v>
      </c>
      <c r="AN13" s="131">
        <f t="array" ref="AN13">IF(AND('Concrete Plant (CP-5)'!$D$10="",'Concrete Plant (CP-5)'!$D$9=""),SUMIF($E$7:$E$36,"CP-5",$AC$7:$AC$36),MAX(IF($E$7:$E$36="CP-5",$AC$7:$AC$36)))</f>
        <v>0</v>
      </c>
      <c r="AO13" s="131">
        <f ca="1">SUMIF($E$7:$E440,"CP-5",$AD$7:$AD$36)</f>
        <v>0</v>
      </c>
    </row>
    <row r="14" spans="1:41" ht="13.5" customHeight="1" x14ac:dyDescent="0.25">
      <c r="A14" s="6" t="str">
        <f>IF('Facility Information'!$C$21&gt;1,"CP-2","")</f>
        <v/>
      </c>
      <c r="B14" s="55"/>
      <c r="C14" s="55"/>
      <c r="D14" s="11"/>
      <c r="E14" s="11"/>
      <c r="F14" s="11"/>
      <c r="G14" s="133"/>
      <c r="H14" s="133"/>
      <c r="I14" s="11"/>
      <c r="J14" s="131" t="str">
        <f t="shared" si="12"/>
        <v/>
      </c>
      <c r="K14" s="131" t="str">
        <f t="shared" si="13"/>
        <v/>
      </c>
      <c r="L14" s="133"/>
      <c r="M14" s="120" t="str">
        <f>IF(E14="","",IF(E14="CP-1",IF('Concrete Plant (CP-1)'!$D$9&gt;0,'Concrete Plant (CP-1)'!$D$9*4024/2000,IF('Concrete Plant (CP-1)'!$D$10&gt;0,'Concrete Plant (CP-1)'!$D$10*365*4024/2000,"")),IF(E14="CP-2",IF('Concrete Plant (CP-2)'!$D$9&gt;0,'Concrete Plant (CP-2)'!$D$9*4024/2000,IF('Concrete Plant (CP-2)'!$C$10&gt;0,'Concrete Plant (CP-2)'!$C$10*365*4024/2000,"")),IF(E14="CP-3",IF('Concrete Plant (CP-3)'!$D$9&gt;0,'Concrete Plant (CP-3)'!$D$9*4024/2000,IF('Concrete Plant (CP-3)'!$D$10&gt;0,'Concrete Plant (CP-3)'!$D$10*365*4024/2000,"")),IF(E14="CP-4",IF('Concrete Plant (CP-4)'!$D$9&gt;0,'Concrete Plant (CP-4)'!$D$9*4024/2000,IF('Concrete Plant (CP-4)'!$D$10&gt;0,'Concrete Plant (CP-4)'!$D$10*365*4024/2000,"")),IF(E14="CP-5",IF('Concrete Plant (CP-5)'!$D$9&gt;0,'Concrete Plant (CP-5)'!$D$9*4024/2000,IF('Concrete Plant (CP-5)'!$D$10&gt;0,'Concrete Plant (CP-5)'!$D$10*365*4024/2000,"")),IF(E14="CP-6",IF('Concrete Plant (CP-6)'!$D$9&gt;0,'Concrete Plant (CP-6)'!$D$9*4024/2000,IF('Concrete Plant (CP-6)'!$D$10&gt;0,'Concrete Plant (CP-6)'!$D$10*365*4024/2000,"")),IF(E14="CP-7",IF('Concrete Plant (CP-7)'!$D$9&gt;0,'Concrete Plant (CP-7)'!$D$9*4024/2000,IF('Concrete Plant (CP-7)'!$D$10&gt;0,'Concrete Plant (CP-7)'!$D$10*365*4024/2000,"")),IF(E14="CP-8",IF('Concrete Plant (CP-8)'!$D$9&gt;0,'Concrete Plant (CP-8)'!$D$9*4024/2000,IF('Concrete Plant (CP-8)'!$D$10&gt;0,'Concrete Plant (CP-8)'!$D$10*365*4024/2000,"")),IF(E14="CP-9",IF('Concrete Plant (CP-9)'!$D$9&gt;0,'Concrete Plant (CP-9)'!$D$9*4024/2000,IF('Concrete Plant (CP-9)'!$D$10&gt;0,'Concrete Plant (CP-9)'!$D$10*365*4024/2000,"")),IF(E14="CP-10",IF('Concrete Plant (CP-10)'!$D$9&gt;0,'Concrete Plant (CP-10)'!$D$9*4024/2000,IF('Concrete Plant (CP-10)'!$D$10&gt;0,'Concrete Plant (CP-10)'!$D$10*365*4024/2000,"")))))))))))))</f>
        <v/>
      </c>
      <c r="N14" s="133"/>
      <c r="O14" s="133"/>
      <c r="P14" s="120" t="str">
        <f t="shared" si="0"/>
        <v/>
      </c>
      <c r="Q14" s="120" t="str">
        <f t="shared" si="14"/>
        <v/>
      </c>
      <c r="R14" s="11" t="str">
        <f t="shared" si="15"/>
        <v/>
      </c>
      <c r="S14" s="11" t="str">
        <f t="shared" si="1"/>
        <v/>
      </c>
      <c r="T14" s="151"/>
      <c r="U14" s="131" t="str">
        <f t="shared" si="2"/>
        <v/>
      </c>
      <c r="V14" s="131" t="str">
        <f t="shared" si="3"/>
        <v/>
      </c>
      <c r="W14" s="131" t="str">
        <f t="shared" si="4"/>
        <v/>
      </c>
      <c r="X14" s="131" t="str">
        <f t="shared" si="5"/>
        <v/>
      </c>
      <c r="Y14" s="131" t="str">
        <f t="shared" si="6"/>
        <v/>
      </c>
      <c r="Z14" s="131" t="str">
        <f t="shared" si="7"/>
        <v/>
      </c>
      <c r="AA14" s="131" t="str">
        <f t="shared" si="8"/>
        <v/>
      </c>
      <c r="AB14" s="131" t="str">
        <f t="shared" si="9"/>
        <v/>
      </c>
      <c r="AC14" s="131" t="str">
        <f t="shared" si="10"/>
        <v/>
      </c>
      <c r="AD14" s="131" t="str">
        <f t="shared" si="11"/>
        <v/>
      </c>
      <c r="AE14" s="6" t="str">
        <f t="shared" si="16"/>
        <v/>
      </c>
      <c r="AF14" s="154">
        <f t="array" ref="AF14">IF(AND('Concrete Plant (CP-8)'!$D$10="",'Concrete Plant (CP-8)'!$D$9=""),SUMIFS($X$7:$X$36,$E$7:$E$36,"CP-8",$AE$7:$AE$36,"x"),MAX(IF($E$7:$E$36="CP-8",IF($AE$7:$AE$36="x",$X$7:$X$36))))</f>
        <v>0</v>
      </c>
      <c r="AG14" s="154">
        <f t="array" ref="AG14">IF(AND('Concrete Plant (CP-8)'!$D$10="",'Concrete Plant (CP-8)'!$D$9=""),SUMIFS($X$7:$X$36,$E$7:$E$36,"CP-8",AE14:AE43,""),MAX(IF($E$7:$E$36="CP-8",IF($AE$7:$AE$36="",$X$7:$X$36))))</f>
        <v>0</v>
      </c>
      <c r="AH14" s="154">
        <f t="array" ref="AH14">IF(AND('Concrete Plant (CP-8)'!$D$10="",'Concrete Plant (CP-8)'!$D$9=""),SUMIFS($AC$7:$AC$36,$E$7:$E$36,"CP-8",$AE$7:$AE$36,"x"),MAX(IF($E$7:$E$36="CP-8",IF($AE$7:$AE$36="x",$AC$7:$AC$36))))</f>
        <v>0</v>
      </c>
      <c r="AI14" s="154">
        <f t="array" ref="AI14">IF(AND('Concrete Plant (CP-8)'!$D$10="",'Concrete Plant (CP-8)'!$D$9=""),SUMIFS($AC$7:$AC$36,$E$7:$E$36,"CP-8",$AE$7:$AE$36,""),MAX(IF($E$7:$E$36="CP-8",IF($AE$7:$AE$36="",$AC$7:$AC$36))))</f>
        <v>0</v>
      </c>
      <c r="AK14" s="119" t="s">
        <v>230</v>
      </c>
      <c r="AL14" s="131">
        <f t="array" ref="AL14">IF(AND('Concrete Plant (CP-6)'!$D$10="",'Concrete Plant (CP-6)'!$D$9=""),SUMIF($E$7:$E$36,"CP-6",$X$7:$X$36),MAX(IF($E$7:$E$36="CP-6",$X$7:$X$36)))</f>
        <v>0</v>
      </c>
      <c r="AM14" s="131">
        <f>SUMIF($E$7:$E$36,"CP-6",$Y$7:$Y$36)</f>
        <v>0</v>
      </c>
      <c r="AN14" s="131">
        <f t="array" ref="AN14">IF(AND('Concrete Plant (CP-6)'!$D$10="",'Concrete Plant (CP-6)'!$D$9=""),SUMIF($E$7:$E$36,"CP-6",$AC$7:$AC$36),MAX(IF($E$7:$E$36="CP-6",$AC$7:$AC$36)))</f>
        <v>0</v>
      </c>
      <c r="AO14" s="131">
        <f ca="1">SUMIF($E$7:$E441,"CP-6",$AD$7:$AD$36)</f>
        <v>0</v>
      </c>
    </row>
    <row r="15" spans="1:41" ht="13.5" customHeight="1" x14ac:dyDescent="0.25">
      <c r="A15" s="6" t="str">
        <f>IF('Facility Information'!$C$21&gt;2,"CP-3","")</f>
        <v/>
      </c>
      <c r="B15" s="55"/>
      <c r="C15" s="55"/>
      <c r="D15" s="11"/>
      <c r="E15" s="11"/>
      <c r="F15" s="11"/>
      <c r="G15" s="133"/>
      <c r="H15" s="133"/>
      <c r="I15" s="11"/>
      <c r="J15" s="131" t="str">
        <f t="shared" si="12"/>
        <v/>
      </c>
      <c r="K15" s="131" t="str">
        <f t="shared" si="13"/>
        <v/>
      </c>
      <c r="L15" s="133"/>
      <c r="M15" s="120" t="str">
        <f>IF(E15="","",IF(E15="CP-1",IF('Concrete Plant (CP-1)'!$D$9&gt;0,'Concrete Plant (CP-1)'!$D$9*4024/2000,IF('Concrete Plant (CP-1)'!$D$10&gt;0,'Concrete Plant (CP-1)'!$D$10*365*4024/2000,"")),IF(E15="CP-2",IF('Concrete Plant (CP-2)'!$D$9&gt;0,'Concrete Plant (CP-2)'!$D$9*4024/2000,IF('Concrete Plant (CP-2)'!$C$10&gt;0,'Concrete Plant (CP-2)'!$C$10*365*4024/2000,"")),IF(E15="CP-3",IF('Concrete Plant (CP-3)'!$D$9&gt;0,'Concrete Plant (CP-3)'!$D$9*4024/2000,IF('Concrete Plant (CP-3)'!$D$10&gt;0,'Concrete Plant (CP-3)'!$D$10*365*4024/2000,"")),IF(E15="CP-4",IF('Concrete Plant (CP-4)'!$D$9&gt;0,'Concrete Plant (CP-4)'!$D$9*4024/2000,IF('Concrete Plant (CP-4)'!$D$10&gt;0,'Concrete Plant (CP-4)'!$D$10*365*4024/2000,"")),IF(E15="CP-5",IF('Concrete Plant (CP-5)'!$D$9&gt;0,'Concrete Plant (CP-5)'!$D$9*4024/2000,IF('Concrete Plant (CP-5)'!$D$10&gt;0,'Concrete Plant (CP-5)'!$D$10*365*4024/2000,"")),IF(E15="CP-6",IF('Concrete Plant (CP-6)'!$D$9&gt;0,'Concrete Plant (CP-6)'!$D$9*4024/2000,IF('Concrete Plant (CP-6)'!$D$10&gt;0,'Concrete Plant (CP-6)'!$D$10*365*4024/2000,"")),IF(E15="CP-7",IF('Concrete Plant (CP-7)'!$D$9&gt;0,'Concrete Plant (CP-7)'!$D$9*4024/2000,IF('Concrete Plant (CP-7)'!$D$10&gt;0,'Concrete Plant (CP-7)'!$D$10*365*4024/2000,"")),IF(E15="CP-8",IF('Concrete Plant (CP-8)'!$D$9&gt;0,'Concrete Plant (CP-8)'!$D$9*4024/2000,IF('Concrete Plant (CP-8)'!$D$10&gt;0,'Concrete Plant (CP-8)'!$D$10*365*4024/2000,"")),IF(E15="CP-9",IF('Concrete Plant (CP-9)'!$D$9&gt;0,'Concrete Plant (CP-9)'!$D$9*4024/2000,IF('Concrete Plant (CP-9)'!$D$10&gt;0,'Concrete Plant (CP-9)'!$D$10*365*4024/2000,"")),IF(E15="CP-10",IF('Concrete Plant (CP-10)'!$D$9&gt;0,'Concrete Plant (CP-10)'!$D$9*4024/2000,IF('Concrete Plant (CP-10)'!$D$10&gt;0,'Concrete Plant (CP-10)'!$D$10*365*4024/2000,"")))))))))))))</f>
        <v/>
      </c>
      <c r="N15" s="133"/>
      <c r="O15" s="133"/>
      <c r="P15" s="120" t="str">
        <f t="shared" si="0"/>
        <v/>
      </c>
      <c r="Q15" s="120" t="str">
        <f t="shared" si="14"/>
        <v/>
      </c>
      <c r="R15" s="11" t="str">
        <f t="shared" si="15"/>
        <v/>
      </c>
      <c r="S15" s="11" t="str">
        <f t="shared" si="1"/>
        <v/>
      </c>
      <c r="T15" s="151"/>
      <c r="U15" s="131" t="str">
        <f t="shared" si="2"/>
        <v/>
      </c>
      <c r="V15" s="131" t="str">
        <f t="shared" si="3"/>
        <v/>
      </c>
      <c r="W15" s="131" t="str">
        <f t="shared" si="4"/>
        <v/>
      </c>
      <c r="X15" s="131" t="str">
        <f t="shared" si="5"/>
        <v/>
      </c>
      <c r="Y15" s="131" t="str">
        <f t="shared" si="6"/>
        <v/>
      </c>
      <c r="Z15" s="131" t="str">
        <f t="shared" si="7"/>
        <v/>
      </c>
      <c r="AA15" s="131" t="str">
        <f t="shared" si="8"/>
        <v/>
      </c>
      <c r="AB15" s="131" t="str">
        <f t="shared" si="9"/>
        <v/>
      </c>
      <c r="AC15" s="131" t="str">
        <f t="shared" si="10"/>
        <v/>
      </c>
      <c r="AD15" s="131" t="str">
        <f t="shared" si="11"/>
        <v/>
      </c>
      <c r="AE15" s="6" t="str">
        <f t="shared" si="16"/>
        <v/>
      </c>
      <c r="AF15" s="154">
        <f t="array" ref="AF15">IF(AND('Concrete Plant (CP-9)'!$D$10="",'Concrete Plant (CP-9)'!$D$9=""),SUMIFS($X$7:$X$36,$E$7:$E$36,"CP-9",$AE$7:$AE$36,"x"),MAX(IF($E$7:$E$36="CP-9",IF($AE$7:$AE$36="x",$X$7:$X$36))))</f>
        <v>0</v>
      </c>
      <c r="AG15" s="154">
        <f t="array" ref="AG15">IF(AND('Concrete Plant (CP-9)'!$D$10="",'Concrete Plant (CP-9)'!$D$9=""),SUMIFS($X$7:$X$36,$E$7:$E$36,"CP-9",AE15:AE44,""),MAX(IF($E$7:$E$36="CP-9",IF($AE$7:$AE$36="",$X$7:$X$36))))</f>
        <v>0</v>
      </c>
      <c r="AH15" s="154">
        <f t="array" ref="AH15">IF(AND('Concrete Plant (CP-9)'!$D$10="",'Concrete Plant (CP-9)'!$D$9=""),SUMIFS($AC$7:$AC$36,$E$7:$E$36,"CP-9",$AE$7:$AE$36,"x"),MAX(IF($E$7:$E$36="CP-9",IF($AE$7:$AE$36="x",$AC$7:$AC$36))))</f>
        <v>0</v>
      </c>
      <c r="AI15" s="154">
        <f t="array" ref="AI15">IF(AND('Concrete Plant (CP-9)'!$D$10="",'Concrete Plant (CP-9)'!$D$9=""),SUMIFS($AC$7:$AC$36,$E$7:$E$36,"CP-9",$AE$7:$AE$36,""),MAX(IF($E$7:$E$36="CP-9",IF($AE$7:$AE$36="",$AC$7:$AC$36))))</f>
        <v>0</v>
      </c>
      <c r="AK15" s="119" t="s">
        <v>231</v>
      </c>
      <c r="AL15" s="131">
        <f t="array" ref="AL15">IF(AND('Concrete Plant (CP-7)'!$D$10="",'Concrete Plant (CP-7)'!$D$9=""),SUMIF($E$7:$E$36,"CP-7",$X$7:$X$36),MAX(IF($E$7:$E$36="CP-7",$X$7:$X$36)))</f>
        <v>0</v>
      </c>
      <c r="AM15" s="131">
        <f>SUMIF($E$7:$E$36,"CP-7",$Y$7:$Y$36)</f>
        <v>0</v>
      </c>
      <c r="AN15" s="131">
        <f t="array" ref="AN15">IF(AND('Concrete Plant (CP-7)'!$D$10="",'Concrete Plant (CP-7)'!$D$9=""),SUMIF($E$7:$E$36,"CP-7",$AC$7:$AC$36),MAX(IF($E$7:$E$36="CP-7",$AC$7:$AC$36)))</f>
        <v>0</v>
      </c>
      <c r="AO15" s="131">
        <f ca="1">SUMIF($E$7:$E442,"CP-7",$AD$7:$AD$36)</f>
        <v>0</v>
      </c>
    </row>
    <row r="16" spans="1:41" ht="13.5" customHeight="1" x14ac:dyDescent="0.25">
      <c r="A16" s="6" t="str">
        <f>IF('Facility Information'!$C$21&gt;3,"CP-4","")</f>
        <v/>
      </c>
      <c r="B16" s="55"/>
      <c r="C16" s="55"/>
      <c r="D16" s="11"/>
      <c r="E16" s="11"/>
      <c r="F16" s="11"/>
      <c r="G16" s="133"/>
      <c r="H16" s="133"/>
      <c r="I16" s="11"/>
      <c r="J16" s="131" t="str">
        <f t="shared" si="12"/>
        <v/>
      </c>
      <c r="K16" s="131" t="str">
        <f t="shared" si="13"/>
        <v/>
      </c>
      <c r="L16" s="133"/>
      <c r="M16" s="120" t="str">
        <f>IF(E16="","",IF(E16="CP-1",IF('Concrete Plant (CP-1)'!$D$9&gt;0,'Concrete Plant (CP-1)'!$D$9*4024/2000,IF('Concrete Plant (CP-1)'!$D$10&gt;0,'Concrete Plant (CP-1)'!$D$10*365*4024/2000,"")),IF(E16="CP-2",IF('Concrete Plant (CP-2)'!$D$9&gt;0,'Concrete Plant (CP-2)'!$D$9*4024/2000,IF('Concrete Plant (CP-2)'!$C$10&gt;0,'Concrete Plant (CP-2)'!$C$10*365*4024/2000,"")),IF(E16="CP-3",IF('Concrete Plant (CP-3)'!$D$9&gt;0,'Concrete Plant (CP-3)'!$D$9*4024/2000,IF('Concrete Plant (CP-3)'!$D$10&gt;0,'Concrete Plant (CP-3)'!$D$10*365*4024/2000,"")),IF(E16="CP-4",IF('Concrete Plant (CP-4)'!$D$9&gt;0,'Concrete Plant (CP-4)'!$D$9*4024/2000,IF('Concrete Plant (CP-4)'!$D$10&gt;0,'Concrete Plant (CP-4)'!$D$10*365*4024/2000,"")),IF(E16="CP-5",IF('Concrete Plant (CP-5)'!$D$9&gt;0,'Concrete Plant (CP-5)'!$D$9*4024/2000,IF('Concrete Plant (CP-5)'!$D$10&gt;0,'Concrete Plant (CP-5)'!$D$10*365*4024/2000,"")),IF(E16="CP-6",IF('Concrete Plant (CP-6)'!$D$9&gt;0,'Concrete Plant (CP-6)'!$D$9*4024/2000,IF('Concrete Plant (CP-6)'!$D$10&gt;0,'Concrete Plant (CP-6)'!$D$10*365*4024/2000,"")),IF(E16="CP-7",IF('Concrete Plant (CP-7)'!$D$9&gt;0,'Concrete Plant (CP-7)'!$D$9*4024/2000,IF('Concrete Plant (CP-7)'!$D$10&gt;0,'Concrete Plant (CP-7)'!$D$10*365*4024/2000,"")),IF(E16="CP-8",IF('Concrete Plant (CP-8)'!$D$9&gt;0,'Concrete Plant (CP-8)'!$D$9*4024/2000,IF('Concrete Plant (CP-8)'!$D$10&gt;0,'Concrete Plant (CP-8)'!$D$10*365*4024/2000,"")),IF(E16="CP-9",IF('Concrete Plant (CP-9)'!$D$9&gt;0,'Concrete Plant (CP-9)'!$D$9*4024/2000,IF('Concrete Plant (CP-9)'!$D$10&gt;0,'Concrete Plant (CP-9)'!$D$10*365*4024/2000,"")),IF(E16="CP-10",IF('Concrete Plant (CP-10)'!$D$9&gt;0,'Concrete Plant (CP-10)'!$D$9*4024/2000,IF('Concrete Plant (CP-10)'!$D$10&gt;0,'Concrete Plant (CP-10)'!$D$10*365*4024/2000,"")))))))))))))</f>
        <v/>
      </c>
      <c r="N16" s="133"/>
      <c r="O16" s="133"/>
      <c r="P16" s="120" t="str">
        <f t="shared" si="0"/>
        <v/>
      </c>
      <c r="Q16" s="120" t="str">
        <f t="shared" si="14"/>
        <v/>
      </c>
      <c r="R16" s="11" t="str">
        <f t="shared" si="15"/>
        <v/>
      </c>
      <c r="S16" s="11" t="str">
        <f t="shared" si="1"/>
        <v/>
      </c>
      <c r="T16" s="151"/>
      <c r="U16" s="131" t="str">
        <f t="shared" si="2"/>
        <v/>
      </c>
      <c r="V16" s="131" t="str">
        <f t="shared" si="3"/>
        <v/>
      </c>
      <c r="W16" s="131" t="str">
        <f t="shared" si="4"/>
        <v/>
      </c>
      <c r="X16" s="131" t="str">
        <f t="shared" si="5"/>
        <v/>
      </c>
      <c r="Y16" s="131" t="str">
        <f t="shared" si="6"/>
        <v/>
      </c>
      <c r="Z16" s="131" t="str">
        <f t="shared" si="7"/>
        <v/>
      </c>
      <c r="AA16" s="131" t="str">
        <f t="shared" si="8"/>
        <v/>
      </c>
      <c r="AB16" s="131" t="str">
        <f t="shared" si="9"/>
        <v/>
      </c>
      <c r="AC16" s="131" t="str">
        <f t="shared" si="10"/>
        <v/>
      </c>
      <c r="AD16" s="131" t="str">
        <f t="shared" si="11"/>
        <v/>
      </c>
      <c r="AE16" s="6" t="str">
        <f t="shared" si="16"/>
        <v/>
      </c>
      <c r="AF16" s="154">
        <f t="array" ref="AF16">IF(AND('Concrete Plant (CP-10)'!$D$10="",'Concrete Plant (CP-10)'!$D$9=""),SUMIFS($X$7:$X$36,$E$7:$E$36,"CP-10",$AE$7:$AE$36,"x"),MAX(IF($E$7:$E$36="CP-10",IF($AE$7:$AE$36="x",$X$7:$X$36))))</f>
        <v>0</v>
      </c>
      <c r="AG16" s="154">
        <f t="array" ref="AG16">IF(AND('Concrete Plant (CP-10)'!$D$10="",'Concrete Plant (CP-10)'!$D$9=""),SUMIFS($X$7:$X$36,$E$7:$E$36,"CP-10",AE16:AE45,""),MAX(IF($E$7:$E$36="CP-10",IF($AE$7:$AE$36="",$X$7:$X$36))))</f>
        <v>0</v>
      </c>
      <c r="AH16" s="154">
        <f t="array" ref="AH16">IF(AND('Concrete Plant (CP-10)'!$D$10="",'Concrete Plant (CP-10)'!$D$9=""),SUMIFS($AC$7:$AC$36,$E$7:$E$36,"CP-10",$AE$7:$AE$36,"x"),MAX(IF($E$7:$E$36="CP-10",IF($AE$7:$AE$36="x",$AC$7:$AC$36))))</f>
        <v>0</v>
      </c>
      <c r="AI16" s="154">
        <f t="array" ref="AI16">IF(AND('Concrete Plant (CP-10)'!$D$10="",'Concrete Plant (CP-10)'!$D$9=""),SUMIFS($AC$7:$AC$36,$E$7:$E$36,"CP-10",$AE$7:$AE$36,""),MAX(IF($E$7:$E$36="CP-10",IF($AE$7:$AE$36="",$AC$7:$AC$36))))</f>
        <v>0</v>
      </c>
      <c r="AK16" s="119" t="s">
        <v>232</v>
      </c>
      <c r="AL16" s="131">
        <f t="array" ref="AL16">IF(AND('Concrete Plant (CP-8)'!$D$10="",'Concrete Plant (CP-8)'!$D$9=""),SUMIF($E$7:$E$36,"CP-8",$X$7:$X$36),MAX(IF($E$7:$E$36="CP-8",$X$7:$X$36)))</f>
        <v>0</v>
      </c>
      <c r="AM16" s="131">
        <f>SUMIF($E$7:$E$36,"CP-8",$Y$7:$Y$36)</f>
        <v>0</v>
      </c>
      <c r="AN16" s="131">
        <f t="array" ref="AN16">IF(AND('Concrete Plant (CP-8)'!$D$10="",'Concrete Plant (CP-8)'!$D$9=""),SUMIF($E$7:$E$36,"CP-8",$AC$7:$AC$36),MAX(IF($E$7:$E$36="CP-8",$AC$7:$AC$36)))</f>
        <v>0</v>
      </c>
      <c r="AO16" s="131">
        <f ca="1">SUMIF($E$7:$E443,"CP-8",$AD$7:$AD$36)</f>
        <v>0</v>
      </c>
    </row>
    <row r="17" spans="1:41" ht="13.5" customHeight="1" x14ac:dyDescent="0.25">
      <c r="A17" s="6" t="str">
        <f>IF('Facility Information'!$C$21&gt;4,"CP-5","")</f>
        <v/>
      </c>
      <c r="B17" s="55"/>
      <c r="C17" s="55"/>
      <c r="D17" s="11"/>
      <c r="E17" s="11"/>
      <c r="F17" s="11"/>
      <c r="G17" s="133"/>
      <c r="H17" s="133"/>
      <c r="I17" s="11"/>
      <c r="J17" s="131" t="str">
        <f t="shared" ref="J17:J26" si="17">IF(G17="","",(G17*(I17/100)+H17*(1-(I17/100))))</f>
        <v/>
      </c>
      <c r="K17" s="131" t="str">
        <f t="shared" ref="K17:K26" si="18">IF(G17="","",H17-G17)</f>
        <v/>
      </c>
      <c r="L17" s="133"/>
      <c r="M17" s="120" t="str">
        <f>IF(E17="","",IF(E17="CP-1",IF('Concrete Plant (CP-1)'!$D$9&gt;0,'Concrete Plant (CP-1)'!$D$9*4024/2000,IF('Concrete Plant (CP-1)'!$D$10&gt;0,'Concrete Plant (CP-1)'!$D$10*365*4024/2000,"")),IF(E17="CP-2",IF('Concrete Plant (CP-2)'!$D$9&gt;0,'Concrete Plant (CP-2)'!$D$9*4024/2000,IF('Concrete Plant (CP-2)'!$C$10&gt;0,'Concrete Plant (CP-2)'!$C$10*365*4024/2000,"")),IF(E17="CP-3",IF('Concrete Plant (CP-3)'!$D$9&gt;0,'Concrete Plant (CP-3)'!$D$9*4024/2000,IF('Concrete Plant (CP-3)'!$D$10&gt;0,'Concrete Plant (CP-3)'!$D$10*365*4024/2000,"")),IF(E17="CP-4",IF('Concrete Plant (CP-4)'!$D$9&gt;0,'Concrete Plant (CP-4)'!$D$9*4024/2000,IF('Concrete Plant (CP-4)'!$D$10&gt;0,'Concrete Plant (CP-4)'!$D$10*365*4024/2000,"")),IF(E17="CP-5",IF('Concrete Plant (CP-5)'!$D$9&gt;0,'Concrete Plant (CP-5)'!$D$9*4024/2000,IF('Concrete Plant (CP-5)'!$D$10&gt;0,'Concrete Plant (CP-5)'!$D$10*365*4024/2000,"")),IF(E17="CP-6",IF('Concrete Plant (CP-6)'!$D$9&gt;0,'Concrete Plant (CP-6)'!$D$9*4024/2000,IF('Concrete Plant (CP-6)'!$D$10&gt;0,'Concrete Plant (CP-6)'!$D$10*365*4024/2000,"")),IF(E17="CP-7",IF('Concrete Plant (CP-7)'!$D$9&gt;0,'Concrete Plant (CP-7)'!$D$9*4024/2000,IF('Concrete Plant (CP-7)'!$D$10&gt;0,'Concrete Plant (CP-7)'!$D$10*365*4024/2000,"")),IF(E17="CP-8",IF('Concrete Plant (CP-8)'!$D$9&gt;0,'Concrete Plant (CP-8)'!$D$9*4024/2000,IF('Concrete Plant (CP-8)'!$D$10&gt;0,'Concrete Plant (CP-8)'!$D$10*365*4024/2000,"")),IF(E17="CP-9",IF('Concrete Plant (CP-9)'!$D$9&gt;0,'Concrete Plant (CP-9)'!$D$9*4024/2000,IF('Concrete Plant (CP-9)'!$D$10&gt;0,'Concrete Plant (CP-9)'!$D$10*365*4024/2000,"")),IF(E17="CP-10",IF('Concrete Plant (CP-10)'!$D$9&gt;0,'Concrete Plant (CP-10)'!$D$9*4024/2000,IF('Concrete Plant (CP-10)'!$D$10&gt;0,'Concrete Plant (CP-10)'!$D$10*365*4024/2000,"")))))))))))))</f>
        <v/>
      </c>
      <c r="N17" s="133"/>
      <c r="O17" s="133"/>
      <c r="P17" s="120" t="str">
        <f t="shared" si="0"/>
        <v/>
      </c>
      <c r="Q17" s="120" t="str">
        <f t="shared" ref="Q17:Q26" si="19">IF(O17="","",O17/K17)</f>
        <v/>
      </c>
      <c r="R17" s="11" t="str">
        <f t="shared" si="15"/>
        <v/>
      </c>
      <c r="S17" s="11" t="str">
        <f t="shared" si="1"/>
        <v/>
      </c>
      <c r="T17" s="151"/>
      <c r="U17" s="131" t="str">
        <f t="shared" si="2"/>
        <v/>
      </c>
      <c r="V17" s="131" t="str">
        <f t="shared" si="3"/>
        <v/>
      </c>
      <c r="W17" s="131" t="str">
        <f t="shared" si="4"/>
        <v/>
      </c>
      <c r="X17" s="131" t="str">
        <f t="shared" si="5"/>
        <v/>
      </c>
      <c r="Y17" s="131" t="str">
        <f t="shared" si="6"/>
        <v/>
      </c>
      <c r="Z17" s="131" t="str">
        <f t="shared" si="7"/>
        <v/>
      </c>
      <c r="AA17" s="131" t="str">
        <f t="shared" si="8"/>
        <v/>
      </c>
      <c r="AB17" s="131" t="str">
        <f t="shared" si="9"/>
        <v/>
      </c>
      <c r="AC17" s="131" t="str">
        <f t="shared" si="10"/>
        <v/>
      </c>
      <c r="AD17" s="131" t="str">
        <f t="shared" si="11"/>
        <v/>
      </c>
      <c r="AE17" s="6" t="str">
        <f t="shared" ref="AE17:AE26" si="20">IF(B17="unpaved haul road","x","")</f>
        <v/>
      </c>
      <c r="AK17" s="119" t="s">
        <v>233</v>
      </c>
      <c r="AL17" s="131">
        <f t="array" ref="AL17">IF(AND('Concrete Plant (CP-9)'!$D$10="",'Concrete Plant (CP-9)'!$D$9=""),SUMIF($E$7:$E$36,"CP-9",$X$7:$X$36),MAX(IF($E$7:$E$36="CP-9",$X$7:$X$36)))</f>
        <v>0</v>
      </c>
      <c r="AM17" s="131">
        <f>SUMIF($E$7:$E$36,"CP-9",$Y$7:$Y$36)</f>
        <v>0</v>
      </c>
      <c r="AN17" s="131">
        <f t="array" ref="AN17">IF(AND('Concrete Plant (CP-9)'!$D$10="",'Concrete Plant (CP-9)'!$D$9=""),SUMIF($E$7:$E$36,"CP-9",$AC$7:$AC$36),MAX(IF($E$7:$E$36="CP-9",$AC$7:$AC$36)))</f>
        <v>0</v>
      </c>
      <c r="AO17" s="131">
        <f ca="1">SUMIF($E$7:$E444,"CP-9",$AD$7:$AD$36)</f>
        <v>0</v>
      </c>
    </row>
    <row r="18" spans="1:41" ht="13.5" customHeight="1" x14ac:dyDescent="0.25">
      <c r="A18" s="6" t="str">
        <f>IF('Facility Information'!$C$21&gt;5,"CP-6","")</f>
        <v/>
      </c>
      <c r="B18" s="55"/>
      <c r="C18" s="55"/>
      <c r="D18" s="11"/>
      <c r="E18" s="11"/>
      <c r="F18" s="11"/>
      <c r="G18" s="133"/>
      <c r="H18" s="133"/>
      <c r="I18" s="11"/>
      <c r="J18" s="131" t="str">
        <f t="shared" si="17"/>
        <v/>
      </c>
      <c r="K18" s="131" t="str">
        <f t="shared" si="18"/>
        <v/>
      </c>
      <c r="L18" s="133"/>
      <c r="M18" s="120" t="str">
        <f>IF(E18="","",IF(E18="CP-1",IF('Concrete Plant (CP-1)'!$D$9&gt;0,'Concrete Plant (CP-1)'!$D$9*4024/2000,IF('Concrete Plant (CP-1)'!$D$10&gt;0,'Concrete Plant (CP-1)'!$D$10*365*4024/2000,"")),IF(E18="CP-2",IF('Concrete Plant (CP-2)'!$D$9&gt;0,'Concrete Plant (CP-2)'!$D$9*4024/2000,IF('Concrete Plant (CP-2)'!$C$10&gt;0,'Concrete Plant (CP-2)'!$C$10*365*4024/2000,"")),IF(E18="CP-3",IF('Concrete Plant (CP-3)'!$D$9&gt;0,'Concrete Plant (CP-3)'!$D$9*4024/2000,IF('Concrete Plant (CP-3)'!$D$10&gt;0,'Concrete Plant (CP-3)'!$D$10*365*4024/2000,"")),IF(E18="CP-4",IF('Concrete Plant (CP-4)'!$D$9&gt;0,'Concrete Plant (CP-4)'!$D$9*4024/2000,IF('Concrete Plant (CP-4)'!$D$10&gt;0,'Concrete Plant (CP-4)'!$D$10*365*4024/2000,"")),IF(E18="CP-5",IF('Concrete Plant (CP-5)'!$D$9&gt;0,'Concrete Plant (CP-5)'!$D$9*4024/2000,IF('Concrete Plant (CP-5)'!$D$10&gt;0,'Concrete Plant (CP-5)'!$D$10*365*4024/2000,"")),IF(E18="CP-6",IF('Concrete Plant (CP-6)'!$D$9&gt;0,'Concrete Plant (CP-6)'!$D$9*4024/2000,IF('Concrete Plant (CP-6)'!$D$10&gt;0,'Concrete Plant (CP-6)'!$D$10*365*4024/2000,"")),IF(E18="CP-7",IF('Concrete Plant (CP-7)'!$D$9&gt;0,'Concrete Plant (CP-7)'!$D$9*4024/2000,IF('Concrete Plant (CP-7)'!$D$10&gt;0,'Concrete Plant (CP-7)'!$D$10*365*4024/2000,"")),IF(E18="CP-8",IF('Concrete Plant (CP-8)'!$D$9&gt;0,'Concrete Plant (CP-8)'!$D$9*4024/2000,IF('Concrete Plant (CP-8)'!$D$10&gt;0,'Concrete Plant (CP-8)'!$D$10*365*4024/2000,"")),IF(E18="CP-9",IF('Concrete Plant (CP-9)'!$D$9&gt;0,'Concrete Plant (CP-9)'!$D$9*4024/2000,IF('Concrete Plant (CP-9)'!$D$10&gt;0,'Concrete Plant (CP-9)'!$D$10*365*4024/2000,"")),IF(E18="CP-10",IF('Concrete Plant (CP-10)'!$D$9&gt;0,'Concrete Plant (CP-10)'!$D$9*4024/2000,IF('Concrete Plant (CP-10)'!$D$10&gt;0,'Concrete Plant (CP-10)'!$D$10*365*4024/2000,"")))))))))))))</f>
        <v/>
      </c>
      <c r="N18" s="133"/>
      <c r="O18" s="133"/>
      <c r="P18" s="120" t="str">
        <f t="shared" si="0"/>
        <v/>
      </c>
      <c r="Q18" s="120" t="str">
        <f t="shared" si="19"/>
        <v/>
      </c>
      <c r="R18" s="11" t="str">
        <f t="shared" si="15"/>
        <v/>
      </c>
      <c r="S18" s="11" t="str">
        <f t="shared" si="1"/>
        <v/>
      </c>
      <c r="T18" s="151"/>
      <c r="U18" s="131" t="str">
        <f t="shared" si="2"/>
        <v/>
      </c>
      <c r="V18" s="131" t="str">
        <f t="shared" si="3"/>
        <v/>
      </c>
      <c r="W18" s="131" t="str">
        <f t="shared" si="4"/>
        <v/>
      </c>
      <c r="X18" s="131" t="str">
        <f t="shared" si="5"/>
        <v/>
      </c>
      <c r="Y18" s="131" t="str">
        <f t="shared" si="6"/>
        <v/>
      </c>
      <c r="Z18" s="131" t="str">
        <f t="shared" si="7"/>
        <v/>
      </c>
      <c r="AA18" s="131" t="str">
        <f t="shared" si="8"/>
        <v/>
      </c>
      <c r="AB18" s="131" t="str">
        <f t="shared" si="9"/>
        <v/>
      </c>
      <c r="AC18" s="131" t="str">
        <f t="shared" si="10"/>
        <v/>
      </c>
      <c r="AD18" s="131" t="str">
        <f t="shared" si="11"/>
        <v/>
      </c>
      <c r="AE18" s="6" t="str">
        <f t="shared" si="20"/>
        <v/>
      </c>
      <c r="AF18" s="153" t="s">
        <v>225</v>
      </c>
      <c r="AG18" s="153" t="str">
        <f>IF('Concrete Plant (CP-1)'!$D$9&gt;0,'Concrete Plant (CP-1)'!$D$9,IF('Concrete Plant (CP-1)'!$D$10&gt;0,'Concrete Plant (CP-1)'!$D$10*365,""))</f>
        <v/>
      </c>
      <c r="AK18" s="119" t="s">
        <v>234</v>
      </c>
      <c r="AL18" s="131">
        <f t="array" ref="AL18">IF(AND('Concrete Plant (CP-10)'!$D$10="",'Concrete Plant (CP-10)'!$D$9=""),SUMIF($E$7:$E$36,"CP-10",$X$7:$X$36),MAX(IF($E$7:$E$36="CP-10",$X$7:$X$36)))</f>
        <v>0</v>
      </c>
      <c r="AM18" s="131">
        <f>SUMIF($E$7:$E$36,"CP-10",$Y$7:$Y$36)</f>
        <v>0</v>
      </c>
      <c r="AN18" s="131">
        <f t="array" ref="AN18">IF(AND('Concrete Plant (CP-10)'!$D$10="",'Concrete Plant (CP-10)'!$D$9=""),SUMIF($E$7:$E$36,"CP-10",$AC$7:$AC$36),MAX(IF($E$7:$E$36="CP-10",$AC$7:$AC$36)))</f>
        <v>0</v>
      </c>
      <c r="AO18" s="131">
        <f ca="1">SUMIF($E$7:$E445,"CP-10",$AD$7:$AD$36)</f>
        <v>0</v>
      </c>
    </row>
    <row r="19" spans="1:41" ht="13.5" customHeight="1" x14ac:dyDescent="0.25">
      <c r="A19" s="6" t="str">
        <f>IF('Facility Information'!$C$21&gt;6,"CP-7","")</f>
        <v/>
      </c>
      <c r="B19" s="55"/>
      <c r="C19" s="55"/>
      <c r="D19" s="11"/>
      <c r="E19" s="11"/>
      <c r="F19" s="11"/>
      <c r="G19" s="133"/>
      <c r="H19" s="133"/>
      <c r="I19" s="11"/>
      <c r="J19" s="131" t="str">
        <f t="shared" si="17"/>
        <v/>
      </c>
      <c r="K19" s="131" t="str">
        <f t="shared" si="18"/>
        <v/>
      </c>
      <c r="L19" s="133"/>
      <c r="M19" s="120" t="str">
        <f>IF(E19="","",IF(E19="CP-1",IF('Concrete Plant (CP-1)'!$D$9&gt;0,'Concrete Plant (CP-1)'!$D$9*4024/2000,IF('Concrete Plant (CP-1)'!$D$10&gt;0,'Concrete Plant (CP-1)'!$D$10*365*4024/2000,"")),IF(E19="CP-2",IF('Concrete Plant (CP-2)'!$D$9&gt;0,'Concrete Plant (CP-2)'!$D$9*4024/2000,IF('Concrete Plant (CP-2)'!$C$10&gt;0,'Concrete Plant (CP-2)'!$C$10*365*4024/2000,"")),IF(E19="CP-3",IF('Concrete Plant (CP-3)'!$D$9&gt;0,'Concrete Plant (CP-3)'!$D$9*4024/2000,IF('Concrete Plant (CP-3)'!$D$10&gt;0,'Concrete Plant (CP-3)'!$D$10*365*4024/2000,"")),IF(E19="CP-4",IF('Concrete Plant (CP-4)'!$D$9&gt;0,'Concrete Plant (CP-4)'!$D$9*4024/2000,IF('Concrete Plant (CP-4)'!$D$10&gt;0,'Concrete Plant (CP-4)'!$D$10*365*4024/2000,"")),IF(E19="CP-5",IF('Concrete Plant (CP-5)'!$D$9&gt;0,'Concrete Plant (CP-5)'!$D$9*4024/2000,IF('Concrete Plant (CP-5)'!$D$10&gt;0,'Concrete Plant (CP-5)'!$D$10*365*4024/2000,"")),IF(E19="CP-6",IF('Concrete Plant (CP-6)'!$D$9&gt;0,'Concrete Plant (CP-6)'!$D$9*4024/2000,IF('Concrete Plant (CP-6)'!$D$10&gt;0,'Concrete Plant (CP-6)'!$D$10*365*4024/2000,"")),IF(E19="CP-7",IF('Concrete Plant (CP-7)'!$D$9&gt;0,'Concrete Plant (CP-7)'!$D$9*4024/2000,IF('Concrete Plant (CP-7)'!$D$10&gt;0,'Concrete Plant (CP-7)'!$D$10*365*4024/2000,"")),IF(E19="CP-8",IF('Concrete Plant (CP-8)'!$D$9&gt;0,'Concrete Plant (CP-8)'!$D$9*4024/2000,IF('Concrete Plant (CP-8)'!$D$10&gt;0,'Concrete Plant (CP-8)'!$D$10*365*4024/2000,"")),IF(E19="CP-9",IF('Concrete Plant (CP-9)'!$D$9&gt;0,'Concrete Plant (CP-9)'!$D$9*4024/2000,IF('Concrete Plant (CP-9)'!$D$10&gt;0,'Concrete Plant (CP-9)'!$D$10*365*4024/2000,"")),IF(E19="CP-10",IF('Concrete Plant (CP-10)'!$D$9&gt;0,'Concrete Plant (CP-10)'!$D$9*4024/2000,IF('Concrete Plant (CP-10)'!$D$10&gt;0,'Concrete Plant (CP-10)'!$D$10*365*4024/2000,"")))))))))))))</f>
        <v/>
      </c>
      <c r="N19" s="133"/>
      <c r="O19" s="133"/>
      <c r="P19" s="120" t="str">
        <f t="shared" si="0"/>
        <v/>
      </c>
      <c r="Q19" s="120" t="str">
        <f t="shared" si="19"/>
        <v/>
      </c>
      <c r="R19" s="11" t="str">
        <f t="shared" si="15"/>
        <v/>
      </c>
      <c r="S19" s="11" t="str">
        <f t="shared" si="1"/>
        <v/>
      </c>
      <c r="T19" s="151"/>
      <c r="U19" s="131" t="str">
        <f t="shared" si="2"/>
        <v/>
      </c>
      <c r="V19" s="131" t="str">
        <f t="shared" si="3"/>
        <v/>
      </c>
      <c r="W19" s="131" t="str">
        <f t="shared" si="4"/>
        <v/>
      </c>
      <c r="X19" s="131" t="str">
        <f t="shared" si="5"/>
        <v/>
      </c>
      <c r="Y19" s="131" t="str">
        <f t="shared" si="6"/>
        <v/>
      </c>
      <c r="Z19" s="131" t="str">
        <f t="shared" si="7"/>
        <v/>
      </c>
      <c r="AA19" s="131" t="str">
        <f t="shared" si="8"/>
        <v/>
      </c>
      <c r="AB19" s="131" t="str">
        <f t="shared" si="9"/>
        <v/>
      </c>
      <c r="AC19" s="131" t="str">
        <f t="shared" si="10"/>
        <v/>
      </c>
      <c r="AD19" s="131" t="str">
        <f t="shared" si="11"/>
        <v/>
      </c>
      <c r="AE19" s="6" t="str">
        <f t="shared" si="20"/>
        <v/>
      </c>
      <c r="AF19" s="153" t="s">
        <v>226</v>
      </c>
      <c r="AG19" s="153" t="str">
        <f>IF('Concrete Plant (CP-2)'!$C$9&gt;0,'Concrete Plant (CP-2)'!$C$9,IF('Concrete Plant (CP-2)'!$C$10&gt;0,'Concrete Plant (CP-2)'!$C$10*365,""))</f>
        <v/>
      </c>
      <c r="AL19" s="121"/>
      <c r="AM19" s="121"/>
      <c r="AN19" s="121"/>
      <c r="AO19" s="121"/>
    </row>
    <row r="20" spans="1:41" ht="13.5" customHeight="1" x14ac:dyDescent="0.25">
      <c r="A20" s="6" t="str">
        <f>IF('Facility Information'!$C$21&gt;7,"CP-8","")</f>
        <v/>
      </c>
      <c r="B20" s="55"/>
      <c r="C20" s="55"/>
      <c r="D20" s="11"/>
      <c r="E20" s="11"/>
      <c r="F20" s="11"/>
      <c r="G20" s="133"/>
      <c r="H20" s="133"/>
      <c r="I20" s="11"/>
      <c r="J20" s="131" t="str">
        <f t="shared" si="17"/>
        <v/>
      </c>
      <c r="K20" s="131" t="str">
        <f t="shared" si="18"/>
        <v/>
      </c>
      <c r="L20" s="133"/>
      <c r="M20" s="120" t="str">
        <f>IF(E20="","",IF(E20="CP-1",IF('Concrete Plant (CP-1)'!$D$9&gt;0,'Concrete Plant (CP-1)'!$D$9*4024/2000,IF('Concrete Plant (CP-1)'!$D$10&gt;0,'Concrete Plant (CP-1)'!$D$10*365*4024/2000,"")),IF(E20="CP-2",IF('Concrete Plant (CP-2)'!$D$9&gt;0,'Concrete Plant (CP-2)'!$D$9*4024/2000,IF('Concrete Plant (CP-2)'!$C$10&gt;0,'Concrete Plant (CP-2)'!$C$10*365*4024/2000,"")),IF(E20="CP-3",IF('Concrete Plant (CP-3)'!$D$9&gt;0,'Concrete Plant (CP-3)'!$D$9*4024/2000,IF('Concrete Plant (CP-3)'!$D$10&gt;0,'Concrete Plant (CP-3)'!$D$10*365*4024/2000,"")),IF(E20="CP-4",IF('Concrete Plant (CP-4)'!$D$9&gt;0,'Concrete Plant (CP-4)'!$D$9*4024/2000,IF('Concrete Plant (CP-4)'!$D$10&gt;0,'Concrete Plant (CP-4)'!$D$10*365*4024/2000,"")),IF(E20="CP-5",IF('Concrete Plant (CP-5)'!$D$9&gt;0,'Concrete Plant (CP-5)'!$D$9*4024/2000,IF('Concrete Plant (CP-5)'!$D$10&gt;0,'Concrete Plant (CP-5)'!$D$10*365*4024/2000,"")),IF(E20="CP-6",IF('Concrete Plant (CP-6)'!$D$9&gt;0,'Concrete Plant (CP-6)'!$D$9*4024/2000,IF('Concrete Plant (CP-6)'!$D$10&gt;0,'Concrete Plant (CP-6)'!$D$10*365*4024/2000,"")),IF(E20="CP-7",IF('Concrete Plant (CP-7)'!$D$9&gt;0,'Concrete Plant (CP-7)'!$D$9*4024/2000,IF('Concrete Plant (CP-7)'!$D$10&gt;0,'Concrete Plant (CP-7)'!$D$10*365*4024/2000,"")),IF(E20="CP-8",IF('Concrete Plant (CP-8)'!$D$9&gt;0,'Concrete Plant (CP-8)'!$D$9*4024/2000,IF('Concrete Plant (CP-8)'!$D$10&gt;0,'Concrete Plant (CP-8)'!$D$10*365*4024/2000,"")),IF(E20="CP-9",IF('Concrete Plant (CP-9)'!$D$9&gt;0,'Concrete Plant (CP-9)'!$D$9*4024/2000,IF('Concrete Plant (CP-9)'!$D$10&gt;0,'Concrete Plant (CP-9)'!$D$10*365*4024/2000,"")),IF(E20="CP-10",IF('Concrete Plant (CP-10)'!$D$9&gt;0,'Concrete Plant (CP-10)'!$D$9*4024/2000,IF('Concrete Plant (CP-10)'!$D$10&gt;0,'Concrete Plant (CP-10)'!$D$10*365*4024/2000,"")))))))))))))</f>
        <v/>
      </c>
      <c r="N20" s="133"/>
      <c r="O20" s="133"/>
      <c r="P20" s="120" t="str">
        <f t="shared" si="0"/>
        <v/>
      </c>
      <c r="Q20" s="120" t="str">
        <f t="shared" si="19"/>
        <v/>
      </c>
      <c r="R20" s="11" t="str">
        <f t="shared" si="15"/>
        <v/>
      </c>
      <c r="S20" s="11" t="str">
        <f t="shared" si="1"/>
        <v/>
      </c>
      <c r="T20" s="151"/>
      <c r="U20" s="131" t="str">
        <f t="shared" si="2"/>
        <v/>
      </c>
      <c r="V20" s="131" t="str">
        <f t="shared" si="3"/>
        <v/>
      </c>
      <c r="W20" s="131" t="str">
        <f t="shared" si="4"/>
        <v/>
      </c>
      <c r="X20" s="131" t="str">
        <f t="shared" si="5"/>
        <v/>
      </c>
      <c r="Y20" s="131" t="str">
        <f t="shared" si="6"/>
        <v/>
      </c>
      <c r="Z20" s="131" t="str">
        <f t="shared" si="7"/>
        <v/>
      </c>
      <c r="AA20" s="131" t="str">
        <f t="shared" si="8"/>
        <v/>
      </c>
      <c r="AB20" s="131" t="str">
        <f t="shared" si="9"/>
        <v/>
      </c>
      <c r="AC20" s="131" t="str">
        <f t="shared" si="10"/>
        <v/>
      </c>
      <c r="AD20" s="131" t="str">
        <f t="shared" si="11"/>
        <v/>
      </c>
      <c r="AE20" s="6" t="str">
        <f t="shared" si="20"/>
        <v/>
      </c>
      <c r="AF20" s="153" t="s">
        <v>227</v>
      </c>
      <c r="AG20" s="153" t="str">
        <f>IF('Concrete Plant (CP-3)'!$D$9&gt;0,'Concrete Plant (CP-3)'!$D$9,IF('Concrete Plant (CP-3)'!$D$10&gt;0,'Concrete Plant (CP-3)'!$D$10*365,""))</f>
        <v/>
      </c>
    </row>
    <row r="21" spans="1:41" ht="13.5" customHeight="1" x14ac:dyDescent="0.25">
      <c r="A21" s="6" t="str">
        <f>IF('Facility Information'!$C$21&gt;8,"CP-9","")</f>
        <v/>
      </c>
      <c r="B21" s="55"/>
      <c r="C21" s="55"/>
      <c r="D21" s="11"/>
      <c r="E21" s="11"/>
      <c r="F21" s="11"/>
      <c r="G21" s="133"/>
      <c r="H21" s="133"/>
      <c r="I21" s="11"/>
      <c r="J21" s="131" t="str">
        <f t="shared" si="17"/>
        <v/>
      </c>
      <c r="K21" s="131" t="str">
        <f t="shared" si="18"/>
        <v/>
      </c>
      <c r="L21" s="133"/>
      <c r="M21" s="120" t="str">
        <f>IF(E21="","",IF(E21="CP-1",IF('Concrete Plant (CP-1)'!$D$9&gt;0,'Concrete Plant (CP-1)'!$D$9*4024/2000,IF('Concrete Plant (CP-1)'!$D$10&gt;0,'Concrete Plant (CP-1)'!$D$10*365*4024/2000,"")),IF(E21="CP-2",IF('Concrete Plant (CP-2)'!$D$9&gt;0,'Concrete Plant (CP-2)'!$D$9*4024/2000,IF('Concrete Plant (CP-2)'!$C$10&gt;0,'Concrete Plant (CP-2)'!$C$10*365*4024/2000,"")),IF(E21="CP-3",IF('Concrete Plant (CP-3)'!$D$9&gt;0,'Concrete Plant (CP-3)'!$D$9*4024/2000,IF('Concrete Plant (CP-3)'!$D$10&gt;0,'Concrete Plant (CP-3)'!$D$10*365*4024/2000,"")),IF(E21="CP-4",IF('Concrete Plant (CP-4)'!$D$9&gt;0,'Concrete Plant (CP-4)'!$D$9*4024/2000,IF('Concrete Plant (CP-4)'!$D$10&gt;0,'Concrete Plant (CP-4)'!$D$10*365*4024/2000,"")),IF(E21="CP-5",IF('Concrete Plant (CP-5)'!$D$9&gt;0,'Concrete Plant (CP-5)'!$D$9*4024/2000,IF('Concrete Plant (CP-5)'!$D$10&gt;0,'Concrete Plant (CP-5)'!$D$10*365*4024/2000,"")),IF(E21="CP-6",IF('Concrete Plant (CP-6)'!$D$9&gt;0,'Concrete Plant (CP-6)'!$D$9*4024/2000,IF('Concrete Plant (CP-6)'!$D$10&gt;0,'Concrete Plant (CP-6)'!$D$10*365*4024/2000,"")),IF(E21="CP-7",IF('Concrete Plant (CP-7)'!$D$9&gt;0,'Concrete Plant (CP-7)'!$D$9*4024/2000,IF('Concrete Plant (CP-7)'!$D$10&gt;0,'Concrete Plant (CP-7)'!$D$10*365*4024/2000,"")),IF(E21="CP-8",IF('Concrete Plant (CP-8)'!$D$9&gt;0,'Concrete Plant (CP-8)'!$D$9*4024/2000,IF('Concrete Plant (CP-8)'!$D$10&gt;0,'Concrete Plant (CP-8)'!$D$10*365*4024/2000,"")),IF(E21="CP-9",IF('Concrete Plant (CP-9)'!$D$9&gt;0,'Concrete Plant (CP-9)'!$D$9*4024/2000,IF('Concrete Plant (CP-9)'!$D$10&gt;0,'Concrete Plant (CP-9)'!$D$10*365*4024/2000,"")),IF(E21="CP-10",IF('Concrete Plant (CP-10)'!$D$9&gt;0,'Concrete Plant (CP-10)'!$D$9*4024/2000,IF('Concrete Plant (CP-10)'!$D$10&gt;0,'Concrete Plant (CP-10)'!$D$10*365*4024/2000,"")))))))))))))</f>
        <v/>
      </c>
      <c r="N21" s="133"/>
      <c r="O21" s="133"/>
      <c r="P21" s="120" t="str">
        <f t="shared" si="0"/>
        <v/>
      </c>
      <c r="Q21" s="120" t="str">
        <f t="shared" si="19"/>
        <v/>
      </c>
      <c r="R21" s="11" t="str">
        <f t="shared" si="15"/>
        <v/>
      </c>
      <c r="S21" s="11" t="str">
        <f t="shared" si="1"/>
        <v/>
      </c>
      <c r="T21" s="151"/>
      <c r="U21" s="131" t="str">
        <f t="shared" si="2"/>
        <v/>
      </c>
      <c r="V21" s="131" t="str">
        <f t="shared" si="3"/>
        <v/>
      </c>
      <c r="W21" s="131" t="str">
        <f t="shared" si="4"/>
        <v/>
      </c>
      <c r="X21" s="131" t="str">
        <f t="shared" si="5"/>
        <v/>
      </c>
      <c r="Y21" s="131" t="str">
        <f t="shared" si="6"/>
        <v/>
      </c>
      <c r="Z21" s="131" t="str">
        <f t="shared" si="7"/>
        <v/>
      </c>
      <c r="AA21" s="131" t="str">
        <f t="shared" si="8"/>
        <v/>
      </c>
      <c r="AB21" s="131" t="str">
        <f t="shared" si="9"/>
        <v/>
      </c>
      <c r="AC21" s="131" t="str">
        <f t="shared" si="10"/>
        <v/>
      </c>
      <c r="AD21" s="131" t="str">
        <f t="shared" si="11"/>
        <v/>
      </c>
      <c r="AE21" s="6" t="str">
        <f t="shared" si="20"/>
        <v/>
      </c>
      <c r="AF21" s="153" t="s">
        <v>228</v>
      </c>
      <c r="AG21" s="153" t="str">
        <f>IF('Concrete Plant (CP-4)'!$D$9&gt;0,'Concrete Plant (CP-4)'!$D$9,IF('Concrete Plant (CP-4)'!$D$10&gt;0,'Concrete Plant (CP-4)'!$D$10*365,""))</f>
        <v/>
      </c>
    </row>
    <row r="22" spans="1:41" ht="13.5" customHeight="1" x14ac:dyDescent="0.25">
      <c r="A22" s="6" t="str">
        <f>IF('Facility Information'!$C$21&gt;9,"CP-10","")</f>
        <v/>
      </c>
      <c r="B22" s="55"/>
      <c r="C22" s="55"/>
      <c r="D22" s="11"/>
      <c r="E22" s="11"/>
      <c r="F22" s="11"/>
      <c r="G22" s="133"/>
      <c r="H22" s="133"/>
      <c r="I22" s="11"/>
      <c r="J22" s="131" t="str">
        <f t="shared" si="17"/>
        <v/>
      </c>
      <c r="K22" s="131" t="str">
        <f t="shared" si="18"/>
        <v/>
      </c>
      <c r="L22" s="133"/>
      <c r="M22" s="120" t="str">
        <f>IF(E22="","",IF(E22="CP-1",IF('Concrete Plant (CP-1)'!$D$9&gt;0,'Concrete Plant (CP-1)'!$D$9*4024/2000,IF('Concrete Plant (CP-1)'!$D$10&gt;0,'Concrete Plant (CP-1)'!$D$10*365*4024/2000,"")),IF(E22="CP-2",IF('Concrete Plant (CP-2)'!$D$9&gt;0,'Concrete Plant (CP-2)'!$D$9*4024/2000,IF('Concrete Plant (CP-2)'!$C$10&gt;0,'Concrete Plant (CP-2)'!$C$10*365*4024/2000,"")),IF(E22="CP-3",IF('Concrete Plant (CP-3)'!$D$9&gt;0,'Concrete Plant (CP-3)'!$D$9*4024/2000,IF('Concrete Plant (CP-3)'!$D$10&gt;0,'Concrete Plant (CP-3)'!$D$10*365*4024/2000,"")),IF(E22="CP-4",IF('Concrete Plant (CP-4)'!$D$9&gt;0,'Concrete Plant (CP-4)'!$D$9*4024/2000,IF('Concrete Plant (CP-4)'!$D$10&gt;0,'Concrete Plant (CP-4)'!$D$10*365*4024/2000,"")),IF(E22="CP-5",IF('Concrete Plant (CP-5)'!$D$9&gt;0,'Concrete Plant (CP-5)'!$D$9*4024/2000,IF('Concrete Plant (CP-5)'!$D$10&gt;0,'Concrete Plant (CP-5)'!$D$10*365*4024/2000,"")),IF(E22="CP-6",IF('Concrete Plant (CP-6)'!$D$9&gt;0,'Concrete Plant (CP-6)'!$D$9*4024/2000,IF('Concrete Plant (CP-6)'!$D$10&gt;0,'Concrete Plant (CP-6)'!$D$10*365*4024/2000,"")),IF(E22="CP-7",IF('Concrete Plant (CP-7)'!$D$9&gt;0,'Concrete Plant (CP-7)'!$D$9*4024/2000,IF('Concrete Plant (CP-7)'!$D$10&gt;0,'Concrete Plant (CP-7)'!$D$10*365*4024/2000,"")),IF(E22="CP-8",IF('Concrete Plant (CP-8)'!$D$9&gt;0,'Concrete Plant (CP-8)'!$D$9*4024/2000,IF('Concrete Plant (CP-8)'!$D$10&gt;0,'Concrete Plant (CP-8)'!$D$10*365*4024/2000,"")),IF(E22="CP-9",IF('Concrete Plant (CP-9)'!$D$9&gt;0,'Concrete Plant (CP-9)'!$D$9*4024/2000,IF('Concrete Plant (CP-9)'!$D$10&gt;0,'Concrete Plant (CP-9)'!$D$10*365*4024/2000,"")),IF(E22="CP-10",IF('Concrete Plant (CP-10)'!$D$9&gt;0,'Concrete Plant (CP-10)'!$D$9*4024/2000,IF('Concrete Plant (CP-10)'!$D$10&gt;0,'Concrete Plant (CP-10)'!$D$10*365*4024/2000,"")))))))))))))</f>
        <v/>
      </c>
      <c r="N22" s="133"/>
      <c r="O22" s="133"/>
      <c r="P22" s="120" t="str">
        <f t="shared" si="0"/>
        <v/>
      </c>
      <c r="Q22" s="120" t="str">
        <f t="shared" si="19"/>
        <v/>
      </c>
      <c r="R22" s="11" t="str">
        <f t="shared" si="15"/>
        <v/>
      </c>
      <c r="S22" s="11" t="str">
        <f t="shared" si="1"/>
        <v/>
      </c>
      <c r="T22" s="151"/>
      <c r="U22" s="131" t="str">
        <f t="shared" si="2"/>
        <v/>
      </c>
      <c r="V22" s="131" t="str">
        <f t="shared" si="3"/>
        <v/>
      </c>
      <c r="W22" s="131" t="str">
        <f t="shared" si="4"/>
        <v/>
      </c>
      <c r="X22" s="131" t="str">
        <f t="shared" si="5"/>
        <v/>
      </c>
      <c r="Y22" s="131" t="str">
        <f t="shared" si="6"/>
        <v/>
      </c>
      <c r="Z22" s="131" t="str">
        <f t="shared" si="7"/>
        <v/>
      </c>
      <c r="AA22" s="131" t="str">
        <f t="shared" si="8"/>
        <v/>
      </c>
      <c r="AB22" s="131" t="str">
        <f t="shared" si="9"/>
        <v/>
      </c>
      <c r="AC22" s="131" t="str">
        <f t="shared" si="10"/>
        <v/>
      </c>
      <c r="AD22" s="131" t="str">
        <f t="shared" si="11"/>
        <v/>
      </c>
      <c r="AE22" s="6" t="str">
        <f t="shared" si="20"/>
        <v/>
      </c>
      <c r="AF22" s="153" t="s">
        <v>229</v>
      </c>
      <c r="AG22" s="153" t="str">
        <f>IF('Concrete Plant (CP-5)'!$D$9&gt;0,'Concrete Plant (CP-5)'!$D$9,IF('Concrete Plant (CP-5)'!$D$10&gt;0,'Concrete Plant (CP-5)'!$D$10*365,""))</f>
        <v/>
      </c>
    </row>
    <row r="23" spans="1:41" ht="13.5" customHeight="1" x14ac:dyDescent="0.25">
      <c r="B23" s="55"/>
      <c r="C23" s="55"/>
      <c r="D23" s="11"/>
      <c r="E23" s="11"/>
      <c r="F23" s="11"/>
      <c r="G23" s="133"/>
      <c r="H23" s="133"/>
      <c r="I23" s="11"/>
      <c r="J23" s="131" t="str">
        <f t="shared" si="17"/>
        <v/>
      </c>
      <c r="K23" s="131" t="str">
        <f t="shared" si="18"/>
        <v/>
      </c>
      <c r="L23" s="133"/>
      <c r="M23" s="120" t="str">
        <f>IF(E23="","",IF(E23="CP-1",IF('Concrete Plant (CP-1)'!$D$9&gt;0,'Concrete Plant (CP-1)'!$D$9*4024/2000,IF('Concrete Plant (CP-1)'!$D$10&gt;0,'Concrete Plant (CP-1)'!$D$10*365*4024/2000,"")),IF(E23="CP-2",IF('Concrete Plant (CP-2)'!$D$9&gt;0,'Concrete Plant (CP-2)'!$D$9*4024/2000,IF('Concrete Plant (CP-2)'!$C$10&gt;0,'Concrete Plant (CP-2)'!$C$10*365*4024/2000,"")),IF(E23="CP-3",IF('Concrete Plant (CP-3)'!$D$9&gt;0,'Concrete Plant (CP-3)'!$D$9*4024/2000,IF('Concrete Plant (CP-3)'!$D$10&gt;0,'Concrete Plant (CP-3)'!$D$10*365*4024/2000,"")),IF(E23="CP-4",IF('Concrete Plant (CP-4)'!$D$9&gt;0,'Concrete Plant (CP-4)'!$D$9*4024/2000,IF('Concrete Plant (CP-4)'!$D$10&gt;0,'Concrete Plant (CP-4)'!$D$10*365*4024/2000,"")),IF(E23="CP-5",IF('Concrete Plant (CP-5)'!$D$9&gt;0,'Concrete Plant (CP-5)'!$D$9*4024/2000,IF('Concrete Plant (CP-5)'!$D$10&gt;0,'Concrete Plant (CP-5)'!$D$10*365*4024/2000,"")),IF(E23="CP-6",IF('Concrete Plant (CP-6)'!$D$9&gt;0,'Concrete Plant (CP-6)'!$D$9*4024/2000,IF('Concrete Plant (CP-6)'!$D$10&gt;0,'Concrete Plant (CP-6)'!$D$10*365*4024/2000,"")),IF(E23="CP-7",IF('Concrete Plant (CP-7)'!$D$9&gt;0,'Concrete Plant (CP-7)'!$D$9*4024/2000,IF('Concrete Plant (CP-7)'!$D$10&gt;0,'Concrete Plant (CP-7)'!$D$10*365*4024/2000,"")),IF(E23="CP-8",IF('Concrete Plant (CP-8)'!$D$9&gt;0,'Concrete Plant (CP-8)'!$D$9*4024/2000,IF('Concrete Plant (CP-8)'!$D$10&gt;0,'Concrete Plant (CP-8)'!$D$10*365*4024/2000,"")),IF(E23="CP-9",IF('Concrete Plant (CP-9)'!$D$9&gt;0,'Concrete Plant (CP-9)'!$D$9*4024/2000,IF('Concrete Plant (CP-9)'!$D$10&gt;0,'Concrete Plant (CP-9)'!$D$10*365*4024/2000,"")),IF(E23="CP-10",IF('Concrete Plant (CP-10)'!$D$9&gt;0,'Concrete Plant (CP-10)'!$D$9*4024/2000,IF('Concrete Plant (CP-10)'!$D$10&gt;0,'Concrete Plant (CP-10)'!$D$10*365*4024/2000,"")))))))))))))</f>
        <v/>
      </c>
      <c r="N23" s="133"/>
      <c r="O23" s="133"/>
      <c r="P23" s="120" t="str">
        <f t="shared" si="0"/>
        <v/>
      </c>
      <c r="Q23" s="120" t="str">
        <f t="shared" si="19"/>
        <v/>
      </c>
      <c r="R23" s="11" t="str">
        <f t="shared" si="15"/>
        <v/>
      </c>
      <c r="S23" s="11" t="str">
        <f t="shared" si="1"/>
        <v/>
      </c>
      <c r="T23" s="151"/>
      <c r="U23" s="131" t="str">
        <f t="shared" si="2"/>
        <v/>
      </c>
      <c r="V23" s="131" t="str">
        <f t="shared" si="3"/>
        <v/>
      </c>
      <c r="W23" s="131" t="str">
        <f t="shared" si="4"/>
        <v/>
      </c>
      <c r="X23" s="131" t="str">
        <f t="shared" si="5"/>
        <v/>
      </c>
      <c r="Y23" s="131" t="str">
        <f t="shared" si="6"/>
        <v/>
      </c>
      <c r="Z23" s="131" t="str">
        <f t="shared" si="7"/>
        <v/>
      </c>
      <c r="AA23" s="131" t="str">
        <f t="shared" si="8"/>
        <v/>
      </c>
      <c r="AB23" s="131" t="str">
        <f t="shared" si="9"/>
        <v/>
      </c>
      <c r="AC23" s="131" t="str">
        <f t="shared" si="10"/>
        <v/>
      </c>
      <c r="AD23" s="131" t="str">
        <f t="shared" si="11"/>
        <v/>
      </c>
      <c r="AE23" s="6" t="str">
        <f t="shared" si="20"/>
        <v/>
      </c>
      <c r="AF23" s="153" t="s">
        <v>230</v>
      </c>
      <c r="AG23" s="153" t="str">
        <f>IF('Concrete Plant (CP-6)'!$D$9&gt;0,'Concrete Plant (CP-6)'!$D$9,IF('Concrete Plant (CP-6)'!$D$10&gt;0,'Concrete Plant (CP-6)'!$D$10*365,""))</f>
        <v/>
      </c>
    </row>
    <row r="24" spans="1:41" ht="13.5" customHeight="1" x14ac:dyDescent="0.25">
      <c r="B24" s="55"/>
      <c r="C24" s="55"/>
      <c r="D24" s="11"/>
      <c r="E24" s="11"/>
      <c r="F24" s="11"/>
      <c r="G24" s="133"/>
      <c r="H24" s="133"/>
      <c r="I24" s="11"/>
      <c r="J24" s="131" t="str">
        <f t="shared" si="17"/>
        <v/>
      </c>
      <c r="K24" s="131" t="str">
        <f t="shared" si="18"/>
        <v/>
      </c>
      <c r="L24" s="133"/>
      <c r="M24" s="120" t="str">
        <f>IF(E24="","",IF(E24="CP-1",IF('Concrete Plant (CP-1)'!$D$9&gt;0,'Concrete Plant (CP-1)'!$D$9*4024/2000,IF('Concrete Plant (CP-1)'!$D$10&gt;0,'Concrete Plant (CP-1)'!$D$10*365*4024/2000,"")),IF(E24="CP-2",IF('Concrete Plant (CP-2)'!$D$9&gt;0,'Concrete Plant (CP-2)'!$D$9*4024/2000,IF('Concrete Plant (CP-2)'!$C$10&gt;0,'Concrete Plant (CP-2)'!$C$10*365*4024/2000,"")),IF(E24="CP-3",IF('Concrete Plant (CP-3)'!$D$9&gt;0,'Concrete Plant (CP-3)'!$D$9*4024/2000,IF('Concrete Plant (CP-3)'!$D$10&gt;0,'Concrete Plant (CP-3)'!$D$10*365*4024/2000,"")),IF(E24="CP-4",IF('Concrete Plant (CP-4)'!$D$9&gt;0,'Concrete Plant (CP-4)'!$D$9*4024/2000,IF('Concrete Plant (CP-4)'!$D$10&gt;0,'Concrete Plant (CP-4)'!$D$10*365*4024/2000,"")),IF(E24="CP-5",IF('Concrete Plant (CP-5)'!$D$9&gt;0,'Concrete Plant (CP-5)'!$D$9*4024/2000,IF('Concrete Plant (CP-5)'!$D$10&gt;0,'Concrete Plant (CP-5)'!$D$10*365*4024/2000,"")),IF(E24="CP-6",IF('Concrete Plant (CP-6)'!$D$9&gt;0,'Concrete Plant (CP-6)'!$D$9*4024/2000,IF('Concrete Plant (CP-6)'!$D$10&gt;0,'Concrete Plant (CP-6)'!$D$10*365*4024/2000,"")),IF(E24="CP-7",IF('Concrete Plant (CP-7)'!$D$9&gt;0,'Concrete Plant (CP-7)'!$D$9*4024/2000,IF('Concrete Plant (CP-7)'!$D$10&gt;0,'Concrete Plant (CP-7)'!$D$10*365*4024/2000,"")),IF(E24="CP-8",IF('Concrete Plant (CP-8)'!$D$9&gt;0,'Concrete Plant (CP-8)'!$D$9*4024/2000,IF('Concrete Plant (CP-8)'!$D$10&gt;0,'Concrete Plant (CP-8)'!$D$10*365*4024/2000,"")),IF(E24="CP-9",IF('Concrete Plant (CP-9)'!$D$9&gt;0,'Concrete Plant (CP-9)'!$D$9*4024/2000,IF('Concrete Plant (CP-9)'!$D$10&gt;0,'Concrete Plant (CP-9)'!$D$10*365*4024/2000,"")),IF(E24="CP-10",IF('Concrete Plant (CP-10)'!$D$9&gt;0,'Concrete Plant (CP-10)'!$D$9*4024/2000,IF('Concrete Plant (CP-10)'!$D$10&gt;0,'Concrete Plant (CP-10)'!$D$10*365*4024/2000,"")))))))))))))</f>
        <v/>
      </c>
      <c r="N24" s="133"/>
      <c r="O24" s="133"/>
      <c r="P24" s="120" t="str">
        <f t="shared" si="0"/>
        <v/>
      </c>
      <c r="Q24" s="120" t="str">
        <f t="shared" si="19"/>
        <v/>
      </c>
      <c r="R24" s="11" t="str">
        <f t="shared" si="15"/>
        <v/>
      </c>
      <c r="S24" s="11" t="str">
        <f t="shared" si="1"/>
        <v/>
      </c>
      <c r="T24" s="151"/>
      <c r="U24" s="131" t="str">
        <f t="shared" si="2"/>
        <v/>
      </c>
      <c r="V24" s="131" t="str">
        <f t="shared" si="3"/>
        <v/>
      </c>
      <c r="W24" s="131" t="str">
        <f t="shared" si="4"/>
        <v/>
      </c>
      <c r="X24" s="131" t="str">
        <f t="shared" si="5"/>
        <v/>
      </c>
      <c r="Y24" s="131" t="str">
        <f t="shared" si="6"/>
        <v/>
      </c>
      <c r="Z24" s="131" t="str">
        <f t="shared" si="7"/>
        <v/>
      </c>
      <c r="AA24" s="131" t="str">
        <f t="shared" si="8"/>
        <v/>
      </c>
      <c r="AB24" s="131" t="str">
        <f t="shared" si="9"/>
        <v/>
      </c>
      <c r="AC24" s="131" t="str">
        <f t="shared" si="10"/>
        <v/>
      </c>
      <c r="AD24" s="131" t="str">
        <f t="shared" si="11"/>
        <v/>
      </c>
      <c r="AE24" s="6" t="str">
        <f t="shared" si="20"/>
        <v/>
      </c>
      <c r="AF24" s="153" t="s">
        <v>231</v>
      </c>
      <c r="AG24" s="153" t="str">
        <f>IF('Concrete Plant (CP-7)'!$D$9&gt;0,'Concrete Plant (CP-7)'!$D$9,IF('Concrete Plant (CP-7)'!$D$10&gt;0,'Concrete Plant (CP-7)'!$D$10*365,""))</f>
        <v/>
      </c>
    </row>
    <row r="25" spans="1:41" ht="13.5" customHeight="1" x14ac:dyDescent="0.25">
      <c r="B25" s="55"/>
      <c r="C25" s="55"/>
      <c r="D25" s="11"/>
      <c r="E25" s="11"/>
      <c r="F25" s="11"/>
      <c r="G25" s="133"/>
      <c r="H25" s="133"/>
      <c r="I25" s="11"/>
      <c r="J25" s="131" t="str">
        <f t="shared" si="17"/>
        <v/>
      </c>
      <c r="K25" s="131" t="str">
        <f t="shared" si="18"/>
        <v/>
      </c>
      <c r="L25" s="133"/>
      <c r="M25" s="120" t="str">
        <f>IF(E25="","",IF(E25="CP-1",IF('Concrete Plant (CP-1)'!$D$9&gt;0,'Concrete Plant (CP-1)'!$D$9*4024/2000,IF('Concrete Plant (CP-1)'!$D$10&gt;0,'Concrete Plant (CP-1)'!$D$10*365*4024/2000,"")),IF(E25="CP-2",IF('Concrete Plant (CP-2)'!$D$9&gt;0,'Concrete Plant (CP-2)'!$D$9*4024/2000,IF('Concrete Plant (CP-2)'!$C$10&gt;0,'Concrete Plant (CP-2)'!$C$10*365*4024/2000,"")),IF(E25="CP-3",IF('Concrete Plant (CP-3)'!$D$9&gt;0,'Concrete Plant (CP-3)'!$D$9*4024/2000,IF('Concrete Plant (CP-3)'!$D$10&gt;0,'Concrete Plant (CP-3)'!$D$10*365*4024/2000,"")),IF(E25="CP-4",IF('Concrete Plant (CP-4)'!$D$9&gt;0,'Concrete Plant (CP-4)'!$D$9*4024/2000,IF('Concrete Plant (CP-4)'!$D$10&gt;0,'Concrete Plant (CP-4)'!$D$10*365*4024/2000,"")),IF(E25="CP-5",IF('Concrete Plant (CP-5)'!$D$9&gt;0,'Concrete Plant (CP-5)'!$D$9*4024/2000,IF('Concrete Plant (CP-5)'!$D$10&gt;0,'Concrete Plant (CP-5)'!$D$10*365*4024/2000,"")),IF(E25="CP-6",IF('Concrete Plant (CP-6)'!$D$9&gt;0,'Concrete Plant (CP-6)'!$D$9*4024/2000,IF('Concrete Plant (CP-6)'!$D$10&gt;0,'Concrete Plant (CP-6)'!$D$10*365*4024/2000,"")),IF(E25="CP-7",IF('Concrete Plant (CP-7)'!$D$9&gt;0,'Concrete Plant (CP-7)'!$D$9*4024/2000,IF('Concrete Plant (CP-7)'!$D$10&gt;0,'Concrete Plant (CP-7)'!$D$10*365*4024/2000,"")),IF(E25="CP-8",IF('Concrete Plant (CP-8)'!$D$9&gt;0,'Concrete Plant (CP-8)'!$D$9*4024/2000,IF('Concrete Plant (CP-8)'!$D$10&gt;0,'Concrete Plant (CP-8)'!$D$10*365*4024/2000,"")),IF(E25="CP-9",IF('Concrete Plant (CP-9)'!$D$9&gt;0,'Concrete Plant (CP-9)'!$D$9*4024/2000,IF('Concrete Plant (CP-9)'!$D$10&gt;0,'Concrete Plant (CP-9)'!$D$10*365*4024/2000,"")),IF(E25="CP-10",IF('Concrete Plant (CP-10)'!$D$9&gt;0,'Concrete Plant (CP-10)'!$D$9*4024/2000,IF('Concrete Plant (CP-10)'!$D$10&gt;0,'Concrete Plant (CP-10)'!$D$10*365*4024/2000,"")))))))))))))</f>
        <v/>
      </c>
      <c r="N25" s="133"/>
      <c r="O25" s="133"/>
      <c r="P25" s="120" t="str">
        <f t="shared" si="0"/>
        <v/>
      </c>
      <c r="Q25" s="120" t="str">
        <f t="shared" si="19"/>
        <v/>
      </c>
      <c r="R25" s="11" t="str">
        <f t="shared" si="15"/>
        <v/>
      </c>
      <c r="S25" s="11" t="str">
        <f t="shared" si="1"/>
        <v/>
      </c>
      <c r="T25" s="151"/>
      <c r="U25" s="131" t="str">
        <f t="shared" si="2"/>
        <v/>
      </c>
      <c r="V25" s="131" t="str">
        <f t="shared" si="3"/>
        <v/>
      </c>
      <c r="W25" s="131" t="str">
        <f t="shared" si="4"/>
        <v/>
      </c>
      <c r="X25" s="131" t="str">
        <f t="shared" si="5"/>
        <v/>
      </c>
      <c r="Y25" s="131" t="str">
        <f t="shared" si="6"/>
        <v/>
      </c>
      <c r="Z25" s="131" t="str">
        <f t="shared" si="7"/>
        <v/>
      </c>
      <c r="AA25" s="131" t="str">
        <f t="shared" si="8"/>
        <v/>
      </c>
      <c r="AB25" s="131" t="str">
        <f t="shared" si="9"/>
        <v/>
      </c>
      <c r="AC25" s="131" t="str">
        <f t="shared" si="10"/>
        <v/>
      </c>
      <c r="AD25" s="131" t="str">
        <f t="shared" si="11"/>
        <v/>
      </c>
      <c r="AE25" s="6" t="str">
        <f t="shared" si="20"/>
        <v/>
      </c>
      <c r="AF25" s="153" t="s">
        <v>232</v>
      </c>
      <c r="AG25" s="153" t="str">
        <f>IF('Concrete Plant (CP-8)'!$D$9&gt;0,'Concrete Plant (CP-8)'!$D$9,IF('Concrete Plant (CP-8)'!$D$10&gt;0,'Concrete Plant (CP-8)'!$D$10*365,""))</f>
        <v/>
      </c>
    </row>
    <row r="26" spans="1:41" ht="13.5" customHeight="1" x14ac:dyDescent="0.25">
      <c r="B26" s="55"/>
      <c r="C26" s="55"/>
      <c r="D26" s="11"/>
      <c r="E26" s="11"/>
      <c r="F26" s="11"/>
      <c r="G26" s="133"/>
      <c r="H26" s="133"/>
      <c r="I26" s="11"/>
      <c r="J26" s="131" t="str">
        <f t="shared" si="17"/>
        <v/>
      </c>
      <c r="K26" s="131" t="str">
        <f t="shared" si="18"/>
        <v/>
      </c>
      <c r="L26" s="133"/>
      <c r="M26" s="120" t="str">
        <f>IF(E26="","",IF(E26="CP-1",IF('Concrete Plant (CP-1)'!$D$9&gt;0,'Concrete Plant (CP-1)'!$D$9*4024/2000,IF('Concrete Plant (CP-1)'!$D$10&gt;0,'Concrete Plant (CP-1)'!$D$10*365*4024/2000,"")),IF(E26="CP-2",IF('Concrete Plant (CP-2)'!$D$9&gt;0,'Concrete Plant (CP-2)'!$D$9*4024/2000,IF('Concrete Plant (CP-2)'!$C$10&gt;0,'Concrete Plant (CP-2)'!$C$10*365*4024/2000,"")),IF(E26="CP-3",IF('Concrete Plant (CP-3)'!$D$9&gt;0,'Concrete Plant (CP-3)'!$D$9*4024/2000,IF('Concrete Plant (CP-3)'!$D$10&gt;0,'Concrete Plant (CP-3)'!$D$10*365*4024/2000,"")),IF(E26="CP-4",IF('Concrete Plant (CP-4)'!$D$9&gt;0,'Concrete Plant (CP-4)'!$D$9*4024/2000,IF('Concrete Plant (CP-4)'!$D$10&gt;0,'Concrete Plant (CP-4)'!$D$10*365*4024/2000,"")),IF(E26="CP-5",IF('Concrete Plant (CP-5)'!$D$9&gt;0,'Concrete Plant (CP-5)'!$D$9*4024/2000,IF('Concrete Plant (CP-5)'!$D$10&gt;0,'Concrete Plant (CP-5)'!$D$10*365*4024/2000,"")),IF(E26="CP-6",IF('Concrete Plant (CP-6)'!$D$9&gt;0,'Concrete Plant (CP-6)'!$D$9*4024/2000,IF('Concrete Plant (CP-6)'!$D$10&gt;0,'Concrete Plant (CP-6)'!$D$10*365*4024/2000,"")),IF(E26="CP-7",IF('Concrete Plant (CP-7)'!$D$9&gt;0,'Concrete Plant (CP-7)'!$D$9*4024/2000,IF('Concrete Plant (CP-7)'!$D$10&gt;0,'Concrete Plant (CP-7)'!$D$10*365*4024/2000,"")),IF(E26="CP-8",IF('Concrete Plant (CP-8)'!$D$9&gt;0,'Concrete Plant (CP-8)'!$D$9*4024/2000,IF('Concrete Plant (CP-8)'!$D$10&gt;0,'Concrete Plant (CP-8)'!$D$10*365*4024/2000,"")),IF(E26="CP-9",IF('Concrete Plant (CP-9)'!$D$9&gt;0,'Concrete Plant (CP-9)'!$D$9*4024/2000,IF('Concrete Plant (CP-9)'!$D$10&gt;0,'Concrete Plant (CP-9)'!$D$10*365*4024/2000,"")),IF(E26="CP-10",IF('Concrete Plant (CP-10)'!$D$9&gt;0,'Concrete Plant (CP-10)'!$D$9*4024/2000,IF('Concrete Plant (CP-10)'!$D$10&gt;0,'Concrete Plant (CP-10)'!$D$10*365*4024/2000,"")))))))))))))</f>
        <v/>
      </c>
      <c r="N26" s="133"/>
      <c r="O26" s="133"/>
      <c r="P26" s="120" t="str">
        <f t="shared" si="0"/>
        <v/>
      </c>
      <c r="Q26" s="120" t="str">
        <f t="shared" si="19"/>
        <v/>
      </c>
      <c r="R26" s="11" t="str">
        <f t="shared" si="15"/>
        <v/>
      </c>
      <c r="S26" s="11" t="str">
        <f t="shared" si="1"/>
        <v/>
      </c>
      <c r="T26" s="151"/>
      <c r="U26" s="131" t="str">
        <f t="shared" si="2"/>
        <v/>
      </c>
      <c r="V26" s="131" t="str">
        <f t="shared" si="3"/>
        <v/>
      </c>
      <c r="W26" s="131" t="str">
        <f t="shared" si="4"/>
        <v/>
      </c>
      <c r="X26" s="131" t="str">
        <f t="shared" si="5"/>
        <v/>
      </c>
      <c r="Y26" s="131" t="str">
        <f t="shared" si="6"/>
        <v/>
      </c>
      <c r="Z26" s="131" t="str">
        <f t="shared" si="7"/>
        <v/>
      </c>
      <c r="AA26" s="131" t="str">
        <f t="shared" si="8"/>
        <v/>
      </c>
      <c r="AB26" s="131" t="str">
        <f t="shared" si="9"/>
        <v/>
      </c>
      <c r="AC26" s="131" t="str">
        <f t="shared" si="10"/>
        <v/>
      </c>
      <c r="AD26" s="131" t="str">
        <f t="shared" si="11"/>
        <v/>
      </c>
      <c r="AE26" s="6" t="str">
        <f t="shared" si="20"/>
        <v/>
      </c>
      <c r="AF26" s="153" t="s">
        <v>233</v>
      </c>
      <c r="AG26" s="153" t="str">
        <f>IF('Concrete Plant (CP-9)'!$D$9&gt;0,'Concrete Plant (CP-9)'!$D$9,IF('Concrete Plant (CP-9)'!$D$10&gt;0,'Concrete Plant (CP-9)'!$D$10*365,""))</f>
        <v/>
      </c>
    </row>
    <row r="27" spans="1:41" ht="13.5" customHeight="1" x14ac:dyDescent="0.25">
      <c r="B27" s="55"/>
      <c r="C27" s="55"/>
      <c r="D27" s="11"/>
      <c r="E27" s="11"/>
      <c r="F27" s="11"/>
      <c r="G27" s="133"/>
      <c r="H27" s="133"/>
      <c r="I27" s="11"/>
      <c r="J27" s="131" t="str">
        <f t="shared" si="12"/>
        <v/>
      </c>
      <c r="K27" s="131" t="str">
        <f t="shared" si="13"/>
        <v/>
      </c>
      <c r="L27" s="133"/>
      <c r="M27" s="120" t="str">
        <f>IF(E27="","",IF(E27="CP-1",IF('Concrete Plant (CP-1)'!$D$9&gt;0,'Concrete Plant (CP-1)'!$D$9*4024/2000,IF('Concrete Plant (CP-1)'!$D$10&gt;0,'Concrete Plant (CP-1)'!$D$10*365*4024/2000,"")),IF(E27="CP-2",IF('Concrete Plant (CP-2)'!$D$9&gt;0,'Concrete Plant (CP-2)'!$D$9*4024/2000,IF('Concrete Plant (CP-2)'!$C$10&gt;0,'Concrete Plant (CP-2)'!$C$10*365*4024/2000,"")),IF(E27="CP-3",IF('Concrete Plant (CP-3)'!$D$9&gt;0,'Concrete Plant (CP-3)'!$D$9*4024/2000,IF('Concrete Plant (CP-3)'!$D$10&gt;0,'Concrete Plant (CP-3)'!$D$10*365*4024/2000,"")),IF(E27="CP-4",IF('Concrete Plant (CP-4)'!$D$9&gt;0,'Concrete Plant (CP-4)'!$D$9*4024/2000,IF('Concrete Plant (CP-4)'!$D$10&gt;0,'Concrete Plant (CP-4)'!$D$10*365*4024/2000,"")),IF(E27="CP-5",IF('Concrete Plant (CP-5)'!$D$9&gt;0,'Concrete Plant (CP-5)'!$D$9*4024/2000,IF('Concrete Plant (CP-5)'!$D$10&gt;0,'Concrete Plant (CP-5)'!$D$10*365*4024/2000,"")),IF(E27="CP-6",IF('Concrete Plant (CP-6)'!$D$9&gt;0,'Concrete Plant (CP-6)'!$D$9*4024/2000,IF('Concrete Plant (CP-6)'!$D$10&gt;0,'Concrete Plant (CP-6)'!$D$10*365*4024/2000,"")),IF(E27="CP-7",IF('Concrete Plant (CP-7)'!$D$9&gt;0,'Concrete Plant (CP-7)'!$D$9*4024/2000,IF('Concrete Plant (CP-7)'!$D$10&gt;0,'Concrete Plant (CP-7)'!$D$10*365*4024/2000,"")),IF(E27="CP-8",IF('Concrete Plant (CP-8)'!$D$9&gt;0,'Concrete Plant (CP-8)'!$D$9*4024/2000,IF('Concrete Plant (CP-8)'!$D$10&gt;0,'Concrete Plant (CP-8)'!$D$10*365*4024/2000,"")),IF(E27="CP-9",IF('Concrete Plant (CP-9)'!$D$9&gt;0,'Concrete Plant (CP-9)'!$D$9*4024/2000,IF('Concrete Plant (CP-9)'!$D$10&gt;0,'Concrete Plant (CP-9)'!$D$10*365*4024/2000,"")),IF(E27="CP-10",IF('Concrete Plant (CP-10)'!$D$9&gt;0,'Concrete Plant (CP-10)'!$D$9*4024/2000,IF('Concrete Plant (CP-10)'!$D$10&gt;0,'Concrete Plant (CP-10)'!$D$10*365*4024/2000,"")))))))))))))</f>
        <v/>
      </c>
      <c r="N27" s="133"/>
      <c r="O27" s="133"/>
      <c r="P27" s="120" t="str">
        <f t="shared" si="0"/>
        <v/>
      </c>
      <c r="Q27" s="120" t="str">
        <f t="shared" si="14"/>
        <v/>
      </c>
      <c r="R27" s="11" t="str">
        <f t="shared" si="15"/>
        <v/>
      </c>
      <c r="S27" s="11" t="str">
        <f t="shared" si="1"/>
        <v/>
      </c>
      <c r="T27" s="151"/>
      <c r="U27" s="131" t="str">
        <f t="shared" si="2"/>
        <v/>
      </c>
      <c r="V27" s="131" t="str">
        <f t="shared" si="3"/>
        <v/>
      </c>
      <c r="W27" s="131" t="str">
        <f t="shared" si="4"/>
        <v/>
      </c>
      <c r="X27" s="131" t="str">
        <f t="shared" si="5"/>
        <v/>
      </c>
      <c r="Y27" s="131" t="str">
        <f t="shared" si="6"/>
        <v/>
      </c>
      <c r="Z27" s="131" t="str">
        <f t="shared" si="7"/>
        <v/>
      </c>
      <c r="AA27" s="131" t="str">
        <f t="shared" si="8"/>
        <v/>
      </c>
      <c r="AB27" s="131" t="str">
        <f t="shared" si="9"/>
        <v/>
      </c>
      <c r="AC27" s="131" t="str">
        <f t="shared" si="10"/>
        <v/>
      </c>
      <c r="AD27" s="131" t="str">
        <f t="shared" si="11"/>
        <v/>
      </c>
      <c r="AE27" s="6" t="str">
        <f t="shared" ref="AE27:AE36" si="21">IF(B27="unpaved haul road","x","")</f>
        <v/>
      </c>
      <c r="AF27" s="153" t="s">
        <v>234</v>
      </c>
      <c r="AG27" s="153" t="str">
        <f>IF('Concrete Plant (CP-10)'!$D$9&gt;0,'Concrete Plant (CP-10)'!$D$9,IF('Concrete Plant (CP-10)'!$D$10&gt;0,'Concrete Plant (CP-10)'!$D$10*365,""))</f>
        <v/>
      </c>
    </row>
    <row r="28" spans="1:41" ht="13.5" customHeight="1" x14ac:dyDescent="0.25">
      <c r="B28" s="55"/>
      <c r="C28" s="55"/>
      <c r="D28" s="11"/>
      <c r="E28" s="11"/>
      <c r="F28" s="11"/>
      <c r="G28" s="133"/>
      <c r="H28" s="133"/>
      <c r="I28" s="11"/>
      <c r="J28" s="131" t="str">
        <f t="shared" si="12"/>
        <v/>
      </c>
      <c r="K28" s="131" t="str">
        <f t="shared" si="13"/>
        <v/>
      </c>
      <c r="L28" s="133"/>
      <c r="M28" s="120" t="str">
        <f>IF(E28="","",IF(E28="CP-1",IF('Concrete Plant (CP-1)'!$D$9&gt;0,'Concrete Plant (CP-1)'!$D$9*4024/2000,IF('Concrete Plant (CP-1)'!$D$10&gt;0,'Concrete Plant (CP-1)'!$D$10*365*4024/2000,"")),IF(E28="CP-2",IF('Concrete Plant (CP-2)'!$D$9&gt;0,'Concrete Plant (CP-2)'!$D$9*4024/2000,IF('Concrete Plant (CP-2)'!$C$10&gt;0,'Concrete Plant (CP-2)'!$C$10*365*4024/2000,"")),IF(E28="CP-3",IF('Concrete Plant (CP-3)'!$D$9&gt;0,'Concrete Plant (CP-3)'!$D$9*4024/2000,IF('Concrete Plant (CP-3)'!$D$10&gt;0,'Concrete Plant (CP-3)'!$D$10*365*4024/2000,"")),IF(E28="CP-4",IF('Concrete Plant (CP-4)'!$D$9&gt;0,'Concrete Plant (CP-4)'!$D$9*4024/2000,IF('Concrete Plant (CP-4)'!$D$10&gt;0,'Concrete Plant (CP-4)'!$D$10*365*4024/2000,"")),IF(E28="CP-5",IF('Concrete Plant (CP-5)'!$D$9&gt;0,'Concrete Plant (CP-5)'!$D$9*4024/2000,IF('Concrete Plant (CP-5)'!$D$10&gt;0,'Concrete Plant (CP-5)'!$D$10*365*4024/2000,"")),IF(E28="CP-6",IF('Concrete Plant (CP-6)'!$D$9&gt;0,'Concrete Plant (CP-6)'!$D$9*4024/2000,IF('Concrete Plant (CP-6)'!$D$10&gt;0,'Concrete Plant (CP-6)'!$D$10*365*4024/2000,"")),IF(E28="CP-7",IF('Concrete Plant (CP-7)'!$D$9&gt;0,'Concrete Plant (CP-7)'!$D$9*4024/2000,IF('Concrete Plant (CP-7)'!$D$10&gt;0,'Concrete Plant (CP-7)'!$D$10*365*4024/2000,"")),IF(E28="CP-8",IF('Concrete Plant (CP-8)'!$D$9&gt;0,'Concrete Plant (CP-8)'!$D$9*4024/2000,IF('Concrete Plant (CP-8)'!$D$10&gt;0,'Concrete Plant (CP-8)'!$D$10*365*4024/2000,"")),IF(E28="CP-9",IF('Concrete Plant (CP-9)'!$D$9&gt;0,'Concrete Plant (CP-9)'!$D$9*4024/2000,IF('Concrete Plant (CP-9)'!$D$10&gt;0,'Concrete Plant (CP-9)'!$D$10*365*4024/2000,"")),IF(E28="CP-10",IF('Concrete Plant (CP-10)'!$D$9&gt;0,'Concrete Plant (CP-10)'!$D$9*4024/2000,IF('Concrete Plant (CP-10)'!$D$10&gt;0,'Concrete Plant (CP-10)'!$D$10*365*4024/2000,"")))))))))))))</f>
        <v/>
      </c>
      <c r="N28" s="133"/>
      <c r="O28" s="133"/>
      <c r="P28" s="120" t="str">
        <f t="shared" si="0"/>
        <v/>
      </c>
      <c r="Q28" s="120" t="str">
        <f t="shared" si="14"/>
        <v/>
      </c>
      <c r="R28" s="11" t="str">
        <f t="shared" si="15"/>
        <v/>
      </c>
      <c r="S28" s="11" t="str">
        <f t="shared" si="1"/>
        <v/>
      </c>
      <c r="T28" s="151"/>
      <c r="U28" s="131" t="str">
        <f t="shared" si="2"/>
        <v/>
      </c>
      <c r="V28" s="131" t="str">
        <f t="shared" si="3"/>
        <v/>
      </c>
      <c r="W28" s="131" t="str">
        <f t="shared" si="4"/>
        <v/>
      </c>
      <c r="X28" s="131" t="str">
        <f t="shared" si="5"/>
        <v/>
      </c>
      <c r="Y28" s="131" t="str">
        <f t="shared" si="6"/>
        <v/>
      </c>
      <c r="Z28" s="131" t="str">
        <f t="shared" si="7"/>
        <v/>
      </c>
      <c r="AA28" s="131" t="str">
        <f t="shared" si="8"/>
        <v/>
      </c>
      <c r="AB28" s="131" t="str">
        <f t="shared" si="9"/>
        <v/>
      </c>
      <c r="AC28" s="131" t="str">
        <f t="shared" si="10"/>
        <v/>
      </c>
      <c r="AD28" s="131" t="str">
        <f t="shared" si="11"/>
        <v/>
      </c>
      <c r="AE28" s="6" t="str">
        <f t="shared" si="21"/>
        <v/>
      </c>
    </row>
    <row r="29" spans="1:41" ht="13.5" customHeight="1" x14ac:dyDescent="0.25">
      <c r="B29" s="55"/>
      <c r="C29" s="55"/>
      <c r="D29" s="11"/>
      <c r="E29" s="11"/>
      <c r="F29" s="11"/>
      <c r="G29" s="133"/>
      <c r="H29" s="133"/>
      <c r="I29" s="11"/>
      <c r="J29" s="131" t="str">
        <f t="shared" si="12"/>
        <v/>
      </c>
      <c r="K29" s="131" t="str">
        <f t="shared" si="13"/>
        <v/>
      </c>
      <c r="L29" s="133"/>
      <c r="M29" s="120" t="str">
        <f>IF(E29="","",IF(E29="CP-1",IF('Concrete Plant (CP-1)'!$D$9&gt;0,'Concrete Plant (CP-1)'!$D$9*4024/2000,IF('Concrete Plant (CP-1)'!$D$10&gt;0,'Concrete Plant (CP-1)'!$D$10*365*4024/2000,"")),IF(E29="CP-2",IF('Concrete Plant (CP-2)'!$D$9&gt;0,'Concrete Plant (CP-2)'!$D$9*4024/2000,IF('Concrete Plant (CP-2)'!$C$10&gt;0,'Concrete Plant (CP-2)'!$C$10*365*4024/2000,"")),IF(E29="CP-3",IF('Concrete Plant (CP-3)'!$D$9&gt;0,'Concrete Plant (CP-3)'!$D$9*4024/2000,IF('Concrete Plant (CP-3)'!$D$10&gt;0,'Concrete Plant (CP-3)'!$D$10*365*4024/2000,"")),IF(E29="CP-4",IF('Concrete Plant (CP-4)'!$D$9&gt;0,'Concrete Plant (CP-4)'!$D$9*4024/2000,IF('Concrete Plant (CP-4)'!$D$10&gt;0,'Concrete Plant (CP-4)'!$D$10*365*4024/2000,"")),IF(E29="CP-5",IF('Concrete Plant (CP-5)'!$D$9&gt;0,'Concrete Plant (CP-5)'!$D$9*4024/2000,IF('Concrete Plant (CP-5)'!$D$10&gt;0,'Concrete Plant (CP-5)'!$D$10*365*4024/2000,"")),IF(E29="CP-6",IF('Concrete Plant (CP-6)'!$D$9&gt;0,'Concrete Plant (CP-6)'!$D$9*4024/2000,IF('Concrete Plant (CP-6)'!$D$10&gt;0,'Concrete Plant (CP-6)'!$D$10*365*4024/2000,"")),IF(E29="CP-7",IF('Concrete Plant (CP-7)'!$D$9&gt;0,'Concrete Plant (CP-7)'!$D$9*4024/2000,IF('Concrete Plant (CP-7)'!$D$10&gt;0,'Concrete Plant (CP-7)'!$D$10*365*4024/2000,"")),IF(E29="CP-8",IF('Concrete Plant (CP-8)'!$D$9&gt;0,'Concrete Plant (CP-8)'!$D$9*4024/2000,IF('Concrete Plant (CP-8)'!$D$10&gt;0,'Concrete Plant (CP-8)'!$D$10*365*4024/2000,"")),IF(E29="CP-9",IF('Concrete Plant (CP-9)'!$D$9&gt;0,'Concrete Plant (CP-9)'!$D$9*4024/2000,IF('Concrete Plant (CP-9)'!$D$10&gt;0,'Concrete Plant (CP-9)'!$D$10*365*4024/2000,"")),IF(E29="CP-10",IF('Concrete Plant (CP-10)'!$D$9&gt;0,'Concrete Plant (CP-10)'!$D$9*4024/2000,IF('Concrete Plant (CP-10)'!$D$10&gt;0,'Concrete Plant (CP-10)'!$D$10*365*4024/2000,"")))))))))))))</f>
        <v/>
      </c>
      <c r="N29" s="133"/>
      <c r="O29" s="133"/>
      <c r="P29" s="120" t="str">
        <f t="shared" si="0"/>
        <v/>
      </c>
      <c r="Q29" s="120" t="str">
        <f t="shared" si="14"/>
        <v/>
      </c>
      <c r="R29" s="11" t="str">
        <f t="shared" si="15"/>
        <v/>
      </c>
      <c r="S29" s="11" t="str">
        <f t="shared" si="1"/>
        <v/>
      </c>
      <c r="T29" s="151"/>
      <c r="U29" s="131" t="str">
        <f t="shared" si="2"/>
        <v/>
      </c>
      <c r="V29" s="131" t="str">
        <f t="shared" si="3"/>
        <v/>
      </c>
      <c r="W29" s="131" t="str">
        <f t="shared" si="4"/>
        <v/>
      </c>
      <c r="X29" s="131" t="str">
        <f t="shared" si="5"/>
        <v/>
      </c>
      <c r="Y29" s="131" t="str">
        <f t="shared" si="6"/>
        <v/>
      </c>
      <c r="Z29" s="131" t="str">
        <f t="shared" si="7"/>
        <v/>
      </c>
      <c r="AA29" s="131" t="str">
        <f t="shared" si="8"/>
        <v/>
      </c>
      <c r="AB29" s="131" t="str">
        <f t="shared" si="9"/>
        <v/>
      </c>
      <c r="AC29" s="131" t="str">
        <f t="shared" si="10"/>
        <v/>
      </c>
      <c r="AD29" s="131" t="str">
        <f t="shared" si="11"/>
        <v/>
      </c>
      <c r="AE29" s="6" t="str">
        <f t="shared" si="21"/>
        <v/>
      </c>
    </row>
    <row r="30" spans="1:41" ht="13.5" customHeight="1" x14ac:dyDescent="0.25">
      <c r="B30" s="55"/>
      <c r="C30" s="55"/>
      <c r="D30" s="11"/>
      <c r="E30" s="11"/>
      <c r="F30" s="11"/>
      <c r="G30" s="133"/>
      <c r="H30" s="133"/>
      <c r="I30" s="11"/>
      <c r="J30" s="131" t="str">
        <f t="shared" si="12"/>
        <v/>
      </c>
      <c r="K30" s="131" t="str">
        <f t="shared" si="13"/>
        <v/>
      </c>
      <c r="L30" s="133"/>
      <c r="M30" s="120" t="str">
        <f>IF(E30="","",IF(E30="CP-1",IF('Concrete Plant (CP-1)'!$D$9&gt;0,'Concrete Plant (CP-1)'!$D$9*4024/2000,IF('Concrete Plant (CP-1)'!$D$10&gt;0,'Concrete Plant (CP-1)'!$D$10*365*4024/2000,"")),IF(E30="CP-2",IF('Concrete Plant (CP-2)'!$D$9&gt;0,'Concrete Plant (CP-2)'!$D$9*4024/2000,IF('Concrete Plant (CP-2)'!$C$10&gt;0,'Concrete Plant (CP-2)'!$C$10*365*4024/2000,"")),IF(E30="CP-3",IF('Concrete Plant (CP-3)'!$D$9&gt;0,'Concrete Plant (CP-3)'!$D$9*4024/2000,IF('Concrete Plant (CP-3)'!$D$10&gt;0,'Concrete Plant (CP-3)'!$D$10*365*4024/2000,"")),IF(E30="CP-4",IF('Concrete Plant (CP-4)'!$D$9&gt;0,'Concrete Plant (CP-4)'!$D$9*4024/2000,IF('Concrete Plant (CP-4)'!$D$10&gt;0,'Concrete Plant (CP-4)'!$D$10*365*4024/2000,"")),IF(E30="CP-5",IF('Concrete Plant (CP-5)'!$D$9&gt;0,'Concrete Plant (CP-5)'!$D$9*4024/2000,IF('Concrete Plant (CP-5)'!$D$10&gt;0,'Concrete Plant (CP-5)'!$D$10*365*4024/2000,"")),IF(E30="CP-6",IF('Concrete Plant (CP-6)'!$D$9&gt;0,'Concrete Plant (CP-6)'!$D$9*4024/2000,IF('Concrete Plant (CP-6)'!$D$10&gt;0,'Concrete Plant (CP-6)'!$D$10*365*4024/2000,"")),IF(E30="CP-7",IF('Concrete Plant (CP-7)'!$D$9&gt;0,'Concrete Plant (CP-7)'!$D$9*4024/2000,IF('Concrete Plant (CP-7)'!$D$10&gt;0,'Concrete Plant (CP-7)'!$D$10*365*4024/2000,"")),IF(E30="CP-8",IF('Concrete Plant (CP-8)'!$D$9&gt;0,'Concrete Plant (CP-8)'!$D$9*4024/2000,IF('Concrete Plant (CP-8)'!$D$10&gt;0,'Concrete Plant (CP-8)'!$D$10*365*4024/2000,"")),IF(E30="CP-9",IF('Concrete Plant (CP-9)'!$D$9&gt;0,'Concrete Plant (CP-9)'!$D$9*4024/2000,IF('Concrete Plant (CP-9)'!$D$10&gt;0,'Concrete Plant (CP-9)'!$D$10*365*4024/2000,"")),IF(E30="CP-10",IF('Concrete Plant (CP-10)'!$D$9&gt;0,'Concrete Plant (CP-10)'!$D$9*4024/2000,IF('Concrete Plant (CP-10)'!$D$10&gt;0,'Concrete Plant (CP-10)'!$D$10*365*4024/2000,"")))))))))))))</f>
        <v/>
      </c>
      <c r="N30" s="133"/>
      <c r="O30" s="133"/>
      <c r="P30" s="120" t="str">
        <f t="shared" si="0"/>
        <v/>
      </c>
      <c r="Q30" s="120" t="str">
        <f t="shared" si="14"/>
        <v/>
      </c>
      <c r="R30" s="11" t="str">
        <f t="shared" si="15"/>
        <v/>
      </c>
      <c r="S30" s="11" t="str">
        <f t="shared" si="1"/>
        <v/>
      </c>
      <c r="T30" s="151"/>
      <c r="U30" s="131" t="str">
        <f t="shared" si="2"/>
        <v/>
      </c>
      <c r="V30" s="131" t="str">
        <f t="shared" si="3"/>
        <v/>
      </c>
      <c r="W30" s="131" t="str">
        <f t="shared" si="4"/>
        <v/>
      </c>
      <c r="X30" s="131" t="str">
        <f t="shared" si="5"/>
        <v/>
      </c>
      <c r="Y30" s="131" t="str">
        <f t="shared" si="6"/>
        <v/>
      </c>
      <c r="Z30" s="131" t="str">
        <f t="shared" si="7"/>
        <v/>
      </c>
      <c r="AA30" s="131" t="str">
        <f t="shared" si="8"/>
        <v/>
      </c>
      <c r="AB30" s="131" t="str">
        <f t="shared" si="9"/>
        <v/>
      </c>
      <c r="AC30" s="131" t="str">
        <f t="shared" si="10"/>
        <v/>
      </c>
      <c r="AD30" s="131" t="str">
        <f t="shared" si="11"/>
        <v/>
      </c>
      <c r="AE30" s="6" t="str">
        <f t="shared" si="21"/>
        <v/>
      </c>
    </row>
    <row r="31" spans="1:41" ht="13.5" customHeight="1" x14ac:dyDescent="0.25">
      <c r="B31" s="55"/>
      <c r="C31" s="55"/>
      <c r="D31" s="11"/>
      <c r="E31" s="11"/>
      <c r="F31" s="11"/>
      <c r="G31" s="133"/>
      <c r="H31" s="133"/>
      <c r="I31" s="11"/>
      <c r="J31" s="131" t="str">
        <f t="shared" si="12"/>
        <v/>
      </c>
      <c r="K31" s="131" t="str">
        <f t="shared" si="13"/>
        <v/>
      </c>
      <c r="L31" s="133"/>
      <c r="M31" s="120" t="str">
        <f>IF(E31="","",IF(E31="CP-1",IF('Concrete Plant (CP-1)'!$D$9&gt;0,'Concrete Plant (CP-1)'!$D$9*4024/2000,IF('Concrete Plant (CP-1)'!$D$10&gt;0,'Concrete Plant (CP-1)'!$D$10*365*4024/2000,"")),IF(E31="CP-2",IF('Concrete Plant (CP-2)'!$D$9&gt;0,'Concrete Plant (CP-2)'!$D$9*4024/2000,IF('Concrete Plant (CP-2)'!$C$10&gt;0,'Concrete Plant (CP-2)'!$C$10*365*4024/2000,"")),IF(E31="CP-3",IF('Concrete Plant (CP-3)'!$D$9&gt;0,'Concrete Plant (CP-3)'!$D$9*4024/2000,IF('Concrete Plant (CP-3)'!$D$10&gt;0,'Concrete Plant (CP-3)'!$D$10*365*4024/2000,"")),IF(E31="CP-4",IF('Concrete Plant (CP-4)'!$D$9&gt;0,'Concrete Plant (CP-4)'!$D$9*4024/2000,IF('Concrete Plant (CP-4)'!$D$10&gt;0,'Concrete Plant (CP-4)'!$D$10*365*4024/2000,"")),IF(E31="CP-5",IF('Concrete Plant (CP-5)'!$D$9&gt;0,'Concrete Plant (CP-5)'!$D$9*4024/2000,IF('Concrete Plant (CP-5)'!$D$10&gt;0,'Concrete Plant (CP-5)'!$D$10*365*4024/2000,"")),IF(E31="CP-6",IF('Concrete Plant (CP-6)'!$D$9&gt;0,'Concrete Plant (CP-6)'!$D$9*4024/2000,IF('Concrete Plant (CP-6)'!$D$10&gt;0,'Concrete Plant (CP-6)'!$D$10*365*4024/2000,"")),IF(E31="CP-7",IF('Concrete Plant (CP-7)'!$D$9&gt;0,'Concrete Plant (CP-7)'!$D$9*4024/2000,IF('Concrete Plant (CP-7)'!$D$10&gt;0,'Concrete Plant (CP-7)'!$D$10*365*4024/2000,"")),IF(E31="CP-8",IF('Concrete Plant (CP-8)'!$D$9&gt;0,'Concrete Plant (CP-8)'!$D$9*4024/2000,IF('Concrete Plant (CP-8)'!$D$10&gt;0,'Concrete Plant (CP-8)'!$D$10*365*4024/2000,"")),IF(E31="CP-9",IF('Concrete Plant (CP-9)'!$D$9&gt;0,'Concrete Plant (CP-9)'!$D$9*4024/2000,IF('Concrete Plant (CP-9)'!$D$10&gt;0,'Concrete Plant (CP-9)'!$D$10*365*4024/2000,"")),IF(E31="CP-10",IF('Concrete Plant (CP-10)'!$D$9&gt;0,'Concrete Plant (CP-10)'!$D$9*4024/2000,IF('Concrete Plant (CP-10)'!$D$10&gt;0,'Concrete Plant (CP-10)'!$D$10*365*4024/2000,"")))))))))))))</f>
        <v/>
      </c>
      <c r="N31" s="133"/>
      <c r="O31" s="133"/>
      <c r="P31" s="120" t="str">
        <f t="shared" si="0"/>
        <v/>
      </c>
      <c r="Q31" s="120" t="str">
        <f t="shared" si="14"/>
        <v/>
      </c>
      <c r="R31" s="11" t="str">
        <f t="shared" si="15"/>
        <v/>
      </c>
      <c r="S31" s="11" t="str">
        <f t="shared" si="1"/>
        <v/>
      </c>
      <c r="T31" s="151"/>
      <c r="U31" s="131" t="str">
        <f t="shared" si="2"/>
        <v/>
      </c>
      <c r="V31" s="131" t="str">
        <f t="shared" si="3"/>
        <v/>
      </c>
      <c r="W31" s="131" t="str">
        <f t="shared" si="4"/>
        <v/>
      </c>
      <c r="X31" s="131" t="str">
        <f t="shared" si="5"/>
        <v/>
      </c>
      <c r="Y31" s="131" t="str">
        <f t="shared" si="6"/>
        <v/>
      </c>
      <c r="Z31" s="131" t="str">
        <f t="shared" si="7"/>
        <v/>
      </c>
      <c r="AA31" s="131" t="str">
        <f t="shared" si="8"/>
        <v/>
      </c>
      <c r="AB31" s="131" t="str">
        <f t="shared" si="9"/>
        <v/>
      </c>
      <c r="AC31" s="131" t="str">
        <f t="shared" si="10"/>
        <v/>
      </c>
      <c r="AD31" s="131" t="str">
        <f t="shared" si="11"/>
        <v/>
      </c>
      <c r="AE31" s="6" t="str">
        <f t="shared" si="21"/>
        <v/>
      </c>
    </row>
    <row r="32" spans="1:41" ht="13.5" customHeight="1" x14ac:dyDescent="0.25">
      <c r="B32" s="55"/>
      <c r="C32" s="55"/>
      <c r="D32" s="11"/>
      <c r="E32" s="11"/>
      <c r="F32" s="11"/>
      <c r="G32" s="133"/>
      <c r="H32" s="133"/>
      <c r="I32" s="11"/>
      <c r="J32" s="131" t="str">
        <f t="shared" si="12"/>
        <v/>
      </c>
      <c r="K32" s="131" t="str">
        <f t="shared" si="13"/>
        <v/>
      </c>
      <c r="L32" s="133"/>
      <c r="M32" s="120" t="str">
        <f>IF(E32="","",IF(E32="CP-1",IF('Concrete Plant (CP-1)'!$D$9&gt;0,'Concrete Plant (CP-1)'!$D$9*4024/2000,IF('Concrete Plant (CP-1)'!$D$10&gt;0,'Concrete Plant (CP-1)'!$D$10*365*4024/2000,"")),IF(E32="CP-2",IF('Concrete Plant (CP-2)'!$D$9&gt;0,'Concrete Plant (CP-2)'!$D$9*4024/2000,IF('Concrete Plant (CP-2)'!$C$10&gt;0,'Concrete Plant (CP-2)'!$C$10*365*4024/2000,"")),IF(E32="CP-3",IF('Concrete Plant (CP-3)'!$D$9&gt;0,'Concrete Plant (CP-3)'!$D$9*4024/2000,IF('Concrete Plant (CP-3)'!$D$10&gt;0,'Concrete Plant (CP-3)'!$D$10*365*4024/2000,"")),IF(E32="CP-4",IF('Concrete Plant (CP-4)'!$D$9&gt;0,'Concrete Plant (CP-4)'!$D$9*4024/2000,IF('Concrete Plant (CP-4)'!$D$10&gt;0,'Concrete Plant (CP-4)'!$D$10*365*4024/2000,"")),IF(E32="CP-5",IF('Concrete Plant (CP-5)'!$D$9&gt;0,'Concrete Plant (CP-5)'!$D$9*4024/2000,IF('Concrete Plant (CP-5)'!$D$10&gt;0,'Concrete Plant (CP-5)'!$D$10*365*4024/2000,"")),IF(E32="CP-6",IF('Concrete Plant (CP-6)'!$D$9&gt;0,'Concrete Plant (CP-6)'!$D$9*4024/2000,IF('Concrete Plant (CP-6)'!$D$10&gt;0,'Concrete Plant (CP-6)'!$D$10*365*4024/2000,"")),IF(E32="CP-7",IF('Concrete Plant (CP-7)'!$D$9&gt;0,'Concrete Plant (CP-7)'!$D$9*4024/2000,IF('Concrete Plant (CP-7)'!$D$10&gt;0,'Concrete Plant (CP-7)'!$D$10*365*4024/2000,"")),IF(E32="CP-8",IF('Concrete Plant (CP-8)'!$D$9&gt;0,'Concrete Plant (CP-8)'!$D$9*4024/2000,IF('Concrete Plant (CP-8)'!$D$10&gt;0,'Concrete Plant (CP-8)'!$D$10*365*4024/2000,"")),IF(E32="CP-9",IF('Concrete Plant (CP-9)'!$D$9&gt;0,'Concrete Plant (CP-9)'!$D$9*4024/2000,IF('Concrete Plant (CP-9)'!$D$10&gt;0,'Concrete Plant (CP-9)'!$D$10*365*4024/2000,"")),IF(E32="CP-10",IF('Concrete Plant (CP-10)'!$D$9&gt;0,'Concrete Plant (CP-10)'!$D$9*4024/2000,IF('Concrete Plant (CP-10)'!$D$10&gt;0,'Concrete Plant (CP-10)'!$D$10*365*4024/2000,"")))))))))))))</f>
        <v/>
      </c>
      <c r="N32" s="133"/>
      <c r="O32" s="133"/>
      <c r="P32" s="120" t="str">
        <f t="shared" si="0"/>
        <v/>
      </c>
      <c r="Q32" s="120" t="str">
        <f t="shared" si="14"/>
        <v/>
      </c>
      <c r="R32" s="11" t="str">
        <f t="shared" si="15"/>
        <v/>
      </c>
      <c r="S32" s="11" t="str">
        <f t="shared" si="1"/>
        <v/>
      </c>
      <c r="T32" s="151"/>
      <c r="U32" s="131" t="str">
        <f t="shared" si="2"/>
        <v/>
      </c>
      <c r="V32" s="131" t="str">
        <f t="shared" si="3"/>
        <v/>
      </c>
      <c r="W32" s="131" t="str">
        <f t="shared" si="4"/>
        <v/>
      </c>
      <c r="X32" s="131" t="str">
        <f t="shared" si="5"/>
        <v/>
      </c>
      <c r="Y32" s="131" t="str">
        <f t="shared" si="6"/>
        <v/>
      </c>
      <c r="Z32" s="131" t="str">
        <f t="shared" si="7"/>
        <v/>
      </c>
      <c r="AA32" s="131" t="str">
        <f t="shared" si="8"/>
        <v/>
      </c>
      <c r="AB32" s="131" t="str">
        <f t="shared" si="9"/>
        <v/>
      </c>
      <c r="AC32" s="131" t="str">
        <f t="shared" si="10"/>
        <v/>
      </c>
      <c r="AD32" s="131" t="str">
        <f t="shared" si="11"/>
        <v/>
      </c>
      <c r="AE32" s="6" t="str">
        <f t="shared" si="21"/>
        <v/>
      </c>
    </row>
    <row r="33" spans="2:31" ht="13.5" customHeight="1" x14ac:dyDescent="0.25">
      <c r="B33" s="55"/>
      <c r="C33" s="55"/>
      <c r="D33" s="11"/>
      <c r="E33" s="11"/>
      <c r="F33" s="11"/>
      <c r="G33" s="133"/>
      <c r="H33" s="133"/>
      <c r="I33" s="11"/>
      <c r="J33" s="131" t="str">
        <f t="shared" si="12"/>
        <v/>
      </c>
      <c r="K33" s="131" t="str">
        <f t="shared" si="13"/>
        <v/>
      </c>
      <c r="L33" s="133"/>
      <c r="M33" s="120" t="str">
        <f>IF(E33="","",IF(E33="CP-1",IF('Concrete Plant (CP-1)'!$D$9&gt;0,'Concrete Plant (CP-1)'!$D$9*4024/2000,IF('Concrete Plant (CP-1)'!$D$10&gt;0,'Concrete Plant (CP-1)'!$D$10*365*4024/2000,"")),IF(E33="CP-2",IF('Concrete Plant (CP-2)'!$D$9&gt;0,'Concrete Plant (CP-2)'!$D$9*4024/2000,IF('Concrete Plant (CP-2)'!$C$10&gt;0,'Concrete Plant (CP-2)'!$C$10*365*4024/2000,"")),IF(E33="CP-3",IF('Concrete Plant (CP-3)'!$D$9&gt;0,'Concrete Plant (CP-3)'!$D$9*4024/2000,IF('Concrete Plant (CP-3)'!$D$10&gt;0,'Concrete Plant (CP-3)'!$D$10*365*4024/2000,"")),IF(E33="CP-4",IF('Concrete Plant (CP-4)'!$D$9&gt;0,'Concrete Plant (CP-4)'!$D$9*4024/2000,IF('Concrete Plant (CP-4)'!$D$10&gt;0,'Concrete Plant (CP-4)'!$D$10*365*4024/2000,"")),IF(E33="CP-5",IF('Concrete Plant (CP-5)'!$D$9&gt;0,'Concrete Plant (CP-5)'!$D$9*4024/2000,IF('Concrete Plant (CP-5)'!$D$10&gt;0,'Concrete Plant (CP-5)'!$D$10*365*4024/2000,"")),IF(E33="CP-6",IF('Concrete Plant (CP-6)'!$D$9&gt;0,'Concrete Plant (CP-6)'!$D$9*4024/2000,IF('Concrete Plant (CP-6)'!$D$10&gt;0,'Concrete Plant (CP-6)'!$D$10*365*4024/2000,"")),IF(E33="CP-7",IF('Concrete Plant (CP-7)'!$D$9&gt;0,'Concrete Plant (CP-7)'!$D$9*4024/2000,IF('Concrete Plant (CP-7)'!$D$10&gt;0,'Concrete Plant (CP-7)'!$D$10*365*4024/2000,"")),IF(E33="CP-8",IF('Concrete Plant (CP-8)'!$D$9&gt;0,'Concrete Plant (CP-8)'!$D$9*4024/2000,IF('Concrete Plant (CP-8)'!$D$10&gt;0,'Concrete Plant (CP-8)'!$D$10*365*4024/2000,"")),IF(E33="CP-9",IF('Concrete Plant (CP-9)'!$D$9&gt;0,'Concrete Plant (CP-9)'!$D$9*4024/2000,IF('Concrete Plant (CP-9)'!$D$10&gt;0,'Concrete Plant (CP-9)'!$D$10*365*4024/2000,"")),IF(E33="CP-10",IF('Concrete Plant (CP-10)'!$D$9&gt;0,'Concrete Plant (CP-10)'!$D$9*4024/2000,IF('Concrete Plant (CP-10)'!$D$10&gt;0,'Concrete Plant (CP-10)'!$D$10*365*4024/2000,"")))))))))))))</f>
        <v/>
      </c>
      <c r="N33" s="133"/>
      <c r="O33" s="133"/>
      <c r="P33" s="120" t="str">
        <f t="shared" si="0"/>
        <v/>
      </c>
      <c r="Q33" s="120" t="str">
        <f t="shared" si="14"/>
        <v/>
      </c>
      <c r="R33" s="11" t="str">
        <f t="shared" si="15"/>
        <v/>
      </c>
      <c r="S33" s="11" t="str">
        <f t="shared" si="1"/>
        <v/>
      </c>
      <c r="T33" s="151"/>
      <c r="U33" s="131" t="str">
        <f t="shared" si="2"/>
        <v/>
      </c>
      <c r="V33" s="131" t="str">
        <f t="shared" si="3"/>
        <v/>
      </c>
      <c r="W33" s="131" t="str">
        <f t="shared" si="4"/>
        <v/>
      </c>
      <c r="X33" s="131" t="str">
        <f t="shared" si="5"/>
        <v/>
      </c>
      <c r="Y33" s="131" t="str">
        <f t="shared" si="6"/>
        <v/>
      </c>
      <c r="Z33" s="131" t="str">
        <f t="shared" si="7"/>
        <v/>
      </c>
      <c r="AA33" s="131" t="str">
        <f t="shared" si="8"/>
        <v/>
      </c>
      <c r="AB33" s="131" t="str">
        <f t="shared" si="9"/>
        <v/>
      </c>
      <c r="AC33" s="131" t="str">
        <f t="shared" si="10"/>
        <v/>
      </c>
      <c r="AD33" s="131" t="str">
        <f t="shared" si="11"/>
        <v/>
      </c>
      <c r="AE33" s="6" t="str">
        <f t="shared" si="21"/>
        <v/>
      </c>
    </row>
    <row r="34" spans="2:31" ht="13.5" customHeight="1" x14ac:dyDescent="0.25">
      <c r="B34" s="55"/>
      <c r="C34" s="55"/>
      <c r="D34" s="11"/>
      <c r="E34" s="11"/>
      <c r="F34" s="11"/>
      <c r="G34" s="133"/>
      <c r="H34" s="133"/>
      <c r="I34" s="11"/>
      <c r="J34" s="131" t="str">
        <f t="shared" si="12"/>
        <v/>
      </c>
      <c r="K34" s="131" t="str">
        <f t="shared" si="13"/>
        <v/>
      </c>
      <c r="L34" s="133"/>
      <c r="M34" s="120" t="str">
        <f>IF(E34="","",IF(E34="CP-1",IF('Concrete Plant (CP-1)'!$D$9&gt;0,'Concrete Plant (CP-1)'!$D$9*4024/2000,IF('Concrete Plant (CP-1)'!$D$10&gt;0,'Concrete Plant (CP-1)'!$D$10*365*4024/2000,"")),IF(E34="CP-2",IF('Concrete Plant (CP-2)'!$D$9&gt;0,'Concrete Plant (CP-2)'!$D$9*4024/2000,IF('Concrete Plant (CP-2)'!$C$10&gt;0,'Concrete Plant (CP-2)'!$C$10*365*4024/2000,"")),IF(E34="CP-3",IF('Concrete Plant (CP-3)'!$D$9&gt;0,'Concrete Plant (CP-3)'!$D$9*4024/2000,IF('Concrete Plant (CP-3)'!$D$10&gt;0,'Concrete Plant (CP-3)'!$D$10*365*4024/2000,"")),IF(E34="CP-4",IF('Concrete Plant (CP-4)'!$D$9&gt;0,'Concrete Plant (CP-4)'!$D$9*4024/2000,IF('Concrete Plant (CP-4)'!$D$10&gt;0,'Concrete Plant (CP-4)'!$D$10*365*4024/2000,"")),IF(E34="CP-5",IF('Concrete Plant (CP-5)'!$D$9&gt;0,'Concrete Plant (CP-5)'!$D$9*4024/2000,IF('Concrete Plant (CP-5)'!$D$10&gt;0,'Concrete Plant (CP-5)'!$D$10*365*4024/2000,"")),IF(E34="CP-6",IF('Concrete Plant (CP-6)'!$D$9&gt;0,'Concrete Plant (CP-6)'!$D$9*4024/2000,IF('Concrete Plant (CP-6)'!$D$10&gt;0,'Concrete Plant (CP-6)'!$D$10*365*4024/2000,"")),IF(E34="CP-7",IF('Concrete Plant (CP-7)'!$D$9&gt;0,'Concrete Plant (CP-7)'!$D$9*4024/2000,IF('Concrete Plant (CP-7)'!$D$10&gt;0,'Concrete Plant (CP-7)'!$D$10*365*4024/2000,"")),IF(E34="CP-8",IF('Concrete Plant (CP-8)'!$D$9&gt;0,'Concrete Plant (CP-8)'!$D$9*4024/2000,IF('Concrete Plant (CP-8)'!$D$10&gt;0,'Concrete Plant (CP-8)'!$D$10*365*4024/2000,"")),IF(E34="CP-9",IF('Concrete Plant (CP-9)'!$D$9&gt;0,'Concrete Plant (CP-9)'!$D$9*4024/2000,IF('Concrete Plant (CP-9)'!$D$10&gt;0,'Concrete Plant (CP-9)'!$D$10*365*4024/2000,"")),IF(E34="CP-10",IF('Concrete Plant (CP-10)'!$D$9&gt;0,'Concrete Plant (CP-10)'!$D$9*4024/2000,IF('Concrete Plant (CP-10)'!$D$10&gt;0,'Concrete Plant (CP-10)'!$D$10*365*4024/2000,"")))))))))))))</f>
        <v/>
      </c>
      <c r="N34" s="133"/>
      <c r="O34" s="133"/>
      <c r="P34" s="120" t="str">
        <f t="shared" si="0"/>
        <v/>
      </c>
      <c r="Q34" s="120" t="str">
        <f t="shared" si="14"/>
        <v/>
      </c>
      <c r="R34" s="11" t="str">
        <f t="shared" si="15"/>
        <v/>
      </c>
      <c r="S34" s="11" t="str">
        <f t="shared" si="1"/>
        <v/>
      </c>
      <c r="T34" s="151"/>
      <c r="U34" s="131" t="str">
        <f t="shared" si="2"/>
        <v/>
      </c>
      <c r="V34" s="131" t="str">
        <f t="shared" si="3"/>
        <v/>
      </c>
      <c r="W34" s="131" t="str">
        <f t="shared" si="4"/>
        <v/>
      </c>
      <c r="X34" s="131" t="str">
        <f t="shared" si="5"/>
        <v/>
      </c>
      <c r="Y34" s="131" t="str">
        <f t="shared" si="6"/>
        <v/>
      </c>
      <c r="Z34" s="131" t="str">
        <f t="shared" si="7"/>
        <v/>
      </c>
      <c r="AA34" s="131" t="str">
        <f t="shared" si="8"/>
        <v/>
      </c>
      <c r="AB34" s="131" t="str">
        <f t="shared" si="9"/>
        <v/>
      </c>
      <c r="AC34" s="131" t="str">
        <f t="shared" si="10"/>
        <v/>
      </c>
      <c r="AD34" s="131" t="str">
        <f t="shared" si="11"/>
        <v/>
      </c>
      <c r="AE34" s="6" t="str">
        <f t="shared" si="21"/>
        <v/>
      </c>
    </row>
    <row r="35" spans="2:31" ht="13.5" customHeight="1" x14ac:dyDescent="0.25">
      <c r="B35" s="55"/>
      <c r="C35" s="55"/>
      <c r="D35" s="11"/>
      <c r="E35" s="11"/>
      <c r="F35" s="11"/>
      <c r="G35" s="133"/>
      <c r="H35" s="133"/>
      <c r="I35" s="11"/>
      <c r="J35" s="131" t="str">
        <f t="shared" si="12"/>
        <v/>
      </c>
      <c r="K35" s="131" t="str">
        <f t="shared" si="13"/>
        <v/>
      </c>
      <c r="L35" s="133"/>
      <c r="M35" s="120" t="str">
        <f>IF(E35="","",IF(E35="CP-1",IF('Concrete Plant (CP-1)'!$D$9&gt;0,'Concrete Plant (CP-1)'!$D$9*4024/2000,IF('Concrete Plant (CP-1)'!$D$10&gt;0,'Concrete Plant (CP-1)'!$D$10*365*4024/2000,"")),IF(E35="CP-2",IF('Concrete Plant (CP-2)'!$D$9&gt;0,'Concrete Plant (CP-2)'!$D$9*4024/2000,IF('Concrete Plant (CP-2)'!$C$10&gt;0,'Concrete Plant (CP-2)'!$C$10*365*4024/2000,"")),IF(E35="CP-3",IF('Concrete Plant (CP-3)'!$D$9&gt;0,'Concrete Plant (CP-3)'!$D$9*4024/2000,IF('Concrete Plant (CP-3)'!$D$10&gt;0,'Concrete Plant (CP-3)'!$D$10*365*4024/2000,"")),IF(E35="CP-4",IF('Concrete Plant (CP-4)'!$D$9&gt;0,'Concrete Plant (CP-4)'!$D$9*4024/2000,IF('Concrete Plant (CP-4)'!$D$10&gt;0,'Concrete Plant (CP-4)'!$D$10*365*4024/2000,"")),IF(E35="CP-5",IF('Concrete Plant (CP-5)'!$D$9&gt;0,'Concrete Plant (CP-5)'!$D$9*4024/2000,IF('Concrete Plant (CP-5)'!$D$10&gt;0,'Concrete Plant (CP-5)'!$D$10*365*4024/2000,"")),IF(E35="CP-6",IF('Concrete Plant (CP-6)'!$D$9&gt;0,'Concrete Plant (CP-6)'!$D$9*4024/2000,IF('Concrete Plant (CP-6)'!$D$10&gt;0,'Concrete Plant (CP-6)'!$D$10*365*4024/2000,"")),IF(E35="CP-7",IF('Concrete Plant (CP-7)'!$D$9&gt;0,'Concrete Plant (CP-7)'!$D$9*4024/2000,IF('Concrete Plant (CP-7)'!$D$10&gt;0,'Concrete Plant (CP-7)'!$D$10*365*4024/2000,"")),IF(E35="CP-8",IF('Concrete Plant (CP-8)'!$D$9&gt;0,'Concrete Plant (CP-8)'!$D$9*4024/2000,IF('Concrete Plant (CP-8)'!$D$10&gt;0,'Concrete Plant (CP-8)'!$D$10*365*4024/2000,"")),IF(E35="CP-9",IF('Concrete Plant (CP-9)'!$D$9&gt;0,'Concrete Plant (CP-9)'!$D$9*4024/2000,IF('Concrete Plant (CP-9)'!$D$10&gt;0,'Concrete Plant (CP-9)'!$D$10*365*4024/2000,"")),IF(E35="CP-10",IF('Concrete Plant (CP-10)'!$D$9&gt;0,'Concrete Plant (CP-10)'!$D$9*4024/2000,IF('Concrete Plant (CP-10)'!$D$10&gt;0,'Concrete Plant (CP-10)'!$D$10*365*4024/2000,"")))))))))))))</f>
        <v/>
      </c>
      <c r="N35" s="133"/>
      <c r="O35" s="133"/>
      <c r="P35" s="120" t="str">
        <f t="shared" si="0"/>
        <v/>
      </c>
      <c r="Q35" s="120" t="str">
        <f t="shared" si="14"/>
        <v/>
      </c>
      <c r="R35" s="11" t="str">
        <f t="shared" si="15"/>
        <v/>
      </c>
      <c r="S35" s="11" t="str">
        <f t="shared" si="1"/>
        <v/>
      </c>
      <c r="T35" s="151"/>
      <c r="U35" s="131" t="str">
        <f t="shared" si="2"/>
        <v/>
      </c>
      <c r="V35" s="131" t="str">
        <f t="shared" si="3"/>
        <v/>
      </c>
      <c r="W35" s="131" t="str">
        <f t="shared" si="4"/>
        <v/>
      </c>
      <c r="X35" s="131" t="str">
        <f t="shared" si="5"/>
        <v/>
      </c>
      <c r="Y35" s="131" t="str">
        <f t="shared" si="6"/>
        <v/>
      </c>
      <c r="Z35" s="131" t="str">
        <f t="shared" si="7"/>
        <v/>
      </c>
      <c r="AA35" s="131" t="str">
        <f t="shared" si="8"/>
        <v/>
      </c>
      <c r="AB35" s="131" t="str">
        <f t="shared" si="9"/>
        <v/>
      </c>
      <c r="AC35" s="131" t="str">
        <f t="shared" si="10"/>
        <v/>
      </c>
      <c r="AD35" s="131" t="str">
        <f t="shared" si="11"/>
        <v/>
      </c>
      <c r="AE35" s="6" t="str">
        <f t="shared" si="21"/>
        <v/>
      </c>
    </row>
    <row r="36" spans="2:31" ht="13.5" customHeight="1" x14ac:dyDescent="0.25">
      <c r="B36" s="55"/>
      <c r="C36" s="55"/>
      <c r="D36" s="11"/>
      <c r="E36" s="11"/>
      <c r="F36" s="11"/>
      <c r="G36" s="133"/>
      <c r="H36" s="133"/>
      <c r="I36" s="11"/>
      <c r="J36" s="131" t="str">
        <f t="shared" si="12"/>
        <v/>
      </c>
      <c r="K36" s="131" t="str">
        <f t="shared" si="13"/>
        <v/>
      </c>
      <c r="L36" s="133"/>
      <c r="M36" s="120" t="str">
        <f>IF(E36="","",IF(E36="CP-1",IF('Concrete Plant (CP-1)'!$D$9&gt;0,'Concrete Plant (CP-1)'!$D$9*4024/2000,IF('Concrete Plant (CP-1)'!$D$10&gt;0,'Concrete Plant (CP-1)'!$D$10*365*4024/2000,"")),IF(E36="CP-2",IF('Concrete Plant (CP-2)'!$D$9&gt;0,'Concrete Plant (CP-2)'!$D$9*4024/2000,IF('Concrete Plant (CP-2)'!$C$10&gt;0,'Concrete Plant (CP-2)'!$C$10*365*4024/2000,"")),IF(E36="CP-3",IF('Concrete Plant (CP-3)'!$D$9&gt;0,'Concrete Plant (CP-3)'!$D$9*4024/2000,IF('Concrete Plant (CP-3)'!$D$10&gt;0,'Concrete Plant (CP-3)'!$D$10*365*4024/2000,"")),IF(E36="CP-4",IF('Concrete Plant (CP-4)'!$D$9&gt;0,'Concrete Plant (CP-4)'!$D$9*4024/2000,IF('Concrete Plant (CP-4)'!$D$10&gt;0,'Concrete Plant (CP-4)'!$D$10*365*4024/2000,"")),IF(E36="CP-5",IF('Concrete Plant (CP-5)'!$D$9&gt;0,'Concrete Plant (CP-5)'!$D$9*4024/2000,IF('Concrete Plant (CP-5)'!$D$10&gt;0,'Concrete Plant (CP-5)'!$D$10*365*4024/2000,"")),IF(E36="CP-6",IF('Concrete Plant (CP-6)'!$D$9&gt;0,'Concrete Plant (CP-6)'!$D$9*4024/2000,IF('Concrete Plant (CP-6)'!$D$10&gt;0,'Concrete Plant (CP-6)'!$D$10*365*4024/2000,"")),IF(E36="CP-7",IF('Concrete Plant (CP-7)'!$D$9&gt;0,'Concrete Plant (CP-7)'!$D$9*4024/2000,IF('Concrete Plant (CP-7)'!$D$10&gt;0,'Concrete Plant (CP-7)'!$D$10*365*4024/2000,"")),IF(E36="CP-8",IF('Concrete Plant (CP-8)'!$D$9&gt;0,'Concrete Plant (CP-8)'!$D$9*4024/2000,IF('Concrete Plant (CP-8)'!$D$10&gt;0,'Concrete Plant (CP-8)'!$D$10*365*4024/2000,"")),IF(E36="CP-9",IF('Concrete Plant (CP-9)'!$D$9&gt;0,'Concrete Plant (CP-9)'!$D$9*4024/2000,IF('Concrete Plant (CP-9)'!$D$10&gt;0,'Concrete Plant (CP-9)'!$D$10*365*4024/2000,"")),IF(E36="CP-10",IF('Concrete Plant (CP-10)'!$D$9&gt;0,'Concrete Plant (CP-10)'!$D$9*4024/2000,IF('Concrete Plant (CP-10)'!$D$10&gt;0,'Concrete Plant (CP-10)'!$D$10*365*4024/2000,"")))))))))))))</f>
        <v/>
      </c>
      <c r="N36" s="133"/>
      <c r="O36" s="133"/>
      <c r="P36" s="120" t="str">
        <f t="shared" si="0"/>
        <v/>
      </c>
      <c r="Q36" s="120" t="str">
        <f t="shared" si="14"/>
        <v/>
      </c>
      <c r="R36" s="11" t="str">
        <f t="shared" si="15"/>
        <v/>
      </c>
      <c r="S36" s="11" t="str">
        <f t="shared" si="1"/>
        <v/>
      </c>
      <c r="T36" s="151"/>
      <c r="U36" s="131" t="str">
        <f t="shared" si="2"/>
        <v/>
      </c>
      <c r="V36" s="131" t="str">
        <f t="shared" si="3"/>
        <v/>
      </c>
      <c r="W36" s="131" t="str">
        <f t="shared" si="4"/>
        <v/>
      </c>
      <c r="X36" s="131" t="str">
        <f t="shared" si="5"/>
        <v/>
      </c>
      <c r="Y36" s="131" t="str">
        <f t="shared" si="6"/>
        <v/>
      </c>
      <c r="Z36" s="131" t="str">
        <f t="shared" si="7"/>
        <v/>
      </c>
      <c r="AA36" s="131" t="str">
        <f t="shared" si="8"/>
        <v/>
      </c>
      <c r="AB36" s="131" t="str">
        <f t="shared" si="9"/>
        <v/>
      </c>
      <c r="AC36" s="131" t="str">
        <f t="shared" si="10"/>
        <v/>
      </c>
      <c r="AD36" s="131" t="str">
        <f t="shared" si="11"/>
        <v/>
      </c>
      <c r="AE36" s="6" t="str">
        <f t="shared" si="21"/>
        <v/>
      </c>
    </row>
    <row r="37" spans="2:31" ht="15" hidden="1" customHeight="1" x14ac:dyDescent="0.25">
      <c r="L37" s="6">
        <f>(SUM(IF(AE7="x",L7,0),IF(AE8="x",L8,0),IF(AE9="x",L9,0),IF(AE10="x",L10,0),IF(AE11="x",L11,0),IF(AE12="x",L12,0),IF(AE13="x",L13,0),IF(AE14="x",L14,0),IF(AE15="x",L15,0),IF(AE16="x",L16,0),IF(AE17="x",L17,0),IF(AE18="x",L18,0),IF(AE19="x",L19,0),IF(AE20="x",L20,0),IF(AE21="x",L21,0),IF(AE22="x",L22,0),IF(AE23="x",L23,0),IF(AE24="x",L24,0),IF(AE25="x",L25,0),IF(AE26="x",L26,0),IF(AE27="x",L27,0),IF(AE28="x",L28,0),IF(AE29="x",L29,0),IF(AE30="x",L30,0),IF(AE31="x",L31,0),IF(AE32="x",L32,0),IF(AE33="x",L33,0),IF(AE34="x",L34,0),IF(AE35="x",L35,0),IF(AE36="x",L36,0)))</f>
        <v>0</v>
      </c>
      <c r="M37" s="120" t="str">
        <f>IF(E37="","",IF(E37="CP-1",IF('Concrete Plant (CP-1)'!$D$9&gt;0,'Concrete Plant (CP-1)'!$D$9,IF('Concrete Plant (CP-1)'!$D$10&gt;0,'Concrete Plant (CP-1)'!$D$10*365,"")),IF(E37="CP-2",IF('Concrete Plant (CP-2)'!$C$9&gt;0,'Concrete Plant (CP-2)'!$C$9,IF('Concrete Plant (CP-2)'!$C$10&gt;0,'Concrete Plant (CP-2)'!$C$10*365,"")),IF(E37="CP-3",IF('Concrete Plant (CP-3)'!$D$9&gt;0,'Concrete Plant (CP-3)'!$D$9,IF('Concrete Plant (CP-3)'!$D$10&gt;0,'Concrete Plant (CP-3)'!$D$10*365,"")),IF(E37="CP-4",IF('Concrete Plant (CP-4)'!$D$9&gt;0,'Concrete Plant (CP-4)'!$D$9,IF('Concrete Plant (CP-4)'!$D$10&gt;0,'Concrete Plant (CP-4)'!$D$10*365,"")),IF(E37="CP-5",IF('Concrete Plant (CP-5)'!$D$9&gt;0,'Concrete Plant (CP-5)'!$D$9,IF('Concrete Plant (CP-5)'!$D$10&gt;0,'Concrete Plant (CP-5)'!$D$10*365,"")),IF(E37="CP-6",IF('Concrete Plant (CP-6)'!$D$9&gt;0,'Concrete Plant (CP-6)'!$D$9,IF('Concrete Plant (CP-6)'!$D$10&gt;0,'Concrete Plant (CP-6)'!$D$10*365,"")),IF(E37="CP-7",IF('Concrete Plant (CP-7)'!$D$9&gt;0,'Concrete Plant (CP-7)'!$D$9,IF('Concrete Plant (CP-7)'!$D$10&gt;0,'Concrete Plant (CP-7)'!$D$10*365,"")),IF(E37="CP-8",IF('Concrete Plant (CP-8)'!$D$9&gt;0,'Concrete Plant (CP-8)'!$D$9,IF('Concrete Plant (CP-8)'!$D$10&gt;0,'Concrete Plant (CP-8)'!$D$10*365,"")),IF(E37="CP-9",IF('Concrete Plant (CP-9)'!$D$9&gt;0,'Concrete Plant (CP-9)'!$D$9,IF('Concrete Plant (CP-9)'!$D$10&gt;0,'Concrete Plant (CP-9)'!$D$10*365,"")),IF(E37="CP-10",IF('Concrete Plant (CP-10)'!$D$9&gt;0,'Concrete Plant (CP-10)'!$D$9,IF('Concrete Plant (CP-10)'!$D$10&gt;0,'Concrete Plant (CP-10)'!$D$10*365,"")))))))))))))</f>
        <v/>
      </c>
      <c r="P37" s="6">
        <f>(SUM(IF(AE7="x",P7,0),IF(AE8="x",P8,0),IF(AE9="x",P9,0),IF(AE10="x",P10,0),IF(AE11="x",P11,0),IF(AE12="x",P12,0),IF(AE13="x",P13,0),IF(AE14="x",P14,0),IF(AE15="x",P15,0),IF(AE16="x",P16,0),IF(AE17="x",P17,0),IF(AE18="x",P18,0),IF(AE19="x",P19,0),IF(AE20="x",P20,0),IF(AE21="x",P21,0),IF(AE22="x",P22,0),IF(AE23="x",P23,0),IF(AE24="x",P24,0),IF(AE25="x",P25,0),IF(AE26="x",P26,0),IF(AE27="x",P27,0),IF(AE28="x",P28,0),IF(AE29="x",P29,0),IF(AE30="x",P30,0),IF(AE31="x",P31,0),IF(AE32="x",P32,0),IF(AE33="x",P33,0),IF(AE34="x",P34,0),IF(AE35="x",P35,0),IF(AE36="x",P36,0)))</f>
        <v>0</v>
      </c>
      <c r="R37" s="11" t="str">
        <f t="shared" si="15"/>
        <v/>
      </c>
      <c r="T37" s="6" t="s">
        <v>137</v>
      </c>
      <c r="U37" s="6">
        <f>(MAX(IF(AE7="x",U7,0),IF(AE8="x",U8,0),IF(AE9="x",U9,0),IF(AE10="x",U10,0),IF(AE11="x",U11,0),IF(AE12="x",U12,0),IF(AE13="x",U13,0),IF(AE14="x",U14,0),IF(AE15="x",U15,0),IF(AE16="x",U16,0),IF(AE27="x",U27,0),IF(AE28="x",U28,0),IF(AE29="x",U29,0),IF(AE30="x",U30,0),IF(AE31="x",U31,0),IF(AE32="x",U32,0),IF(AE33="x",U33,0),IF(AE34="x",U34,0),IF(AE35="x",U35,0),IF(AE36="x",U36,0)))</f>
        <v>0</v>
      </c>
      <c r="V37" s="6">
        <f>(SUM(IF(AE7="x",V7,0),IF(AE8="x",V8,0),IF(AE9="x",V9,0),IF(AE10="x",V10,0),IF(AE11="x",V11,0),IF(AE12="x",V12,0),IF(AE13="x",V13,0),IF(AE14="x",V14,0),IF(AE15="x",V15,0),IF(AE16="x",V16,0),IF(AE27="x",V27,0),IF(AE28="x",V28,0),IF(AE29="x",V29,0),IF(AE30="x",V30,0),IF(AE31="x",V31,0),IF(AE32="x",V32,0),IF(AE33="x",V33,0),IF(AE34="x",V34,0),IF(AE35="x",V35,0),IF(AE36="x",V36,0)))</f>
        <v>0</v>
      </c>
      <c r="W37" s="122">
        <f>SUM(W7:W36)</f>
        <v>0</v>
      </c>
      <c r="X37" s="123" t="str">
        <f t="shared" si="5"/>
        <v/>
      </c>
      <c r="Z37" s="6">
        <f>(MAX(IF(AE7="x",Z7,0),IF(AE8="x",Z8,0),IF(AE9="x",Z9,0),IF(AE10="x",Z10,0),IF(AE11="x",Z11,0),IF(AE12="x",Z12,0),IF(AE13="x",Z13,0),IF(AE14="x",Z14,0),IF(AE15="x",Z15,0),IF(AE16="x",Z16,0),IF(AE27="x",Z27,0),IF(AE28="x",Z28,0),IF(AE29="x",Z29,0),IF(AE30="x",Z30,0),IF(AE31="x",Z31,0),IF(AE32="x",Z32,0),IF(AE33="x",Z33,0),IF(AE34="x",Z34,0),IF(AE35="x",Z35,0),IF(AE36="x",Z36,0)))</f>
        <v>0</v>
      </c>
      <c r="AA37" s="6">
        <f>(SUM(IF(AE7="x",AA7,0),IF(AE8="x",AA8,0),IF(AE9="x",AA9,0),IF(AE10="x",AA10,0),IF(AE11="x",AA11,0),IF(AE12="x",AA12,0),IF(AE13="x",AA13,0),IF(AE14="x",AA14,0),IF(AE15="x",AA15,0),IF(AE16="x",AA16,0),IF(AE27="x",AA27,0),IF(AE28="x",AA28,0),IF(AE29="x",AA29,0),IF(AE30="x",AA30,0),IF(AE31="x",AA31,0),IF(AE32="x",AA32,0),IF(AE33="x",AA33,0),IF(AE34="x",AA34,0),IF(AE35="x",AA35,0),IF(AE36="x",AA36,0)))</f>
        <v>0</v>
      </c>
      <c r="AB37" s="122">
        <f>SUM(AB7:AB36)</f>
        <v>0</v>
      </c>
      <c r="AC37" s="123" t="str">
        <f t="shared" si="10"/>
        <v/>
      </c>
    </row>
    <row r="38" spans="2:31" ht="15" hidden="1" customHeight="1" x14ac:dyDescent="0.25">
      <c r="L38" s="6">
        <f>(SUM(IF(AE7="x",0,L7),IF(AE8="x",0,L8),IF(AE9="x",0,L9),IF(AE10="x",0,L10),IF(AE11="x",0,L11),IF(AE12="x",0,L12),IF(AE13="x",0,L13),IF(AE14="x",0,L14),IF(AE15="x",0,L15),IF(AE16="x",0,L16),IF(AE17="x",0,L17),IF(AE18="x",0,L18),IF(AE19="x",0,L19),IF(AE20="x",0,L20),IF(AE21="x",0,L21),IF(AE22="x",0,L22),IF(AE23="x",0,L23),IF(AE24="x",0,L24),IF(AE25="x",0,L25),IF(AE26="x",0,L26),IF(AE27="x",0,L27),IF(AE28="x",0,L28),IF(AE29="x",0,L29),IF(AE30="x",0,L30),IF(AE31="x",0,L31),IF(AE32="x",0,L32),IF(AE33="x",0,L33),IF(AE34="x",0,L34),IF(AE35="x",0,L35),IF(AE36="x",0,L36)))</f>
        <v>0</v>
      </c>
      <c r="M38" s="120" t="str">
        <f>IF(E38="","",IF(E38="CP-1",IF('Concrete Plant (CP-1)'!$D$9&gt;0,'Concrete Plant (CP-1)'!$D$9,IF('Concrete Plant (CP-1)'!$D$10&gt;0,'Concrete Plant (CP-1)'!$D$10*365,"")),IF(E38="CP-2",IF('Concrete Plant (CP-2)'!$C$9&gt;0,'Concrete Plant (CP-2)'!$C$9,IF('Concrete Plant (CP-2)'!$C$10&gt;0,'Concrete Plant (CP-2)'!$C$10*365,"")),IF(E38="CP-3",IF('Concrete Plant (CP-3)'!$D$9&gt;0,'Concrete Plant (CP-3)'!$D$9,IF('Concrete Plant (CP-3)'!$D$10&gt;0,'Concrete Plant (CP-3)'!$D$10*365,"")),IF(E38="CP-4",IF('Concrete Plant (CP-4)'!$D$9&gt;0,'Concrete Plant (CP-4)'!$D$9,IF('Concrete Plant (CP-4)'!$D$10&gt;0,'Concrete Plant (CP-4)'!$D$10*365,"")),IF(E38="CP-5",IF('Concrete Plant (CP-5)'!$D$9&gt;0,'Concrete Plant (CP-5)'!$D$9,IF('Concrete Plant (CP-5)'!$D$10&gt;0,'Concrete Plant (CP-5)'!$D$10*365,"")),IF(E38="CP-6",IF('Concrete Plant (CP-6)'!$D$9&gt;0,'Concrete Plant (CP-6)'!$D$9,IF('Concrete Plant (CP-6)'!$D$10&gt;0,'Concrete Plant (CP-6)'!$D$10*365,"")),IF(E38="CP-7",IF('Concrete Plant (CP-7)'!$D$9&gt;0,'Concrete Plant (CP-7)'!$D$9,IF('Concrete Plant (CP-7)'!$D$10&gt;0,'Concrete Plant (CP-7)'!$D$10*365,"")),IF(E38="CP-8",IF('Concrete Plant (CP-8)'!$D$9&gt;0,'Concrete Plant (CP-8)'!$D$9,IF('Concrete Plant (CP-8)'!$D$10&gt;0,'Concrete Plant (CP-8)'!$D$10*365,"")),IF(E38="CP-9",IF('Concrete Plant (CP-9)'!$D$9&gt;0,'Concrete Plant (CP-9)'!$D$9,IF('Concrete Plant (CP-9)'!$D$10&gt;0,'Concrete Plant (CP-9)'!$D$10*365,"")),IF(E38="CP-10",IF('Concrete Plant (CP-10)'!$D$9&gt;0,'Concrete Plant (CP-10)'!$D$9,IF('Concrete Plant (CP-10)'!$D$10&gt;0,'Concrete Plant (CP-10)'!$D$10*365,"")))))))))))))</f>
        <v/>
      </c>
      <c r="P38" s="6">
        <f>(SUM(IF(AE7="x",0,P7),IF(AE8="x",0,P8),IF(AE9="x",0,P9),IF(AE10="x",0,P10),IF(AE11="x",0,P11),IF(AE12="x",0,P12),IF(AE13="x",0,P13),IF(AE14="x",0,P14),IF(AE15="x",0,P15),IF(AE16="x",0,P16),IF(AE17="x",0,P17),IF(AE18="x",0,P18),IF(AE19="x",0,P19),IF(AE20="x",0,P20),IF(AE21="x",0,P21),IF(AE22="x",0,P22),IF(AE23="x",0,P23),IF(AE24="x",0,P24),IF(AE25="x",0,P25),IF(AE26="x",0,P26),IF(AE27="x",0,P27),IF(AE28="x",0,P28),IF(AE29="x",0,P29),IF(AE30="x",0,P30),IF(AE31="x",0,P31),IF(AE32="x",0,P32),IF(AE33="x",0,P33),IF(AE34="x",0,P34),IF(AE35="x",0,P35),IF(AE36="x",0,P36)))</f>
        <v>0</v>
      </c>
      <c r="R38" s="11" t="str">
        <f t="shared" si="15"/>
        <v/>
      </c>
      <c r="T38" s="6" t="s">
        <v>138</v>
      </c>
      <c r="U38" s="6">
        <f>(SUM(IF(AE7="x",0,U7),IF(AE8="x",0,U8),IF(AE9="x",0,U9),IF(AE10="x",0,U10),IF(AE11="x",0,U11),IF(AE12="x",0,U12),IF(AE13="x",0,U13),IF(AE14="x",0,U14),IF(AE15="x",0,U15),IF(AE16="x",0,U16),IF(AE27="x",0,U27),IF(AE28="x",0,U28),IF(AE29="x",0,U29),IF(AE30="x",0,U30),IF(AE31="x",0,U31),IF(AE32="x",0,U32),IF(AE33="x",0,U33),IF(AE34="x",0,U34),IF(AE35="x",0,U35),IF(AE36="x",0,U36)))</f>
        <v>0</v>
      </c>
      <c r="V38" s="6">
        <f>(SUM(IF(AE7="x",0,V7),IF(AE8="x",0,V8),IF(AE9="x",0,V9),IF(AE10="x",0,V10),IF(AE11="x",0,V11),IF(AE12="x",0,V12),IF(AE13="x",0,V13),IF(AE14="x",0,V14),IF(AE15="x",0,V15),IF(AE16="x",0,V16),IF(AE27="x",0,V27),IF(AE28="x",0,V28),IF(AE29="x",0,V29),IF(AE30="x",0,V30),IF(AE31="x",0,V31),IF(AE32="x",0,V32),IF(AE33="x",0,V33),IF(AE34="x",0,V34),IF(AE35="x",0,V35),IF(AE36="x",0,V36)))</f>
        <v>0</v>
      </c>
      <c r="Z38" s="6">
        <f>(SUM(IF(AE7="x",0,Z7),IF(AE8="x",0,Z8),IF(AE9="x",0,Z9),IF(AE10="x",0,Z10),IF(AE11="x",0,Z11),IF(AE12="x",0,Z12),IF(AE13="x",0,Z13),IF(AE14="x",0,Z14),IF(AE15="x",0,Z15),IF(AE16="x",0,Z16),IF(AE27="x",0,Z27),IF(AE28="x",0,Z28),IF(AE29="x",0,Z29),IF(AE30="x",0,Z30),IF(AE31="x",0,Z31),IF(AE32="x",0,Z32),IF(AE33="x",0,Z33),IF(AE34="x",0,Z34),IF(AE35="x",0,Z35),IF(AE36="x",0,Z36)))</f>
        <v>0</v>
      </c>
      <c r="AA38" s="6">
        <f>(SUM(IF(AE7="x",0,AA7),IF(AE8="x",0,AA8),IF(AE9="x",0,AA9),IF(AE10="x",0,AA10),IF(AE11="x",0,AA11),IF(AE12="x",0,AA12),IF(AE13="x",0,AA13),IF(AE14="x",0,AA14),IF(AE15="x",0,AA15),IF(AE16="x",0,AA16),IF(AE27="x",0,AA27),IF(AE28="x",0,AA28),IF(AE29="x",0,AA29),IF(AE30="x",0,AA30),IF(AE31="x",0,AA31),IF(AE32="x",0,AA32),IF(AE33="x",0,AA33),IF(AE34="x",0,AA34),IF(AE35="x",0,AA35),IF(AE36="x",0,AA36)))</f>
        <v>0</v>
      </c>
    </row>
    <row r="40" spans="2:31" hidden="1" x14ac:dyDescent="0.25">
      <c r="D40" s="6" t="s">
        <v>162</v>
      </c>
      <c r="L40" s="134">
        <f>(SUM(IF(AE7="x",X7,0),IF(AE8="x",X8,0),IF(AE9="x",X9,0),IF(AE10="x",X10,0),IF(AE11="x",X11,0),IF(AE12="x",X12,0),IF(AE13="x",X13,0),IF(AE14="x",X14,0),IF(AE15="x",X15,0),IF(AE16="x",X16,0),IF(AE17="x",X17,0),IF(AE18="x",X18,0),IF(AE19="x",X19,0),IF(AE20="x",X20,0),IF(AE21="x",X21,0),IF(AE22="x",X22,0),IF(AE23="x",X23,0),IF(AE24="x",X24,0),IF(AE25="x",X25,0),IF(AE26="x",X26,0),IF(AE27="x",X27,0),IF(AE28="x",X28,0),IF(AE29="x",X29,0),IF(AE30="x",X30,0),IF(AE31="x",X31,0),IF(AE32="x",X32,0),IF(AE33="x",X33,0),IF(AE34="x",X34,0),IF(AE35="x",X35,0),IF(AE36="x",X36,0)))</f>
        <v>0</v>
      </c>
      <c r="M40" s="30"/>
    </row>
    <row r="41" spans="2:31" hidden="1" x14ac:dyDescent="0.25">
      <c r="D41" s="6" t="s">
        <v>163</v>
      </c>
      <c r="L41" s="134">
        <f>(SUM(IF(AE7="x",0,X7),IF(AE8="x",0,X8),IF(AE9="x",0,X9),IF(AE10="x",0,X10),IF(AE11="x",0,X11),IF(AE12="x",0,X12),IF(AE13="x",0,X13),IF(AE14="x",0,X14),IF(AE15="x",0,X15),IF(AE16="x",0,X16),IF(AE17="x",0,X17),IF(AE18="x",0,X18),IF(AE19="x",0,X19),IF(AE20="x",0,X20),IF(AE21="x",0,X21),IF(AE22="x",0,X22),IF(AE23="x",0,X23),IF(AE24="x",0,X24),IF(AE25="x",0,X25),IF(AE26="x",0,X26),IF(AE27="x",0,X27),IF(AE28="x",0,X28),IF(AE29="x",0,X29),IF(AE30="x",0,X30),IF(AE31="x",0,X31),IF(AE32="x",0,X32),IF(AE33="x",0,X33),IF(AE34="x",0,X34),IF(AE35="x",0,X35),IF(AE36="x",0,X36)))</f>
        <v>0</v>
      </c>
      <c r="M41" s="30"/>
    </row>
    <row r="42" spans="2:31" hidden="1" x14ac:dyDescent="0.25">
      <c r="D42" s="6" t="s">
        <v>164</v>
      </c>
      <c r="L42" s="134">
        <f>(SUM(IF(AE7="x",AC7,0),IF(AE8="x",AC8,0),IF(AE9="x",AC9,0),IF(AE10="x",AC10,0),IF(AE11="x",AC11,0),IF(AE12="x",AC12,0),IF(AE13="x",AC13,0),IF(AE14="x",AC14,0),IF(AE15="x",AC15,0),IF(AE16="x",AC16,0),IF(AE17="x",AC17,0),IF(AE18="x",AC18,0),IF(AE19="x",AC19,0),IF(AE20="x",AC20,0),IF(AE21="x",AC21,0),IF(AE22="x",AC22,0),IF(AE23="x",AC23,0),IF(AE24="x",AC24,0),IF(AE25="x",AC25,0),IF(AE26="x",AC26,0),IF(AE27="x",AC27,0),IF(AE28="x",AC28,0),IF(AE29="x",AC29,0),IF(AE30="x",AC30,0),IF(AE31="x",AC31,0),IF(AE32="x",AC32,0),IF(AE33="x",AC33,0),IF(AE34="x",AC34,0),IF(AE35="x",AC35,0),IF(AE36="x",AC36,0)))</f>
        <v>0</v>
      </c>
      <c r="M42" s="30"/>
    </row>
    <row r="43" spans="2:31" hidden="1" x14ac:dyDescent="0.25">
      <c r="D43" s="6" t="s">
        <v>165</v>
      </c>
      <c r="L43" s="134">
        <f>(SUM(IF(AE7="x",0,AC7),IF(AE8="x",0,AC8),IF(AE9="x",0,AC9),IF(AE10="x",0,AC10),IF(AE11="x",0,AC11),IF(AE12="x",0,AC12),IF(AE13="x",0,AC13),IF(AE14="x",0,AC14),IF(AE15="x",0,AC15),IF(AE16="x",0,AC16),IF(AE17="x",0,AC17),IF(AE18="x",0,AC18),IF(AE19="x",0,AC19),IF(AE20="x",0,AC20),IF(AE21="x",0,AC21),IF(AE22="x",0,AC22),IF(AE23="x",0,AC23),IF(AE24="x",0,AC24),IF(AE25="x",0,AC25),IF(AE26="x",0,AC26),IF(AE27="x",0,AC27),IF(AE28="x",0,AC28),IF(AE29="x",0,AC29),IF(AE30="x",0,AC30),IF(AE31="x",0,AC31),IF(AE32="x",0,AC32),IF(AE33="x",0,AC33),IF(AE34="x",0,AC34),IF(AE35="x",0,AC35),IF(AE36="x",0,AC36)))</f>
        <v>0</v>
      </c>
      <c r="M43" s="30"/>
    </row>
    <row r="44" spans="2:31" hidden="1" x14ac:dyDescent="0.25">
      <c r="L44" s="54"/>
    </row>
    <row r="45" spans="2:31" x14ac:dyDescent="0.25">
      <c r="D45" s="6" t="s">
        <v>133</v>
      </c>
      <c r="L45" s="134">
        <f>(SUM(IF(AE7="x",Y7,0),IF(AE8="x",Y8,0),IF(AE9="x",Y9,0),IF(AE10="x",Y10,0),IF(AE11="x",Y11,0),IF(AE12="x",Y12,0),IF(AE13="x",Y13,0),IF(AE14="x",Y14,0),IF(AE15="x",Y15,0),IF(AE16="x",Y16,0),IF(AE17="x",Y17,0),IF(AE18="x",Y18,0),IF(AE19="x",Y19,0),IF(AE20="x",Y20,0),IF(AE21="x",Y21,0),IF(AE22="x",Y22,0),IF(AE23="x",Y23,0),IF(AE24="x",Y24,0),IF(AE25="x",Y25,0),IF(AE26="x",Y26,0),IF(AE27="x",Y27,0),IF(AE28="x",Y28,0),IF(AE29="x",Y29,0),IF(AE30="x",Y30,0),IF(AE31="x",Y31,0),IF(AE32="x",Y32,0),IF(AE33="x",Y33,0),IF(AE34="x",Y34,0),IF(AE35="x",Y35,0),IF(AE36="x",Y36,0)))</f>
        <v>0</v>
      </c>
    </row>
    <row r="46" spans="2:31" x14ac:dyDescent="0.25">
      <c r="D46" s="6" t="s">
        <v>134</v>
      </c>
      <c r="L46" s="134">
        <f>(SUM(IF(AE7="x",0,Y7),IF(AE8="x",0,Y8),IF(AE9="x",0,Y9),IF(AE10="x",0,Y10),IF(AE11="x",0,Y11),IF(AE12="x",0,Y12),IF(AE13="x",0,Y13),IF(AE14="x",0,Y14),IF(AE15="x",0,Y15),IF(AE16="x",0,Y16),IF(AE17="x",0,Y17),IF(AE18="x",0,Y18),IF(AE19="x",0,Y19),IF(AE20="x",0,Y20),IF(AE21="x",0,Y21),IF(AE22="x",0,Y22),IF(AE23="x",0,Y23),IF(AE24="x",0,Y24),IF(AE25="x",0,Y25),IF(AE26="x",0,Y26),IF(AE27="x",0,Y27),IF(AE28="x",0,Y28),IF(AE29="x",0,Y29),IF(AE30="x",0,Y30),IF(AE31="x",0,Y31),IF(AE32="x",0,Y32),IF(AE33="x",0,Y33),IF(AE34="x",0,Y34),IF(AE35="x",0,Y35),IF(AE36="x",0,Y36)))</f>
        <v>0</v>
      </c>
    </row>
    <row r="47" spans="2:31" x14ac:dyDescent="0.25">
      <c r="D47" s="6" t="s">
        <v>135</v>
      </c>
      <c r="L47" s="134">
        <f>(SUM(IF(AE7="x",AD7,0),IF(AE8="x",AD8,0),IF(AE9="x",AD9,0),IF(AE10="x",AD10,0),IF(AE11="x",AD11,0),IF(AE12="x",AD12,0),IF(AE13="x",AD13,0),IF(AE14="x",AD14,0),IF(AE15="x",AD15,0),IF(AE16="x",AD16,0),IF(AE17="x",AD17,0),IF(AE18="x",AD18,0),IF(AE19="x",AD19,0),IF(AE20="x",AD20,0),IF(AE21="x",AD21,0),IF(AE22="x",AD22,0),IF(AE23="x",AD23,0),IF(AE24="x",AD24,0),IF(AE25="x",AD25,0),IF(AE26="x",AD26,0),IF(AE27="x",AD27,0),IF(AE28="x",AD28,0),IF(AE29="x",AD29,0),IF(AE30="x",AD30,0),IF(AE31="x",AD31,0),IF(AE32="x",AD32,0),IF(AE33="x",AD33,0),IF(AE34="x",AD34,0),IF(AE35="x",AD35,0),IF(AE36="x",AD36,0)))</f>
        <v>0</v>
      </c>
    </row>
    <row r="48" spans="2:31" x14ac:dyDescent="0.25">
      <c r="D48" s="6" t="s">
        <v>136</v>
      </c>
      <c r="L48" s="134">
        <f>(SUM(IF(AE7="x",0,AD7),IF(AE8="x",0,AD8),IF(AE9="x",0,AD9),IF(AE10="x",0,AD10),IF(AE11="x",0,AD11),IF(AE12="x",0,AD12),IF(AE13="x",0,AD13),IF(AE14="x",0,AD14),IF(AE15="x",0,AD15),IF(AE16="x",0,AD16),IF(AE17="x",0,AD17),IF(AE18="x",0,AD18),IF(AE19="x",0,AD19),IF(AE20="x",0,AD20),IF(AE21="x",0,AD21),IF(AE22="x",0,AD22),IF(AE23="x",0,AD23),IF(AE24="x",0,AD24),IF(AE25="x",0,AD25),IF(AE26="x",0,AD26),IF(AE27="x",0,AD27),IF(AE28="x",0,AD28),IF(AE29="x",0,AD29),IF(AE30="x",0,AD30),IF(AE31="x",0,AD31),IF(AE32="x",0,AD32),IF(AE33="x",0,AD33),IF(AE34="x",0,AD34),IF(AE35="x",0,AD35),IF(AE36="x",0,AD36)))</f>
        <v>0</v>
      </c>
    </row>
  </sheetData>
  <sheetProtection algorithmName="SHA-512" hashValue="l3UhWChr/Tiasq0IAEHl4yCOLcRtr9z4hFMBXLM0oTZkZRmsLkfuFdTlia0UPbNDGtr34dxJUwW0OAtOCMmBJQ==" saltValue="0Ih8jx83GUx+bHh1K+Pi2w==" spinCount="100000" sheet="1" objects="1" scenarios="1"/>
  <conditionalFormatting sqref="T7">
    <cfRule type="notContainsBlanks" dxfId="89" priority="88" stopIfTrue="1">
      <formula>LEN(TRIM(T7))&gt;0</formula>
    </cfRule>
    <cfRule type="cellIs" dxfId="88" priority="135" stopIfTrue="1" operator="notEqual">
      <formula>$B7="Paved Haul Road"</formula>
    </cfRule>
    <cfRule type="cellIs" dxfId="87" priority="155" stopIfTrue="1" operator="notEqual">
      <formula>$B7="Unpaved Haul Road"</formula>
    </cfRule>
  </conditionalFormatting>
  <conditionalFormatting sqref="T8">
    <cfRule type="notContainsBlanks" dxfId="86" priority="85" stopIfTrue="1">
      <formula>LEN(TRIM(T8))&gt;0</formula>
    </cfRule>
    <cfRule type="cellIs" dxfId="85" priority="86" stopIfTrue="1" operator="notEqual">
      <formula>$B8="Paved Haul Road"</formula>
    </cfRule>
    <cfRule type="cellIs" dxfId="84" priority="87" stopIfTrue="1" operator="notEqual">
      <formula>$B8="Unpaved Haul Road"</formula>
    </cfRule>
  </conditionalFormatting>
  <conditionalFormatting sqref="T9">
    <cfRule type="notContainsBlanks" dxfId="83" priority="82" stopIfTrue="1">
      <formula>LEN(TRIM(T9))&gt;0</formula>
    </cfRule>
    <cfRule type="cellIs" dxfId="82" priority="83" stopIfTrue="1" operator="notEqual">
      <formula>$B9="Paved Haul Road"</formula>
    </cfRule>
    <cfRule type="cellIs" dxfId="81" priority="84" stopIfTrue="1" operator="notEqual">
      <formula>$B9="Unpaved Haul Road"</formula>
    </cfRule>
  </conditionalFormatting>
  <conditionalFormatting sqref="T10">
    <cfRule type="notContainsBlanks" dxfId="80" priority="79" stopIfTrue="1">
      <formula>LEN(TRIM(T10))&gt;0</formula>
    </cfRule>
    <cfRule type="cellIs" dxfId="79" priority="80" stopIfTrue="1" operator="notEqual">
      <formula>$B10="Paved Haul Road"</formula>
    </cfRule>
    <cfRule type="cellIs" dxfId="78" priority="81" stopIfTrue="1" operator="notEqual">
      <formula>$B10="Unpaved Haul Road"</formula>
    </cfRule>
  </conditionalFormatting>
  <conditionalFormatting sqref="T11">
    <cfRule type="notContainsBlanks" dxfId="77" priority="76" stopIfTrue="1">
      <formula>LEN(TRIM(T11))&gt;0</formula>
    </cfRule>
    <cfRule type="cellIs" dxfId="76" priority="77" stopIfTrue="1" operator="notEqual">
      <formula>$B11="Paved Haul Road"</formula>
    </cfRule>
    <cfRule type="cellIs" dxfId="75" priority="78" stopIfTrue="1" operator="notEqual">
      <formula>$B11="Unpaved Haul Road"</formula>
    </cfRule>
  </conditionalFormatting>
  <conditionalFormatting sqref="T12">
    <cfRule type="notContainsBlanks" dxfId="74" priority="73" stopIfTrue="1">
      <formula>LEN(TRIM(T12))&gt;0</formula>
    </cfRule>
    <cfRule type="cellIs" dxfId="73" priority="74" stopIfTrue="1" operator="notEqual">
      <formula>$B12="Paved Haul Road"</formula>
    </cfRule>
    <cfRule type="cellIs" dxfId="72" priority="75" stopIfTrue="1" operator="notEqual">
      <formula>$B12="Unpaved Haul Road"</formula>
    </cfRule>
  </conditionalFormatting>
  <conditionalFormatting sqref="T13">
    <cfRule type="notContainsBlanks" dxfId="71" priority="70" stopIfTrue="1">
      <formula>LEN(TRIM(T13))&gt;0</formula>
    </cfRule>
    <cfRule type="cellIs" dxfId="70" priority="71" stopIfTrue="1" operator="notEqual">
      <formula>$B13="Paved Haul Road"</formula>
    </cfRule>
    <cfRule type="cellIs" dxfId="69" priority="72" stopIfTrue="1" operator="notEqual">
      <formula>$B13="Unpaved Haul Road"</formula>
    </cfRule>
  </conditionalFormatting>
  <conditionalFormatting sqref="T14">
    <cfRule type="notContainsBlanks" dxfId="68" priority="67" stopIfTrue="1">
      <formula>LEN(TRIM(T14))&gt;0</formula>
    </cfRule>
    <cfRule type="cellIs" dxfId="67" priority="68" stopIfTrue="1" operator="notEqual">
      <formula>$B14="Paved Haul Road"</formula>
    </cfRule>
    <cfRule type="cellIs" dxfId="66" priority="69" stopIfTrue="1" operator="notEqual">
      <formula>$B14="Unpaved Haul Road"</formula>
    </cfRule>
  </conditionalFormatting>
  <conditionalFormatting sqref="T15">
    <cfRule type="notContainsBlanks" dxfId="65" priority="64" stopIfTrue="1">
      <formula>LEN(TRIM(T15))&gt;0</formula>
    </cfRule>
    <cfRule type="cellIs" dxfId="64" priority="65" stopIfTrue="1" operator="notEqual">
      <formula>$B15="Paved Haul Road"</formula>
    </cfRule>
    <cfRule type="cellIs" dxfId="63" priority="66" stopIfTrue="1" operator="notEqual">
      <formula>$B15="Unpaved Haul Road"</formula>
    </cfRule>
  </conditionalFormatting>
  <conditionalFormatting sqref="T16">
    <cfRule type="notContainsBlanks" dxfId="62" priority="61" stopIfTrue="1">
      <formula>LEN(TRIM(T16))&gt;0</formula>
    </cfRule>
    <cfRule type="cellIs" dxfId="61" priority="62" stopIfTrue="1" operator="notEqual">
      <formula>$B16="Paved Haul Road"</formula>
    </cfRule>
    <cfRule type="cellIs" dxfId="60" priority="63" stopIfTrue="1" operator="notEqual">
      <formula>$B16="Unpaved Haul Road"</formula>
    </cfRule>
  </conditionalFormatting>
  <conditionalFormatting sqref="T27">
    <cfRule type="notContainsBlanks" dxfId="59" priority="58" stopIfTrue="1">
      <formula>LEN(TRIM(T27))&gt;0</formula>
    </cfRule>
    <cfRule type="cellIs" dxfId="58" priority="59" stopIfTrue="1" operator="notEqual">
      <formula>$B27="Paved Haul Road"</formula>
    </cfRule>
    <cfRule type="cellIs" dxfId="57" priority="60" stopIfTrue="1" operator="notEqual">
      <formula>$B27="Unpaved Haul Road"</formula>
    </cfRule>
  </conditionalFormatting>
  <conditionalFormatting sqref="T28">
    <cfRule type="notContainsBlanks" dxfId="56" priority="55" stopIfTrue="1">
      <formula>LEN(TRIM(T28))&gt;0</formula>
    </cfRule>
    <cfRule type="cellIs" dxfId="55" priority="56" stopIfTrue="1" operator="notEqual">
      <formula>$B28="Paved Haul Road"</formula>
    </cfRule>
    <cfRule type="cellIs" dxfId="54" priority="57" stopIfTrue="1" operator="notEqual">
      <formula>$B28="Unpaved Haul Road"</formula>
    </cfRule>
  </conditionalFormatting>
  <conditionalFormatting sqref="T29">
    <cfRule type="notContainsBlanks" dxfId="53" priority="52" stopIfTrue="1">
      <formula>LEN(TRIM(T29))&gt;0</formula>
    </cfRule>
    <cfRule type="cellIs" dxfId="52" priority="53" stopIfTrue="1" operator="notEqual">
      <formula>$B29="Paved Haul Road"</formula>
    </cfRule>
    <cfRule type="cellIs" dxfId="51" priority="54" stopIfTrue="1" operator="notEqual">
      <formula>$B29="Unpaved Haul Road"</formula>
    </cfRule>
  </conditionalFormatting>
  <conditionalFormatting sqref="T30">
    <cfRule type="notContainsBlanks" dxfId="50" priority="49" stopIfTrue="1">
      <formula>LEN(TRIM(T30))&gt;0</formula>
    </cfRule>
    <cfRule type="cellIs" dxfId="49" priority="50" stopIfTrue="1" operator="notEqual">
      <formula>$B30="Paved Haul Road"</formula>
    </cfRule>
    <cfRule type="cellIs" dxfId="48" priority="51" stopIfTrue="1" operator="notEqual">
      <formula>$B30="Unpaved Haul Road"</formula>
    </cfRule>
  </conditionalFormatting>
  <conditionalFormatting sqref="T31">
    <cfRule type="notContainsBlanks" dxfId="47" priority="46" stopIfTrue="1">
      <formula>LEN(TRIM(T31))&gt;0</formula>
    </cfRule>
    <cfRule type="cellIs" dxfId="46" priority="47" stopIfTrue="1" operator="notEqual">
      <formula>$B31="Paved Haul Road"</formula>
    </cfRule>
    <cfRule type="cellIs" dxfId="45" priority="48" stopIfTrue="1" operator="notEqual">
      <formula>$B31="Unpaved Haul Road"</formula>
    </cfRule>
  </conditionalFormatting>
  <conditionalFormatting sqref="T32">
    <cfRule type="notContainsBlanks" dxfId="44" priority="43" stopIfTrue="1">
      <formula>LEN(TRIM(T32))&gt;0</formula>
    </cfRule>
    <cfRule type="cellIs" dxfId="43" priority="44" stopIfTrue="1" operator="notEqual">
      <formula>$B32="Paved Haul Road"</formula>
    </cfRule>
    <cfRule type="cellIs" dxfId="42" priority="45" stopIfTrue="1" operator="notEqual">
      <formula>$B32="Unpaved Haul Road"</formula>
    </cfRule>
  </conditionalFormatting>
  <conditionalFormatting sqref="T33">
    <cfRule type="notContainsBlanks" dxfId="41" priority="40" stopIfTrue="1">
      <formula>LEN(TRIM(T33))&gt;0</formula>
    </cfRule>
    <cfRule type="cellIs" dxfId="40" priority="41" stopIfTrue="1" operator="notEqual">
      <formula>$B33="Paved Haul Road"</formula>
    </cfRule>
    <cfRule type="cellIs" dxfId="39" priority="42" stopIfTrue="1" operator="notEqual">
      <formula>$B33="Unpaved Haul Road"</formula>
    </cfRule>
  </conditionalFormatting>
  <conditionalFormatting sqref="T34">
    <cfRule type="notContainsBlanks" dxfId="38" priority="37" stopIfTrue="1">
      <formula>LEN(TRIM(T34))&gt;0</formula>
    </cfRule>
    <cfRule type="cellIs" dxfId="37" priority="38" stopIfTrue="1" operator="notEqual">
      <formula>$B34="Paved Haul Road"</formula>
    </cfRule>
    <cfRule type="cellIs" dxfId="36" priority="39" stopIfTrue="1" operator="notEqual">
      <formula>$B34="Unpaved Haul Road"</formula>
    </cfRule>
  </conditionalFormatting>
  <conditionalFormatting sqref="T35">
    <cfRule type="notContainsBlanks" dxfId="35" priority="34" stopIfTrue="1">
      <formula>LEN(TRIM(T35))&gt;0</formula>
    </cfRule>
    <cfRule type="cellIs" dxfId="34" priority="35" stopIfTrue="1" operator="notEqual">
      <formula>$B35="Paved Haul Road"</formula>
    </cfRule>
    <cfRule type="cellIs" dxfId="33" priority="36" stopIfTrue="1" operator="notEqual">
      <formula>$B35="Unpaved Haul Road"</formula>
    </cfRule>
  </conditionalFormatting>
  <conditionalFormatting sqref="T36">
    <cfRule type="notContainsBlanks" dxfId="32" priority="31" stopIfTrue="1">
      <formula>LEN(TRIM(T36))&gt;0</formula>
    </cfRule>
    <cfRule type="cellIs" dxfId="31" priority="32" stopIfTrue="1" operator="notEqual">
      <formula>$B36="Paved Haul Road"</formula>
    </cfRule>
    <cfRule type="cellIs" dxfId="30" priority="33" stopIfTrue="1" operator="notEqual">
      <formula>$B36="Unpaved Haul Road"</formula>
    </cfRule>
  </conditionalFormatting>
  <conditionalFormatting sqref="T17">
    <cfRule type="notContainsBlanks" dxfId="29" priority="28" stopIfTrue="1">
      <formula>LEN(TRIM(T17))&gt;0</formula>
    </cfRule>
    <cfRule type="cellIs" dxfId="28" priority="29" stopIfTrue="1" operator="notEqual">
      <formula>$B17="Paved Haul Road"</formula>
    </cfRule>
    <cfRule type="cellIs" dxfId="27" priority="30" stopIfTrue="1" operator="notEqual">
      <formula>$B17="Unpaved Haul Road"</formula>
    </cfRule>
  </conditionalFormatting>
  <conditionalFormatting sqref="T18">
    <cfRule type="notContainsBlanks" dxfId="26" priority="25" stopIfTrue="1">
      <formula>LEN(TRIM(T18))&gt;0</formula>
    </cfRule>
    <cfRule type="cellIs" dxfId="25" priority="26" stopIfTrue="1" operator="notEqual">
      <formula>$B18="Paved Haul Road"</formula>
    </cfRule>
    <cfRule type="cellIs" dxfId="24" priority="27" stopIfTrue="1" operator="notEqual">
      <formula>$B18="Unpaved Haul Road"</formula>
    </cfRule>
  </conditionalFormatting>
  <conditionalFormatting sqref="T19">
    <cfRule type="notContainsBlanks" dxfId="23" priority="22" stopIfTrue="1">
      <formula>LEN(TRIM(T19))&gt;0</formula>
    </cfRule>
    <cfRule type="cellIs" dxfId="22" priority="23" stopIfTrue="1" operator="notEqual">
      <formula>$B19="Paved Haul Road"</formula>
    </cfRule>
    <cfRule type="cellIs" dxfId="21" priority="24" stopIfTrue="1" operator="notEqual">
      <formula>$B19="Unpaved Haul Road"</formula>
    </cfRule>
  </conditionalFormatting>
  <conditionalFormatting sqref="T20">
    <cfRule type="notContainsBlanks" dxfId="20" priority="19" stopIfTrue="1">
      <formula>LEN(TRIM(T20))&gt;0</formula>
    </cfRule>
    <cfRule type="cellIs" dxfId="19" priority="20" stopIfTrue="1" operator="notEqual">
      <formula>$B20="Paved Haul Road"</formula>
    </cfRule>
    <cfRule type="cellIs" dxfId="18" priority="21" stopIfTrue="1" operator="notEqual">
      <formula>$B20="Unpaved Haul Road"</formula>
    </cfRule>
  </conditionalFormatting>
  <conditionalFormatting sqref="T21">
    <cfRule type="notContainsBlanks" dxfId="17" priority="16" stopIfTrue="1">
      <formula>LEN(TRIM(T21))&gt;0</formula>
    </cfRule>
    <cfRule type="cellIs" dxfId="16" priority="17" stopIfTrue="1" operator="notEqual">
      <formula>$B21="Paved Haul Road"</formula>
    </cfRule>
    <cfRule type="cellIs" dxfId="15" priority="18" stopIfTrue="1" operator="notEqual">
      <formula>$B21="Unpaved Haul Road"</formula>
    </cfRule>
  </conditionalFormatting>
  <conditionalFormatting sqref="T22">
    <cfRule type="notContainsBlanks" dxfId="14" priority="13" stopIfTrue="1">
      <formula>LEN(TRIM(T22))&gt;0</formula>
    </cfRule>
    <cfRule type="cellIs" dxfId="13" priority="14" stopIfTrue="1" operator="notEqual">
      <formula>$B22="Paved Haul Road"</formula>
    </cfRule>
    <cfRule type="cellIs" dxfId="12" priority="15" stopIfTrue="1" operator="notEqual">
      <formula>$B22="Unpaved Haul Road"</formula>
    </cfRule>
  </conditionalFormatting>
  <conditionalFormatting sqref="T23">
    <cfRule type="notContainsBlanks" dxfId="11" priority="10" stopIfTrue="1">
      <formula>LEN(TRIM(T23))&gt;0</formula>
    </cfRule>
    <cfRule type="cellIs" dxfId="10" priority="11" stopIfTrue="1" operator="notEqual">
      <formula>$B23="Paved Haul Road"</formula>
    </cfRule>
    <cfRule type="cellIs" dxfId="9" priority="12" stopIfTrue="1" operator="notEqual">
      <formula>$B23="Unpaved Haul Road"</formula>
    </cfRule>
  </conditionalFormatting>
  <conditionalFormatting sqref="T24">
    <cfRule type="notContainsBlanks" dxfId="8" priority="7" stopIfTrue="1">
      <formula>LEN(TRIM(T24))&gt;0</formula>
    </cfRule>
    <cfRule type="cellIs" dxfId="7" priority="8" stopIfTrue="1" operator="notEqual">
      <formula>$B24="Paved Haul Road"</formula>
    </cfRule>
    <cfRule type="cellIs" dxfId="6" priority="9" stopIfTrue="1" operator="notEqual">
      <formula>$B24="Unpaved Haul Road"</formula>
    </cfRule>
  </conditionalFormatting>
  <conditionalFormatting sqref="T25">
    <cfRule type="notContainsBlanks" dxfId="5" priority="4" stopIfTrue="1">
      <formula>LEN(TRIM(T25))&gt;0</formula>
    </cfRule>
    <cfRule type="cellIs" dxfId="4" priority="5" stopIfTrue="1" operator="notEqual">
      <formula>$B25="Paved Haul Road"</formula>
    </cfRule>
    <cfRule type="cellIs" dxfId="3" priority="6" stopIfTrue="1" operator="notEqual">
      <formula>$B25="Unpaved Haul Road"</formula>
    </cfRule>
  </conditionalFormatting>
  <conditionalFormatting sqref="T26">
    <cfRule type="notContainsBlanks" dxfId="2" priority="1" stopIfTrue="1">
      <formula>LEN(TRIM(T26))&gt;0</formula>
    </cfRule>
    <cfRule type="cellIs" dxfId="1" priority="2" stopIfTrue="1" operator="notEqual">
      <formula>$B26="Paved Haul Road"</formula>
    </cfRule>
    <cfRule type="cellIs" dxfId="0" priority="3" stopIfTrue="1" operator="notEqual">
      <formula>$B26="Unpaved Haul Road"</formula>
    </cfRule>
  </conditionalFormatting>
  <dataValidations count="3">
    <dataValidation type="list" allowBlank="1" showInputMessage="1" showErrorMessage="1" sqref="B7:B36" xr:uid="{00000000-0002-0000-0B00-000000000000}">
      <formula1>RoadType</formula1>
    </dataValidation>
    <dataValidation type="list" allowBlank="1" showInputMessage="1" showErrorMessage="1" sqref="T7:T36" xr:uid="{00000000-0002-0000-0B00-000001000000}">
      <formula1>control</formula1>
    </dataValidation>
    <dataValidation type="list" allowBlank="1" showInputMessage="1" showErrorMessage="1" sqref="E7:E36" xr:uid="{00000000-0002-0000-0B00-000002000000}">
      <formula1>PlantNumber</formula1>
    </dataValidation>
  </dataValidations>
  <pageMargins left="0.25" right="0.25" top="0.75" bottom="0.75" header="0.3" footer="0.3"/>
  <pageSetup scale="73" fitToWidth="3" fitToHeight="0" orientation="landscape" verticalDpi="300" r:id="rId1"/>
  <ignoredErrors>
    <ignoredError sqref="S27:S36 S8:S16 S17:S26 R7:S7 R8:R36"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BC76"/>
  <sheetViews>
    <sheetView topLeftCell="C1" workbookViewId="0">
      <selection activeCell="C1" sqref="C1"/>
    </sheetView>
  </sheetViews>
  <sheetFormatPr defaultColWidth="8.85546875" defaultRowHeight="15" x14ac:dyDescent="0.25"/>
  <cols>
    <col min="1" max="1" width="13.85546875" style="6" hidden="1" customWidth="1"/>
    <col min="2" max="2" width="15.42578125" style="6" hidden="1" customWidth="1"/>
    <col min="3" max="3" width="8.85546875" style="6" customWidth="1"/>
    <col min="4" max="4" width="8.28515625" style="6" customWidth="1"/>
    <col min="5" max="5" width="8.140625" style="6" customWidth="1"/>
    <col min="6" max="6" width="23.28515625" style="6" customWidth="1"/>
    <col min="7" max="7" width="10.28515625" style="6" customWidth="1"/>
    <col min="8" max="8" width="12.28515625" style="6" customWidth="1"/>
    <col min="9" max="9" width="10.28515625" style="6" customWidth="1"/>
    <col min="10" max="10" width="9.140625" style="6" customWidth="1"/>
    <col min="11" max="11" width="3.85546875" style="6" hidden="1" customWidth="1"/>
    <col min="12" max="12" width="8.42578125" style="6" customWidth="1"/>
    <col min="13" max="13" width="9.140625" style="6" customWidth="1"/>
    <col min="14" max="14" width="19.85546875" style="6" customWidth="1"/>
    <col min="15" max="16" width="9.42578125" style="6" customWidth="1"/>
    <col min="17" max="17" width="10" style="6" customWidth="1"/>
    <col min="18" max="18" width="11" style="6" customWidth="1"/>
    <col min="19" max="19" width="13.140625" style="6" customWidth="1"/>
    <col min="20" max="20" width="12.42578125" style="6" customWidth="1"/>
    <col min="21" max="21" width="5.28515625" style="6" hidden="1" customWidth="1"/>
    <col min="22" max="22" width="6" style="6" hidden="1" customWidth="1"/>
    <col min="23" max="23" width="7.85546875" style="6" hidden="1" customWidth="1"/>
    <col min="24" max="24" width="9.7109375" style="6" customWidth="1"/>
    <col min="25" max="25" width="7.7109375" style="6" hidden="1" customWidth="1"/>
    <col min="26" max="26" width="8.42578125" style="6" hidden="1" customWidth="1"/>
    <col min="27" max="27" width="7.85546875" style="6" customWidth="1"/>
    <col min="28" max="28" width="9.7109375" style="6" customWidth="1"/>
    <col min="29" max="29" width="7.85546875" style="6" hidden="1" customWidth="1"/>
    <col min="30" max="30" width="8.42578125" style="6" hidden="1" customWidth="1"/>
    <col min="31" max="31" width="7.85546875" style="6" customWidth="1"/>
    <col min="32" max="32" width="9.7109375" style="6" customWidth="1"/>
    <col min="33" max="33" width="7.85546875" style="6" hidden="1" customWidth="1"/>
    <col min="34" max="34" width="8.7109375" style="6" hidden="1" customWidth="1"/>
    <col min="35" max="35" width="7.7109375" style="6" customWidth="1"/>
    <col min="36" max="36" width="9.42578125" style="6" customWidth="1"/>
    <col min="37" max="37" width="7.85546875" style="6" hidden="1" customWidth="1"/>
    <col min="38" max="38" width="8.28515625" style="6" hidden="1" customWidth="1"/>
    <col min="39" max="39" width="7.85546875" style="6" customWidth="1"/>
    <col min="40" max="40" width="9.140625" style="6" customWidth="1"/>
    <col min="41" max="41" width="8" style="6" hidden="1" customWidth="1"/>
    <col min="42" max="42" width="8.140625" style="6" hidden="1" customWidth="1"/>
    <col min="43" max="43" width="8.28515625" style="6" customWidth="1"/>
    <col min="44" max="44" width="9.42578125" style="6" customWidth="1"/>
    <col min="45" max="46" width="8.42578125" style="6" hidden="1" customWidth="1"/>
    <col min="47" max="47" width="8.28515625" style="6" customWidth="1"/>
    <col min="48" max="48" width="12" style="6" customWidth="1"/>
    <col min="49" max="49" width="7.85546875" style="6" hidden="1" customWidth="1"/>
    <col min="50" max="50" width="8" style="6" hidden="1" customWidth="1"/>
    <col min="51" max="51" width="8.140625" style="6" customWidth="1"/>
    <col min="52" max="52" width="9.140625" style="6" customWidth="1"/>
    <col min="53" max="53" width="8" style="6" hidden="1" customWidth="1"/>
    <col min="54" max="54" width="8.28515625" style="6" hidden="1" customWidth="1"/>
    <col min="55" max="55" width="8.28515625" style="6" customWidth="1"/>
    <col min="56" max="16384" width="8.85546875" style="6"/>
  </cols>
  <sheetData>
    <row r="1" spans="1:55" ht="17.25" customHeight="1" x14ac:dyDescent="0.3">
      <c r="C1" s="303" t="s">
        <v>115</v>
      </c>
      <c r="D1" s="303"/>
      <c r="E1" s="303"/>
      <c r="F1" s="303"/>
      <c r="H1" s="8"/>
      <c r="I1" s="8"/>
      <c r="J1" s="8"/>
      <c r="K1" s="8"/>
      <c r="L1" s="8"/>
      <c r="M1" s="9"/>
      <c r="N1" s="9"/>
      <c r="O1" s="8"/>
      <c r="P1" s="8"/>
      <c r="Q1" s="8"/>
      <c r="R1" s="8"/>
      <c r="S1" s="8"/>
    </row>
    <row r="2" spans="1:55" ht="12" customHeight="1" x14ac:dyDescent="0.25">
      <c r="C2" s="302" t="s">
        <v>37</v>
      </c>
      <c r="D2" s="302"/>
      <c r="E2" s="302"/>
      <c r="F2" s="302"/>
      <c r="G2" s="302"/>
      <c r="H2" s="224"/>
      <c r="I2" s="8"/>
      <c r="J2" s="8"/>
      <c r="K2" s="8"/>
      <c r="L2" s="8"/>
      <c r="M2" s="9"/>
      <c r="N2" s="9"/>
      <c r="O2" s="8"/>
      <c r="P2" s="8"/>
      <c r="Q2" s="8"/>
      <c r="R2" s="8"/>
      <c r="S2" s="8"/>
    </row>
    <row r="3" spans="1:55" ht="6" customHeight="1" x14ac:dyDescent="0.3">
      <c r="C3" s="103"/>
      <c r="D3" s="103"/>
      <c r="E3" s="103"/>
      <c r="F3" s="103"/>
      <c r="G3" s="8"/>
      <c r="H3" s="8"/>
      <c r="I3" s="8"/>
      <c r="J3" s="8"/>
      <c r="K3" s="8"/>
      <c r="L3" s="8"/>
      <c r="M3" s="9"/>
      <c r="N3" s="9"/>
      <c r="O3" s="8"/>
      <c r="P3" s="8"/>
      <c r="Q3" s="8"/>
      <c r="R3" s="8"/>
      <c r="S3" s="8"/>
    </row>
    <row r="4" spans="1:55" ht="12.75" customHeight="1" x14ac:dyDescent="0.25">
      <c r="C4" s="10"/>
      <c r="D4" s="10"/>
      <c r="E4" s="10"/>
      <c r="F4" s="37" t="s">
        <v>79</v>
      </c>
      <c r="G4" s="24"/>
      <c r="H4" s="40" t="s">
        <v>59</v>
      </c>
      <c r="I4" s="93"/>
      <c r="J4" s="93"/>
      <c r="K4" s="93"/>
      <c r="L4" s="23"/>
      <c r="M4" s="22"/>
      <c r="N4" s="22"/>
      <c r="O4" s="22"/>
      <c r="P4" s="8"/>
      <c r="Q4" s="8"/>
      <c r="R4" s="8"/>
      <c r="S4" s="8"/>
    </row>
    <row r="5" spans="1:55" ht="6" customHeight="1" x14ac:dyDescent="0.25">
      <c r="C5" s="10"/>
      <c r="D5" s="10"/>
      <c r="E5" s="10"/>
      <c r="F5" s="22"/>
      <c r="G5" s="22"/>
      <c r="H5" s="22"/>
      <c r="I5" s="22"/>
      <c r="J5" s="22"/>
      <c r="K5" s="22"/>
      <c r="L5" s="22"/>
      <c r="M5" s="22"/>
      <c r="N5" s="22"/>
      <c r="O5" s="22"/>
      <c r="P5" s="8"/>
      <c r="Q5" s="8"/>
      <c r="R5" s="8"/>
      <c r="S5" s="8"/>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row>
    <row r="6" spans="1:55" ht="51" customHeight="1" x14ac:dyDescent="0.25">
      <c r="C6" s="234" t="s">
        <v>214</v>
      </c>
      <c r="D6" s="301" t="s">
        <v>1</v>
      </c>
      <c r="E6" s="242" t="s">
        <v>61</v>
      </c>
      <c r="F6" s="242" t="s">
        <v>169</v>
      </c>
      <c r="G6" s="242" t="s">
        <v>60</v>
      </c>
      <c r="H6" s="242" t="s">
        <v>158</v>
      </c>
      <c r="I6" s="242" t="s">
        <v>157</v>
      </c>
      <c r="J6" s="242" t="s">
        <v>174</v>
      </c>
      <c r="K6" s="242" t="s">
        <v>173</v>
      </c>
      <c r="L6" s="242" t="s">
        <v>55</v>
      </c>
      <c r="M6" s="242" t="s">
        <v>56</v>
      </c>
      <c r="N6" s="242" t="s">
        <v>183</v>
      </c>
      <c r="O6" s="242" t="s">
        <v>57</v>
      </c>
      <c r="P6" s="242" t="s">
        <v>58</v>
      </c>
      <c r="Q6" s="242" t="s">
        <v>78</v>
      </c>
      <c r="R6" s="242" t="s">
        <v>67</v>
      </c>
      <c r="S6" s="242" t="str">
        <f>'Facility Information'!A53&amp;" Annual Throughput (gallons/yr)"</f>
        <v xml:space="preserve"> Annual Throughput (gallons/yr)</v>
      </c>
      <c r="T6" s="241" t="s">
        <v>76</v>
      </c>
      <c r="U6" s="6" t="s">
        <v>71</v>
      </c>
      <c r="X6" s="243" t="s">
        <v>170</v>
      </c>
      <c r="Y6" s="237" t="s">
        <v>131</v>
      </c>
      <c r="Z6" s="237" t="s">
        <v>132</v>
      </c>
      <c r="AA6" s="237" t="s">
        <v>18</v>
      </c>
      <c r="AB6" s="238" t="s">
        <v>171</v>
      </c>
      <c r="AC6" s="237" t="s">
        <v>131</v>
      </c>
      <c r="AD6" s="237" t="s">
        <v>132</v>
      </c>
      <c r="AE6" s="237" t="s">
        <v>18</v>
      </c>
      <c r="AF6" s="238" t="s">
        <v>172</v>
      </c>
      <c r="AG6" s="237" t="s">
        <v>131</v>
      </c>
      <c r="AH6" s="237" t="s">
        <v>132</v>
      </c>
      <c r="AI6" s="237" t="s">
        <v>18</v>
      </c>
      <c r="AJ6" s="238" t="s">
        <v>176</v>
      </c>
      <c r="AK6" s="237" t="s">
        <v>131</v>
      </c>
      <c r="AL6" s="237" t="s">
        <v>132</v>
      </c>
      <c r="AM6" s="237" t="s">
        <v>18</v>
      </c>
      <c r="AN6" s="238" t="s">
        <v>178</v>
      </c>
      <c r="AO6" s="237" t="s">
        <v>131</v>
      </c>
      <c r="AP6" s="237" t="s">
        <v>132</v>
      </c>
      <c r="AQ6" s="237" t="s">
        <v>18</v>
      </c>
      <c r="AR6" s="238" t="s">
        <v>177</v>
      </c>
      <c r="AS6" s="237" t="s">
        <v>131</v>
      </c>
      <c r="AT6" s="237" t="s">
        <v>132</v>
      </c>
      <c r="AU6" s="237" t="s">
        <v>18</v>
      </c>
      <c r="AV6" s="238" t="s">
        <v>179</v>
      </c>
      <c r="AW6" s="237" t="s">
        <v>131</v>
      </c>
      <c r="AX6" s="237" t="s">
        <v>132</v>
      </c>
      <c r="AY6" s="237" t="s">
        <v>18</v>
      </c>
      <c r="AZ6" s="238" t="s">
        <v>180</v>
      </c>
      <c r="BA6" s="237" t="s">
        <v>131</v>
      </c>
      <c r="BB6" s="237" t="s">
        <v>132</v>
      </c>
      <c r="BC6" s="237" t="s">
        <v>18</v>
      </c>
    </row>
    <row r="7" spans="1:55" ht="12" customHeight="1" x14ac:dyDescent="0.25">
      <c r="A7" s="6" t="s">
        <v>111</v>
      </c>
      <c r="B7" s="6" t="str">
        <f t="shared" ref="B7:B12" si="0">IF(F7="Diesel Generator&gt; 600 bhp","yes","no")</f>
        <v>no</v>
      </c>
      <c r="C7" s="34"/>
      <c r="D7" s="34"/>
      <c r="E7" s="34"/>
      <c r="F7" s="35"/>
      <c r="G7" s="34"/>
      <c r="H7" s="36"/>
      <c r="I7" s="36"/>
      <c r="J7" s="115"/>
      <c r="K7" s="36">
        <f t="shared" ref="K7:K16" si="1">IF(J7="",0.5,J7)</f>
        <v>0.5</v>
      </c>
      <c r="L7" s="36"/>
      <c r="M7" s="36"/>
      <c r="N7" s="36"/>
      <c r="O7" s="36"/>
      <c r="P7" s="36"/>
      <c r="Q7" s="36"/>
      <c r="R7" s="39" t="str">
        <f t="shared" ref="R7:R12" si="2">IF(Q7="","",Q7*0.14)</f>
        <v/>
      </c>
      <c r="S7" s="36"/>
      <c r="T7" s="38" t="str">
        <f t="shared" ref="T7:T12" si="3">IF(S7="","",S7*0.14)</f>
        <v/>
      </c>
      <c r="U7" s="129" t="s">
        <v>175</v>
      </c>
      <c r="V7" s="129">
        <f t="shared" ref="V7:V27" si="4">IF(B7="no",H7*Q7*0.14,"")</f>
        <v>0</v>
      </c>
      <c r="W7" s="129" t="str">
        <f t="shared" ref="W7:W27" si="5">IF(B7="yes",H7*Q7*0.14,"")</f>
        <v/>
      </c>
      <c r="X7" s="38" t="str">
        <f>IF(F7="","",IF(B7="no",'Emission Factors'!$D$33,'Emission Factors'!$D$34))</f>
        <v/>
      </c>
      <c r="Y7" s="38" t="str">
        <f>IF(F7="","",X7*R7)</f>
        <v/>
      </c>
      <c r="Z7" s="38" t="str">
        <f>IF(F7="","",IF(I7&gt;0,I7*0.14*X7/2000,IF(H7&gt;0,X7*R7*H7/2000,Y7*8760/2000)))</f>
        <v/>
      </c>
      <c r="AA7" s="38" t="str">
        <f>IF(F7="","",T7*X7/2000)</f>
        <v/>
      </c>
      <c r="AB7" s="38" t="str">
        <f>IF(F7="","",IF(B7="no",'Emission Factors'!$F$33,'Emission Factors'!$F$34))</f>
        <v/>
      </c>
      <c r="AC7" s="38" t="str">
        <f>IF(F7="","",AB7*R7)</f>
        <v/>
      </c>
      <c r="AD7" s="38" t="str">
        <f>IF(F7="","",IF(I7&gt;0,I7*0.14*AB7/2000,IF(H7&gt;0,AB7*R7*H7/2000,AC7*8760/2000)))</f>
        <v/>
      </c>
      <c r="AE7" s="38" t="str">
        <f>IF(F7="","",T7*AB7/2000)</f>
        <v/>
      </c>
      <c r="AF7" s="38" t="str">
        <f>IF(F7="","",IF(B7="no",'Emission Factors'!$H$33,'Emission Factors'!$H$34))</f>
        <v/>
      </c>
      <c r="AG7" s="38" t="str">
        <f>IF(F7="","",IF(C7="CP-1",IF('Concrete Plant (CP-1)'!$I$12&gt;0,'Concrete Plant (CP-1)'!$I$12,AF7*R7*K7),IF(C7="CP-2",IF('Concrete Plant (CP-2)'!$I$12&gt;0,'Concrete Plant (CP-2)'!$I$12,AF7*R7*K7),IF(C7="CP-3",IF('Concrete Plant (CP-3)'!$I$12&gt;0,'Concrete Plant (CP-3)'!$I$12,AF7*R7*K7),IF(C7="CP-4",IF('Concrete Plant (CP-4)'!$I$12&gt;0,'Concrete Plant (CP-4)'!$I$12,AF7*R7*K7),IF(C7="CP-5",IF('Concrete Plant (CP-5)'!$I$12&gt;0,'Concrete Plant (CP-5)'!$I$12,AF7*R7*K7),IF(C7="CP-6",IF('Concrete Plant (CP-6)'!$I$12&gt;0,'Concrete Plant (CP-6)'!$I$12,AF7*R7*K7),IF(C7="CP-7",IF('Concrete Plant (CP-7)'!$I$12&gt;0,'Concrete Plant (CP-7)'!$I$12,AF7*R7*K7),IF(C7="CP-8",IF('Concrete Plant (CP-8)'!$I$12&gt;0,'Concrete Plant (CP-8)'!$I$12,AF7*R7*K7),IF(C7="CP-9",IF('Concrete Plant (CP-9)'!$I$12&gt;0,'Concrete Plant (CP-9)'!$I$12,AF7*R7*K7),IF(C7="CP-10",IF('Concrete Plant (CP-10)'!$I$12&gt;0,'Concrete Plant (CP-10)'!$I$12,AF7*R7*K7))))))))))))</f>
        <v/>
      </c>
      <c r="AH7" s="38" t="str">
        <f>IF(F7="","",IF(AF7=1.01,IF(I7&gt;0,I7*0.14*AF7*K7/2000,IF(H7&gt;0,AF7*K7*R7*H7/2000,AG7*8760/2000)),IF(I7&gt;0,I7*0.14*AF7/2000,IF(H7&gt;0,AF7*R7*H7/2000,AG7*8760/2000))))</f>
        <v/>
      </c>
      <c r="AI7" s="38" t="str">
        <f>IF(F7="","",IF(AF7=1.01,IF($G$4="",T7*AF7*K7/2000,T7*AF7*$G$4/2000),AF7*T7/2000))</f>
        <v/>
      </c>
      <c r="AJ7" s="38" t="str">
        <f>IF(F7="","",IF(B7="no",'Emission Factors'!$J$33,'Emission Factors'!$J$34))</f>
        <v/>
      </c>
      <c r="AK7" s="38" t="str">
        <f>IF(F7="","",IF(C7="CP-1",IF('Concrete Plant (CP-1)'!$I$13&gt;0,'Concrete Plant (CP-1)'!$I$13,AJ7*R7),IF(C7="CP-2",IF('Concrete Plant (CP-2)'!$I$13&gt;0,'Concrete Plant (CP-2)'!$I$13,AJ7*R7),IF(C7="CP-3",IF('Concrete Plant (CP-3)'!$I$13&gt;0,'Concrete Plant (CP-3)'!$I$13,AJ7*R7),IF(C7="CP-4",IF('Concrete Plant (CP-4)'!$I$13&gt;0,'Concrete Plant (CP-4)'!$I$13,AJ7*R7),IF(C7="CP-5",IF('Concrete Plant (CP-5)'!$I$13&gt;0,'Concrete Plant (CP-5)'!$I$13,AJ7*R7),IF(C7="CP-6",IF('Concrete Plant (CP-6)'!$I$13&gt;0,'Concrete Plant (CP-6)'!$I$13,AJ7*R7),IF(C7="CP-7",IF('Concrete Plant (CP-7)'!$I$13&gt;0,'Concrete Plant (CP-7)'!$I$13,AJ7*R7),IF(C7="CP-8",IF('Concrete Plant (CP-8)'!$I$13&gt;0,'Concrete Plant (CP-8)'!$I$13,AJ7*R7),IF(C7="CP-9",IF('Concrete Plant (CP-9)'!$I$13&gt;0,'Concrete Plant (CP-9)'!$I$13,AJ7*R7),IF(C7="CP-10",IF('Concrete Plant (CP-10)'!$I$13&gt;0,'Concrete Plant (CP-10)'!$I$13,AJ7*R7))))))))))))</f>
        <v/>
      </c>
      <c r="AL7" s="38" t="str">
        <f>IF(F7="","",IF(I7&gt;0,I7*0.14*AJ7/2000,IF(H7&gt;0,AJ7*R7*H7/2000,AK7*8760/2000)))</f>
        <v/>
      </c>
      <c r="AM7" s="38" t="str">
        <f>IF(F7="","",T7*AJ7/2000)</f>
        <v/>
      </c>
      <c r="AN7" s="38" t="str">
        <f>IF(F7="","",IF(B7="no",'Emission Factors'!$L$33,'Emission Factors'!$L$34))</f>
        <v/>
      </c>
      <c r="AO7" s="38" t="str">
        <f>IF(F7="","",IF(C7="CP-1",IF('Concrete Plant (CP-1)'!$I$14&gt;0,'Concrete Plant (CP-1)'!$I$14,AN7*R7),IF(C7="CP-2",IF('Concrete Plant (CP-2)'!$I$14&gt;0,'Concrete Plant (CP-2)'!$I$14,AN7*R7),IF(C7="CP-3",IF('Concrete Plant (CP-3)'!$I$14&gt;0,'Concrete Plant (CP-3)'!$I$14,AN7*R7),IF(C7="CP-4",IF('Concrete Plant (CP-4)'!$I$14&gt;0,'Concrete Plant (CP-4)'!$I$14,AN7*R7),IF(C7="CP-5",IF('Concrete Plant (CP-5)'!$I$14&gt;0,'Concrete Plant (CP-5)'!$I$14,AN7*R7),IF(C7="CP-6",IF('Concrete Plant (CP-6)'!$I$14&gt;0,'Concrete Plant (CP-6)'!$I$14,AN7*R7),IF(C7="CP-7",IF('Concrete Plant (CP-7)'!$I$14&gt;0,'Concrete Plant (CP-7)'!$I$14,AN7*R7),IF(C7="CP-8",IF('Concrete Plant (CP-8)'!$I$14&gt;0,'Concrete Plant (CP-8)'!$I$14,AN7*R7),IF(C7="CP-9",IF('Concrete Plant (CP-9)'!$I$14&gt;0,'Concrete Plant (CP-9)'!$I$14,AN7*R7),IF(C7="CP-10",IF('Concrete Plant (CP-10)'!$I$14&gt;0,'Concrete Plant (CP-10)'!$I$14,AN7*R7))))))))))))</f>
        <v/>
      </c>
      <c r="AP7" s="38" t="str">
        <f>IF(F7="","",IF(I7&gt;0,I7*0.14*AN7/2000,IF(H7&gt;0,AN7*R7*H7/2000,AO7*8760/2000)))</f>
        <v/>
      </c>
      <c r="AQ7" s="38" t="str">
        <f>IF(F7="","",T7*AN7/2000)</f>
        <v/>
      </c>
      <c r="AR7" s="38" t="str">
        <f>IF(F7="","",IF(B7="no",'Emission Factors'!$N$33,'Emission Factors'!$N$34))</f>
        <v/>
      </c>
      <c r="AS7" s="38" t="str">
        <f>IF(F7="","",IF(C7="CP-1",IF('Concrete Plant (CP-1)'!$I$15&gt;0,'Concrete Plant (CP-1)'!$I$15,AR7*R7),IF(C7="CP-2",IF('Concrete Plant (CP-2)'!$I$15&gt;0,'Concrete Plant (CP-2)'!$I$15,AR7*R7),IF(C7="CP-3",IF('Concrete Plant (CP-3)'!$I$15&gt;0,'Concrete Plant (CP-3)'!$I$15,AR7*R7),IF(C7="CP-4",IF('Concrete Plant (CP-4)'!$I$15&gt;0,'Concrete Plant (CP-4)'!$I$15,AR7*R7),IF(C7="CP-5",IF('Concrete Plant (CP-5)'!$I$15&gt;0,'Concrete Plant (CP-5)'!$I$15,AR7*R7),IF(C7="CP-6",IF('Concrete Plant (CP-6)'!$I$15&gt;0,'Concrete Plant (CP-6)'!$I$15,AR7*R7),IF(C7="CP-7",IF('Concrete Plant (CP-7)'!$I$15&gt;0,'Concrete Plant (CP-7)'!$I$15,AR7*R7),IF(C7="CP-8",IF('Concrete Plant (CP-8)'!$I$15&gt;0,'Concrete Plant (CP-8)'!$I$15,AR7*R7),IF(C7="CP-9",IF('Concrete Plant (CP-9)'!$I$15&gt;0,'Concrete Plant (CP-9)'!$I$15,AR7*R7),IF(C7="CP-10",IF('Concrete Plant (CP-10)'!$I$15&gt;0,'Concrete Plant (CP-10)'!$I$15,AR7*R7))))))))))))</f>
        <v/>
      </c>
      <c r="AT7" s="38" t="str">
        <f>IF(F7="","",IF(I7&gt;0,I7*0.14*AR7/2000,IF(H7&gt;0,AR7*R7*H7/2000,AS7*8760/2000)))</f>
        <v/>
      </c>
      <c r="AU7" s="38" t="str">
        <f>IF(F7="","",T7*AR7/2000)</f>
        <v/>
      </c>
      <c r="AV7" s="38" t="str">
        <f>IF(F7="","",IF(B7="no",'Emission Factors'!$P$33,'Emission Factors'!$P$34))</f>
        <v/>
      </c>
      <c r="AW7" s="38" t="str">
        <f>IF(F7="","",AV7*R7)</f>
        <v/>
      </c>
      <c r="AX7" s="38" t="str">
        <f>IF(F7="","",IF(I7&gt;0,I7*0.14*AV7/2000,IF(H7&gt;0,AV7*R7*H7/2000,AW7*8760/2000)))</f>
        <v/>
      </c>
      <c r="AY7" s="38" t="str">
        <f>IF(F7="","",T7*AV7/2000)</f>
        <v/>
      </c>
      <c r="AZ7" s="38" t="str">
        <f>IF(F7="","",IF(B7="no",'Emission Factors'!$R$33,'Emission Factors'!$R$34))</f>
        <v/>
      </c>
      <c r="BA7" s="38" t="str">
        <f>IF(F7="","",AZ7*R7)</f>
        <v/>
      </c>
      <c r="BB7" s="38" t="str">
        <f>IF(F7="","",IF(I7&gt;0,I7*0.14*AZ7/2000,IF(H7&gt;0,AZ7*R7*H7/2000,BA7*8760/2000)))</f>
        <v/>
      </c>
      <c r="BC7" s="38" t="str">
        <f>IF(F7="","",T7*AZ7/2000)</f>
        <v/>
      </c>
    </row>
    <row r="8" spans="1:55" ht="12" customHeight="1" x14ac:dyDescent="0.25">
      <c r="B8" s="6" t="str">
        <f t="shared" si="0"/>
        <v>no</v>
      </c>
      <c r="C8" s="34"/>
      <c r="D8" s="34"/>
      <c r="E8" s="34"/>
      <c r="F8" s="35"/>
      <c r="G8" s="34"/>
      <c r="H8" s="36"/>
      <c r="I8" s="36"/>
      <c r="J8" s="115"/>
      <c r="K8" s="36">
        <f t="shared" si="1"/>
        <v>0.5</v>
      </c>
      <c r="L8" s="36"/>
      <c r="M8" s="36"/>
      <c r="N8" s="36"/>
      <c r="O8" s="36"/>
      <c r="P8" s="36"/>
      <c r="Q8" s="36"/>
      <c r="R8" s="39" t="str">
        <f t="shared" si="2"/>
        <v/>
      </c>
      <c r="S8" s="36"/>
      <c r="T8" s="38" t="str">
        <f t="shared" si="3"/>
        <v/>
      </c>
      <c r="U8" s="129"/>
      <c r="V8" s="129">
        <f t="shared" si="4"/>
        <v>0</v>
      </c>
      <c r="W8" s="129" t="str">
        <f t="shared" si="5"/>
        <v/>
      </c>
      <c r="X8" s="38" t="str">
        <f>IF(F8="","",IF(B8="no",'Emission Factors'!$D$33,'Emission Factors'!$D$34))</f>
        <v/>
      </c>
      <c r="Y8" s="38" t="str">
        <f t="shared" ref="Y8:Y27" si="6">IF(F8="","",X8*R8)</f>
        <v/>
      </c>
      <c r="Z8" s="38" t="str">
        <f t="shared" ref="Z8:Z27" si="7">IF(F8="","",IF(I8&gt;0,I8*0.14*X8/2000,IF(H8&gt;0,X8*R8*H8/2000,Y8*8760/2000)))</f>
        <v/>
      </c>
      <c r="AA8" s="38" t="str">
        <f t="shared" ref="AA8:AA27" si="8">IF(F8="","",T8*X8/2000)</f>
        <v/>
      </c>
      <c r="AB8" s="38" t="str">
        <f>IF(F8="","",IF(B8="no",'Emission Factors'!$F$33,'Emission Factors'!$F$34))</f>
        <v/>
      </c>
      <c r="AC8" s="38" t="str">
        <f t="shared" ref="AC8:AC27" si="9">IF(F8="","",AB8*R8)</f>
        <v/>
      </c>
      <c r="AD8" s="38" t="str">
        <f t="shared" ref="AD8:AD27" si="10">IF(F8="","",IF(I8&gt;0,I8*0.14*AB8/2000,IF(H8&gt;0,AB8*R8*H8/2000,AC8*8760/2000)))</f>
        <v/>
      </c>
      <c r="AE8" s="38" t="str">
        <f t="shared" ref="AE8:AE27" si="11">IF(F8="","",T8*AB8/2000)</f>
        <v/>
      </c>
      <c r="AF8" s="38" t="str">
        <f>IF(F8="","",IF(B8="no",'Emission Factors'!$H$33,'Emission Factors'!$H$34))</f>
        <v/>
      </c>
      <c r="AG8" s="38" t="str">
        <f>IF(F8="","",IF(C8="CP-1",IF('Concrete Plant (CP-1)'!$I$12&gt;0,'Concrete Plant (CP-1)'!$I$12,AF8*R8*K8),IF(C8="CP-2",IF('Concrete Plant (CP-2)'!$I$12&gt;0,'Concrete Plant (CP-2)'!$I$12,AF8*R8*K8),IF(C8="CP-3",IF('Concrete Plant (CP-3)'!$I$12&gt;0,'Concrete Plant (CP-3)'!$I$12,AF8*R8*K8),IF(C8="CP-4",IF('Concrete Plant (CP-4)'!$I$12&gt;0,'Concrete Plant (CP-4)'!$I$12,AF8*R8*K8),IF(C8="CP-5",IF('Concrete Plant (CP-5)'!$I$12&gt;0,'Concrete Plant (CP-5)'!$I$12,AF8*R8*K8),IF(C8="CP-6",IF('Concrete Plant (CP-6)'!$I$12&gt;0,'Concrete Plant (CP-6)'!$I$12,AF8*R8*K8),IF(C8="CP-7",IF('Concrete Plant (CP-7)'!$I$12&gt;0,'Concrete Plant (CP-7)'!$I$12,AF8*R8*K8),IF(C8="CP-8",IF('Concrete Plant (CP-8)'!$I$12&gt;0,'Concrete Plant (CP-8)'!$I$12,AF8*R8*K8),IF(C8="CP-9",IF('Concrete Plant (CP-9)'!$I$12&gt;0,'Concrete Plant (CP-9)'!$I$12,AF8*R8*K8),IF(C8="CP-10",IF('Concrete Plant (CP-10)'!$I$12&gt;0,'Concrete Plant (CP-10)'!$I$12,AF8*R8*K8))))))))))))</f>
        <v/>
      </c>
      <c r="AH8" s="38" t="str">
        <f t="shared" ref="AH8:AH48" si="12">IF(F8="","",IF(AF8=1.01,IF(I8&gt;0,I8*0.14*AF8*K8/2000,IF(H8&gt;0,AF8*K8*R8*H8/2000,AG8*8760/2000)),IF(I8&gt;0,I8*0.14*AF8/2000,IF(H8&gt;0,AF8*R8*H8/2000,AG8*8760/2000))))</f>
        <v/>
      </c>
      <c r="AI8" s="38" t="str">
        <f t="shared" ref="AI8:AI48" si="13">IF(F8="","",IF(AF8=1.01,IF($G$4="",T8*AF8*K8/2000,T8*AF8*$G$4/2000),AF8*T8/2000))</f>
        <v/>
      </c>
      <c r="AJ8" s="38" t="str">
        <f>IF(F8="","",IF(B8="no",'Emission Factors'!$J$33,'Emission Factors'!$J$34))</f>
        <v/>
      </c>
      <c r="AK8" s="38" t="str">
        <f>IF(F8="","",IF(C8="CP-1",IF('Concrete Plant (CP-1)'!$I$13&gt;0,'Concrete Plant (CP-1)'!$I$13,AJ8*R8),IF(C8="CP-2",IF('Concrete Plant (CP-2)'!$I$13&gt;0,'Concrete Plant (CP-2)'!$I$13,AJ8*R8),IF(C8="CP-3",IF('Concrete Plant (CP-3)'!$I$13&gt;0,'Concrete Plant (CP-3)'!$I$13,AJ8*R8),IF(C8="CP-4",IF('Concrete Plant (CP-4)'!$I$13&gt;0,'Concrete Plant (CP-4)'!$I$13,AJ8*R8),IF(C8="CP-5",IF('Concrete Plant (CP-5)'!$I$13&gt;0,'Concrete Plant (CP-5)'!$I$13,AJ8*R8),IF(C8="CP-6",IF('Concrete Plant (CP-6)'!$I$13&gt;0,'Concrete Plant (CP-6)'!$I$13,AJ8*R8),IF(C8="CP-7",IF('Concrete Plant (CP-7)'!$I$13&gt;0,'Concrete Plant (CP-7)'!$I$13,AJ8*R8),IF(C8="CP-8",IF('Concrete Plant (CP-8)'!$I$13&gt;0,'Concrete Plant (CP-8)'!$I$13,AJ8*R8),IF(C8="CP-9",IF('Concrete Plant (CP-9)'!$I$13&gt;0,'Concrete Plant (CP-9)'!$I$13,AJ8*R8),IF(C8="CP-10",IF('Concrete Plant (CP-10)'!$I$13&gt;0,'Concrete Plant (CP-10)'!$I$13,AJ8*R8))))))))))))</f>
        <v/>
      </c>
      <c r="AL8" s="38" t="str">
        <f t="shared" ref="AL8:AL27" si="14">IF(F8="","",IF(I8&gt;0,I8*0.14*AJ8/2000,IF(H8&gt;0,AJ8*R8*H8/2000,AK8*8760/2000)))</f>
        <v/>
      </c>
      <c r="AM8" s="38" t="str">
        <f t="shared" ref="AM8:AM27" si="15">IF(F8="","",T8*AJ8/2000)</f>
        <v/>
      </c>
      <c r="AN8" s="38" t="str">
        <f>IF(F8="","",IF(B8="no",'Emission Factors'!$L$33,'Emission Factors'!$L$34))</f>
        <v/>
      </c>
      <c r="AO8" s="38" t="str">
        <f>IF(F8="","",IF(C8="CP-1",IF('Concrete Plant (CP-1)'!$I$14&gt;0,'Concrete Plant (CP-1)'!$I$14,AN8*R8),IF(C8="CP-2",IF('Concrete Plant (CP-2)'!$I$14&gt;0,'Concrete Plant (CP-2)'!$I$14,AN8*R8),IF(C8="CP-3",IF('Concrete Plant (CP-3)'!$I$14&gt;0,'Concrete Plant (CP-3)'!$I$14,AN8*R8),IF(C8="CP-4",IF('Concrete Plant (CP-4)'!$I$14&gt;0,'Concrete Plant (CP-4)'!$I$14,AN8*R8),IF(C8="CP-5",IF('Concrete Plant (CP-5)'!$I$14&gt;0,'Concrete Plant (CP-5)'!$I$14,AN8*R8),IF(C8="CP-6",IF('Concrete Plant (CP-6)'!$I$14&gt;0,'Concrete Plant (CP-6)'!$I$14,AN8*R8),IF(C8="CP-7",IF('Concrete Plant (CP-7)'!$I$14&gt;0,'Concrete Plant (CP-7)'!$I$14,AN8*R8),IF(C8="CP-8",IF('Concrete Plant (CP-8)'!$I$14&gt;0,'Concrete Plant (CP-8)'!$I$14,AN8*R8),IF(C8="CP-9",IF('Concrete Plant (CP-9)'!$I$14&gt;0,'Concrete Plant (CP-9)'!$I$14,AN8*R8),IF(C8="CP-10",IF('Concrete Plant (CP-10)'!$I$14&gt;0,'Concrete Plant (CP-10)'!$I$14,AN8*R8))))))))))))</f>
        <v/>
      </c>
      <c r="AP8" s="38" t="str">
        <f t="shared" ref="AP8:AP27" si="16">IF(F8="","",IF(I8&gt;0,I8*0.14*AN8/2000,IF(H8&gt;0,AN8*R8*H8/2000,AO8*8760/2000)))</f>
        <v/>
      </c>
      <c r="AQ8" s="38" t="str">
        <f t="shared" ref="AQ8:AQ27" si="17">IF(F8="","",T8*AN8/2000)</f>
        <v/>
      </c>
      <c r="AR8" s="38" t="str">
        <f>IF(F8="","",IF(B8="no",'Emission Factors'!$N$33,'Emission Factors'!$N$34))</f>
        <v/>
      </c>
      <c r="AS8" s="38" t="str">
        <f>IF(F8="","",IF(C8="CP-1",IF('Concrete Plant (CP-1)'!$I$15&gt;0,'Concrete Plant (CP-1)'!$I$15,AR8*R8),IF(C8="CP-2",IF('Concrete Plant (CP-2)'!$I$15&gt;0,'Concrete Plant (CP-2)'!$I$15,AR8*R8),IF(C8="CP-3",IF('Concrete Plant (CP-3)'!$I$15&gt;0,'Concrete Plant (CP-3)'!$I$15,AR8*R8),IF(C8="CP-4",IF('Concrete Plant (CP-4)'!$I$15&gt;0,'Concrete Plant (CP-4)'!$I$15,AR8*R8),IF(C8="CP-5",IF('Concrete Plant (CP-5)'!$I$15&gt;0,'Concrete Plant (CP-5)'!$I$15,AR8*R8),IF(C8="CP-6",IF('Concrete Plant (CP-6)'!$I$15&gt;0,'Concrete Plant (CP-6)'!$I$15,AR8*R8),IF(C8="CP-7",IF('Concrete Plant (CP-7)'!$I$15&gt;0,'Concrete Plant (CP-7)'!$I$15,AR8*R8),IF(C8="CP-8",IF('Concrete Plant (CP-8)'!$I$15&gt;0,'Concrete Plant (CP-8)'!$I$15,AR8*R8),IF(C8="CP-9",IF('Concrete Plant (CP-9)'!$I$15&gt;0,'Concrete Plant (CP-9)'!$I$15,AR8*R8),IF(C8="CP-10",IF('Concrete Plant (CP-10)'!$I$15&gt;0,'Concrete Plant (CP-10)'!$I$15,AR8*R8))))))))))))</f>
        <v/>
      </c>
      <c r="AT8" s="38" t="str">
        <f t="shared" ref="AT8:AT27" si="18">IF(F8="","",IF(I8&gt;0,I8*0.14*AR8/2000,IF(H8&gt;0,AR8*R8*H8/2000,AS8*8760/2000)))</f>
        <v/>
      </c>
      <c r="AU8" s="38" t="str">
        <f t="shared" ref="AU8:AU26" si="19">IF(F8="","",T8*AR8/2000)</f>
        <v/>
      </c>
      <c r="AV8" s="38" t="str">
        <f>IF(F8="","",IF(B8="no",'Emission Factors'!$P$33,'Emission Factors'!$P$34))</f>
        <v/>
      </c>
      <c r="AW8" s="38" t="str">
        <f t="shared" ref="AW8:AW27" si="20">IF(F8="","",AV8*R8)</f>
        <v/>
      </c>
      <c r="AX8" s="38" t="str">
        <f t="shared" ref="AX8:AX27" si="21">IF(F8="","",IF(I8&gt;0,I8*0.14*AV8/2000,IF(H8&gt;0,AV8*R8*H8/2000,AW8*8760/2000)))</f>
        <v/>
      </c>
      <c r="AY8" s="38" t="str">
        <f t="shared" ref="AY8:AY27" si="22">IF(F8="","",T8*AV8/2000)</f>
        <v/>
      </c>
      <c r="AZ8" s="38" t="str">
        <f>IF(F8="","",IF(B8="no",'Emission Factors'!$R$33,'Emission Factors'!$R$34))</f>
        <v/>
      </c>
      <c r="BA8" s="38" t="str">
        <f t="shared" ref="BA8:BA27" si="23">IF(F8="","",AZ8*R8)</f>
        <v/>
      </c>
      <c r="BB8" s="38" t="str">
        <f t="shared" ref="BB8:BB27" si="24">IF(F8="","",IF(I8&gt;0,I8*0.14*AZ8/2000,IF(H8&gt;0,AZ8*R8*H8/2000,BA8*8760/2000)))</f>
        <v/>
      </c>
      <c r="BC8" s="38" t="str">
        <f t="shared" ref="BC8:BC27" si="25">IF(F8="","",T8*AZ8/2000)</f>
        <v/>
      </c>
    </row>
    <row r="9" spans="1:55" ht="12" customHeight="1" x14ac:dyDescent="0.25">
      <c r="A9" s="6" t="str">
        <f>IF('Facility Information'!$C$21&gt;0,"CP-1","")</f>
        <v/>
      </c>
      <c r="B9" s="6" t="str">
        <f t="shared" si="0"/>
        <v>no</v>
      </c>
      <c r="C9" s="34"/>
      <c r="D9" s="34"/>
      <c r="E9" s="34"/>
      <c r="F9" s="35"/>
      <c r="G9" s="34"/>
      <c r="H9" s="36"/>
      <c r="I9" s="36"/>
      <c r="J9" s="115"/>
      <c r="K9" s="36">
        <f t="shared" si="1"/>
        <v>0.5</v>
      </c>
      <c r="L9" s="36"/>
      <c r="M9" s="36"/>
      <c r="N9" s="36"/>
      <c r="O9" s="36"/>
      <c r="P9" s="36"/>
      <c r="Q9" s="36"/>
      <c r="R9" s="39" t="str">
        <f t="shared" si="2"/>
        <v/>
      </c>
      <c r="S9" s="36"/>
      <c r="T9" s="38" t="str">
        <f t="shared" si="3"/>
        <v/>
      </c>
      <c r="U9" s="129"/>
      <c r="V9" s="129">
        <f t="shared" si="4"/>
        <v>0</v>
      </c>
      <c r="W9" s="129" t="str">
        <f t="shared" si="5"/>
        <v/>
      </c>
      <c r="X9" s="38" t="str">
        <f>IF(F9="","",IF(B9="no",'Emission Factors'!$D$33,'Emission Factors'!$D$34))</f>
        <v/>
      </c>
      <c r="Y9" s="38" t="str">
        <f t="shared" si="6"/>
        <v/>
      </c>
      <c r="Z9" s="38" t="str">
        <f t="shared" si="7"/>
        <v/>
      </c>
      <c r="AA9" s="38" t="str">
        <f t="shared" si="8"/>
        <v/>
      </c>
      <c r="AB9" s="38" t="str">
        <f>IF(F9="","",IF(B9="no",'Emission Factors'!$F$33,'Emission Factors'!$F$34))</f>
        <v/>
      </c>
      <c r="AC9" s="38" t="str">
        <f t="shared" si="9"/>
        <v/>
      </c>
      <c r="AD9" s="38" t="str">
        <f t="shared" si="10"/>
        <v/>
      </c>
      <c r="AE9" s="38" t="str">
        <f t="shared" si="11"/>
        <v/>
      </c>
      <c r="AF9" s="38" t="str">
        <f>IF(F9="","",IF(B9="no",'Emission Factors'!$H$33,'Emission Factors'!$H$34))</f>
        <v/>
      </c>
      <c r="AG9" s="38" t="str">
        <f>IF(F9="","",IF(C9="CP-1",IF('Concrete Plant (CP-1)'!$I$12&gt;0,'Concrete Plant (CP-1)'!$I$12,AF9*R9*K9),IF(C9="CP-2",IF('Concrete Plant (CP-2)'!$I$12&gt;0,'Concrete Plant (CP-2)'!$I$12,AF9*R9*K9),IF(C9="CP-3",IF('Concrete Plant (CP-3)'!$I$12&gt;0,'Concrete Plant (CP-3)'!$I$12,AF9*R9*K9),IF(C9="CP-4",IF('Concrete Plant (CP-4)'!$I$12&gt;0,'Concrete Plant (CP-4)'!$I$12,AF9*R9*K9),IF(C9="CP-5",IF('Concrete Plant (CP-5)'!$I$12&gt;0,'Concrete Plant (CP-5)'!$I$12,AF9*R9*K9),IF(C9="CP-6",IF('Concrete Plant (CP-6)'!$I$12&gt;0,'Concrete Plant (CP-6)'!$I$12,AF9*R9*K9),IF(C9="CP-7",IF('Concrete Plant (CP-7)'!$I$12&gt;0,'Concrete Plant (CP-7)'!$I$12,AF9*R9*K9),IF(C9="CP-8",IF('Concrete Plant (CP-8)'!$I$12&gt;0,'Concrete Plant (CP-8)'!$I$12,AF9*R9*K9),IF(C9="CP-9",IF('Concrete Plant (CP-9)'!$I$12&gt;0,'Concrete Plant (CP-9)'!$I$12,AF9*R9*K9),IF(C9="CP-10",IF('Concrete Plant (CP-10)'!$I$12&gt;0,'Concrete Plant (CP-10)'!$I$12,AF9*R9*K9))))))))))))</f>
        <v/>
      </c>
      <c r="AH9" s="38" t="str">
        <f t="shared" si="12"/>
        <v/>
      </c>
      <c r="AI9" s="38" t="str">
        <f t="shared" si="13"/>
        <v/>
      </c>
      <c r="AJ9" s="38" t="str">
        <f>IF(F9="","",IF(B9="no",'Emission Factors'!$J$33,'Emission Factors'!$J$34))</f>
        <v/>
      </c>
      <c r="AK9" s="38" t="str">
        <f>IF(F9="","",IF(C9="CP-1",IF('Concrete Plant (CP-1)'!$I$13&gt;0,'Concrete Plant (CP-1)'!$I$13,AJ9*R9),IF(C9="CP-2",IF('Concrete Plant (CP-2)'!$I$13&gt;0,'Concrete Plant (CP-2)'!$I$13,AJ9*R9),IF(C9="CP-3",IF('Concrete Plant (CP-3)'!$I$13&gt;0,'Concrete Plant (CP-3)'!$I$13,AJ9*R9),IF(C9="CP-4",IF('Concrete Plant (CP-4)'!$I$13&gt;0,'Concrete Plant (CP-4)'!$I$13,AJ9*R9),IF(C9="CP-5",IF('Concrete Plant (CP-5)'!$I$13&gt;0,'Concrete Plant (CP-5)'!$I$13,AJ9*R9),IF(C9="CP-6",IF('Concrete Plant (CP-6)'!$I$13&gt;0,'Concrete Plant (CP-6)'!$I$13,AJ9*R9),IF(C9="CP-7",IF('Concrete Plant (CP-7)'!$I$13&gt;0,'Concrete Plant (CP-7)'!$I$13,AJ9*R9),IF(C9="CP-8",IF('Concrete Plant (CP-8)'!$I$13&gt;0,'Concrete Plant (CP-8)'!$I$13,AJ9*R9),IF(C9="CP-9",IF('Concrete Plant (CP-9)'!$I$13&gt;0,'Concrete Plant (CP-9)'!$I$13,AJ9*R9),IF(C9="CP-10",IF('Concrete Plant (CP-10)'!$I$13&gt;0,'Concrete Plant (CP-10)'!$I$13,AJ9*R9))))))))))))</f>
        <v/>
      </c>
      <c r="AL9" s="38" t="str">
        <f t="shared" si="14"/>
        <v/>
      </c>
      <c r="AM9" s="38" t="str">
        <f t="shared" si="15"/>
        <v/>
      </c>
      <c r="AN9" s="38" t="str">
        <f>IF(F9="","",IF(B9="no",'Emission Factors'!$L$33,'Emission Factors'!$L$34))</f>
        <v/>
      </c>
      <c r="AO9" s="38" t="str">
        <f>IF(F9="","",IF(C9="CP-1",IF('Concrete Plant (CP-1)'!$I$14&gt;0,'Concrete Plant (CP-1)'!$I$14,AN9*R9),IF(C9="CP-2",IF('Concrete Plant (CP-2)'!$I$14&gt;0,'Concrete Plant (CP-2)'!$I$14,AN9*R9),IF(C9="CP-3",IF('Concrete Plant (CP-3)'!$I$14&gt;0,'Concrete Plant (CP-3)'!$I$14,AN9*R9),IF(C9="CP-4",IF('Concrete Plant (CP-4)'!$I$14&gt;0,'Concrete Plant (CP-4)'!$I$14,AN9*R9),IF(C9="CP-5",IF('Concrete Plant (CP-5)'!$I$14&gt;0,'Concrete Plant (CP-5)'!$I$14,AN9*R9),IF(C9="CP-6",IF('Concrete Plant (CP-6)'!$I$14&gt;0,'Concrete Plant (CP-6)'!$I$14,AN9*R9),IF(C9="CP-7",IF('Concrete Plant (CP-7)'!$I$14&gt;0,'Concrete Plant (CP-7)'!$I$14,AN9*R9),IF(C9="CP-8",IF('Concrete Plant (CP-8)'!$I$14&gt;0,'Concrete Plant (CP-8)'!$I$14,AN9*R9),IF(C9="CP-9",IF('Concrete Plant (CP-9)'!$I$14&gt;0,'Concrete Plant (CP-9)'!$I$14,AN9*R9),IF(C9="CP-10",IF('Concrete Plant (CP-10)'!$I$14&gt;0,'Concrete Plant (CP-10)'!$I$14,AN9*R9))))))))))))</f>
        <v/>
      </c>
      <c r="AP9" s="38" t="str">
        <f t="shared" si="16"/>
        <v/>
      </c>
      <c r="AQ9" s="38" t="str">
        <f t="shared" si="17"/>
        <v/>
      </c>
      <c r="AR9" s="38" t="str">
        <f>IF(F9="","",IF(B9="no",'Emission Factors'!$N$33,'Emission Factors'!$N$34))</f>
        <v/>
      </c>
      <c r="AS9" s="38" t="str">
        <f>IF(F9="","",IF(C9="CP-1",IF('Concrete Plant (CP-1)'!$I$15&gt;0,'Concrete Plant (CP-1)'!$I$15,AR9*R9),IF(C9="CP-2",IF('Concrete Plant (CP-2)'!$I$15&gt;0,'Concrete Plant (CP-2)'!$I$15,AR9*R9),IF(C9="CP-3",IF('Concrete Plant (CP-3)'!$I$15&gt;0,'Concrete Plant (CP-3)'!$I$15,AR9*R9),IF(C9="CP-4",IF('Concrete Plant (CP-4)'!$I$15&gt;0,'Concrete Plant (CP-4)'!$I$15,AR9*R9),IF(C9="CP-5",IF('Concrete Plant (CP-5)'!$I$15&gt;0,'Concrete Plant (CP-5)'!$I$15,AR9*R9),IF(C9="CP-6",IF('Concrete Plant (CP-6)'!$I$15&gt;0,'Concrete Plant (CP-6)'!$I$15,AR9*R9),IF(C9="CP-7",IF('Concrete Plant (CP-7)'!$I$15&gt;0,'Concrete Plant (CP-7)'!$I$15,AR9*R9),IF(C9="CP-8",IF('Concrete Plant (CP-8)'!$I$15&gt;0,'Concrete Plant (CP-8)'!$I$15,AR9*R9),IF(C9="CP-9",IF('Concrete Plant (CP-9)'!$I$15&gt;0,'Concrete Plant (CP-9)'!$I$15,AR9*R9),IF(C9="CP-10",IF('Concrete Plant (CP-10)'!$I$15&gt;0,'Concrete Plant (CP-10)'!$I$15,AR9*R9))))))))))))</f>
        <v/>
      </c>
      <c r="AT9" s="38" t="str">
        <f t="shared" si="18"/>
        <v/>
      </c>
      <c r="AU9" s="38" t="str">
        <f t="shared" si="19"/>
        <v/>
      </c>
      <c r="AV9" s="38" t="str">
        <f>IF(F9="","",IF(B9="no",'Emission Factors'!$P$33,'Emission Factors'!$P$34))</f>
        <v/>
      </c>
      <c r="AW9" s="38" t="str">
        <f t="shared" si="20"/>
        <v/>
      </c>
      <c r="AX9" s="38" t="str">
        <f t="shared" si="21"/>
        <v/>
      </c>
      <c r="AY9" s="38" t="str">
        <f t="shared" si="22"/>
        <v/>
      </c>
      <c r="AZ9" s="38" t="str">
        <f>IF(F9="","",IF(B9="no",'Emission Factors'!$R$33,'Emission Factors'!$R$34))</f>
        <v/>
      </c>
      <c r="BA9" s="38" t="str">
        <f t="shared" si="23"/>
        <v/>
      </c>
      <c r="BB9" s="38" t="str">
        <f t="shared" si="24"/>
        <v/>
      </c>
      <c r="BC9" s="38" t="str">
        <f t="shared" si="25"/>
        <v/>
      </c>
    </row>
    <row r="10" spans="1:55" ht="12" customHeight="1" x14ac:dyDescent="0.25">
      <c r="A10" s="6" t="str">
        <f>IF('Facility Information'!$C$21&gt;1,"CP-2","")</f>
        <v/>
      </c>
      <c r="B10" s="6" t="str">
        <f t="shared" si="0"/>
        <v>no</v>
      </c>
      <c r="C10" s="34"/>
      <c r="D10" s="34"/>
      <c r="E10" s="34"/>
      <c r="F10" s="35"/>
      <c r="G10" s="34"/>
      <c r="H10" s="36"/>
      <c r="I10" s="36"/>
      <c r="J10" s="115"/>
      <c r="K10" s="36">
        <f t="shared" si="1"/>
        <v>0.5</v>
      </c>
      <c r="L10" s="36"/>
      <c r="M10" s="36"/>
      <c r="N10" s="36"/>
      <c r="O10" s="36"/>
      <c r="P10" s="36"/>
      <c r="Q10" s="36"/>
      <c r="R10" s="39" t="str">
        <f t="shared" si="2"/>
        <v/>
      </c>
      <c r="S10" s="36"/>
      <c r="T10" s="38" t="str">
        <f t="shared" si="3"/>
        <v/>
      </c>
      <c r="U10" s="129"/>
      <c r="V10" s="129">
        <f t="shared" si="4"/>
        <v>0</v>
      </c>
      <c r="W10" s="129" t="str">
        <f t="shared" si="5"/>
        <v/>
      </c>
      <c r="X10" s="38" t="str">
        <f>IF(F10="","",IF(B10="no",'Emission Factors'!$D$33,'Emission Factors'!$D$34))</f>
        <v/>
      </c>
      <c r="Y10" s="38" t="str">
        <f t="shared" si="6"/>
        <v/>
      </c>
      <c r="Z10" s="38" t="str">
        <f t="shared" si="7"/>
        <v/>
      </c>
      <c r="AA10" s="38" t="str">
        <f t="shared" si="8"/>
        <v/>
      </c>
      <c r="AB10" s="38" t="str">
        <f>IF(F10="","",IF(B10="no",'Emission Factors'!$F$33,'Emission Factors'!$F$34))</f>
        <v/>
      </c>
      <c r="AC10" s="38" t="str">
        <f t="shared" si="9"/>
        <v/>
      </c>
      <c r="AD10" s="38" t="str">
        <f t="shared" si="10"/>
        <v/>
      </c>
      <c r="AE10" s="38" t="str">
        <f t="shared" si="11"/>
        <v/>
      </c>
      <c r="AF10" s="38" t="str">
        <f>IF(F10="","",IF(B10="no",'Emission Factors'!$H$33,'Emission Factors'!$H$34))</f>
        <v/>
      </c>
      <c r="AG10" s="38" t="str">
        <f>IF(F10="","",IF(C10="CP-1",IF('Concrete Plant (CP-1)'!$I$12&gt;0,'Concrete Plant (CP-1)'!$I$12,AF10*R10*K10),IF(C10="CP-2",IF('Concrete Plant (CP-2)'!$I$12&gt;0,'Concrete Plant (CP-2)'!$I$12,AF10*R10*K10),IF(C10="CP-3",IF('Concrete Plant (CP-3)'!$I$12&gt;0,'Concrete Plant (CP-3)'!$I$12,AF10*R10*K10),IF(C10="CP-4",IF('Concrete Plant (CP-4)'!$I$12&gt;0,'Concrete Plant (CP-4)'!$I$12,AF10*R10*K10),IF(C10="CP-5",IF('Concrete Plant (CP-5)'!$I$12&gt;0,'Concrete Plant (CP-5)'!$I$12,AF10*R10*K10),IF(C10="CP-6",IF('Concrete Plant (CP-6)'!$I$12&gt;0,'Concrete Plant (CP-6)'!$I$12,AF10*R10*K10),IF(C10="CP-7",IF('Concrete Plant (CP-7)'!$I$12&gt;0,'Concrete Plant (CP-7)'!$I$12,AF10*R10*K10),IF(C10="CP-8",IF('Concrete Plant (CP-8)'!$I$12&gt;0,'Concrete Plant (CP-8)'!$I$12,AF10*R10*K10),IF(C10="CP-9",IF('Concrete Plant (CP-9)'!$I$12&gt;0,'Concrete Plant (CP-9)'!$I$12,AF10*R10*K10),IF(C10="CP-10",IF('Concrete Plant (CP-10)'!$I$12&gt;0,'Concrete Plant (CP-10)'!$I$12,AF10*R10*K10))))))))))))</f>
        <v/>
      </c>
      <c r="AH10" s="38" t="str">
        <f t="shared" si="12"/>
        <v/>
      </c>
      <c r="AI10" s="38" t="str">
        <f t="shared" si="13"/>
        <v/>
      </c>
      <c r="AJ10" s="38" t="str">
        <f>IF(F10="","",IF(B10="no",'Emission Factors'!$J$33,'Emission Factors'!$J$34))</f>
        <v/>
      </c>
      <c r="AK10" s="38" t="str">
        <f>IF(F10="","",IF(C10="CP-1",IF('Concrete Plant (CP-1)'!$I$13&gt;0,'Concrete Plant (CP-1)'!$I$13,AJ10*R10),IF(C10="CP-2",IF('Concrete Plant (CP-2)'!$I$13&gt;0,'Concrete Plant (CP-2)'!$I$13,AJ10*R10),IF(C10="CP-3",IF('Concrete Plant (CP-3)'!$I$13&gt;0,'Concrete Plant (CP-3)'!$I$13,AJ10*R10),IF(C10="CP-4",IF('Concrete Plant (CP-4)'!$I$13&gt;0,'Concrete Plant (CP-4)'!$I$13,AJ10*R10),IF(C10="CP-5",IF('Concrete Plant (CP-5)'!$I$13&gt;0,'Concrete Plant (CP-5)'!$I$13,AJ10*R10),IF(C10="CP-6",IF('Concrete Plant (CP-6)'!$I$13&gt;0,'Concrete Plant (CP-6)'!$I$13,AJ10*R10),IF(C10="CP-7",IF('Concrete Plant (CP-7)'!$I$13&gt;0,'Concrete Plant (CP-7)'!$I$13,AJ10*R10),IF(C10="CP-8",IF('Concrete Plant (CP-8)'!$I$13&gt;0,'Concrete Plant (CP-8)'!$I$13,AJ10*R10),IF(C10="CP-9",IF('Concrete Plant (CP-9)'!$I$13&gt;0,'Concrete Plant (CP-9)'!$I$13,AJ10*R10),IF(C10="CP-10",IF('Concrete Plant (CP-10)'!$I$13&gt;0,'Concrete Plant (CP-10)'!$I$13,AJ10*R10))))))))))))</f>
        <v/>
      </c>
      <c r="AL10" s="38" t="str">
        <f t="shared" si="14"/>
        <v/>
      </c>
      <c r="AM10" s="38" t="str">
        <f t="shared" si="15"/>
        <v/>
      </c>
      <c r="AN10" s="38" t="str">
        <f>IF(F10="","",IF(B10="no",'Emission Factors'!$L$33,'Emission Factors'!$L$34))</f>
        <v/>
      </c>
      <c r="AO10" s="38" t="str">
        <f>IF(F10="","",IF(C10="CP-1",IF('Concrete Plant (CP-1)'!$I$14&gt;0,'Concrete Plant (CP-1)'!$I$14,AN10*R10),IF(C10="CP-2",IF('Concrete Plant (CP-2)'!$I$14&gt;0,'Concrete Plant (CP-2)'!$I$14,AN10*R10),IF(C10="CP-3",IF('Concrete Plant (CP-3)'!$I$14&gt;0,'Concrete Plant (CP-3)'!$I$14,AN10*R10),IF(C10="CP-4",IF('Concrete Plant (CP-4)'!$I$14&gt;0,'Concrete Plant (CP-4)'!$I$14,AN10*R10),IF(C10="CP-5",IF('Concrete Plant (CP-5)'!$I$14&gt;0,'Concrete Plant (CP-5)'!$I$14,AN10*R10),IF(C10="CP-6",IF('Concrete Plant (CP-6)'!$I$14&gt;0,'Concrete Plant (CP-6)'!$I$14,AN10*R10),IF(C10="CP-7",IF('Concrete Plant (CP-7)'!$I$14&gt;0,'Concrete Plant (CP-7)'!$I$14,AN10*R10),IF(C10="CP-8",IF('Concrete Plant (CP-8)'!$I$14&gt;0,'Concrete Plant (CP-8)'!$I$14,AN10*R10),IF(C10="CP-9",IF('Concrete Plant (CP-9)'!$I$14&gt;0,'Concrete Plant (CP-9)'!$I$14,AN10*R10),IF(C10="CP-10",IF('Concrete Plant (CP-10)'!$I$14&gt;0,'Concrete Plant (CP-10)'!$I$14,AN10*R10))))))))))))</f>
        <v/>
      </c>
      <c r="AP10" s="38" t="str">
        <f t="shared" si="16"/>
        <v/>
      </c>
      <c r="AQ10" s="38" t="str">
        <f t="shared" si="17"/>
        <v/>
      </c>
      <c r="AR10" s="38" t="str">
        <f>IF(F10="","",IF(B10="no",'Emission Factors'!$N$33,'Emission Factors'!$N$34))</f>
        <v/>
      </c>
      <c r="AS10" s="38" t="str">
        <f>IF(F10="","",IF(C10="CP-1",IF('Concrete Plant (CP-1)'!$I$15&gt;0,'Concrete Plant (CP-1)'!$I$15,AR10*R10),IF(C10="CP-2",IF('Concrete Plant (CP-2)'!$I$15&gt;0,'Concrete Plant (CP-2)'!$I$15,AR10*R10),IF(C10="CP-3",IF('Concrete Plant (CP-3)'!$I$15&gt;0,'Concrete Plant (CP-3)'!$I$15,AR10*R10),IF(C10="CP-4",IF('Concrete Plant (CP-4)'!$I$15&gt;0,'Concrete Plant (CP-4)'!$I$15,AR10*R10),IF(C10="CP-5",IF('Concrete Plant (CP-5)'!$I$15&gt;0,'Concrete Plant (CP-5)'!$I$15,AR10*R10),IF(C10="CP-6",IF('Concrete Plant (CP-6)'!$I$15&gt;0,'Concrete Plant (CP-6)'!$I$15,AR10*R10),IF(C10="CP-7",IF('Concrete Plant (CP-7)'!$I$15&gt;0,'Concrete Plant (CP-7)'!$I$15,AR10*R10),IF(C10="CP-8",IF('Concrete Plant (CP-8)'!$I$15&gt;0,'Concrete Plant (CP-8)'!$I$15,AR10*R10),IF(C10="CP-9",IF('Concrete Plant (CP-9)'!$I$15&gt;0,'Concrete Plant (CP-9)'!$I$15,AR10*R10),IF(C10="CP-10",IF('Concrete Plant (CP-10)'!$I$15&gt;0,'Concrete Plant (CP-10)'!$I$15,AR10*R10))))))))))))</f>
        <v/>
      </c>
      <c r="AT10" s="38" t="str">
        <f t="shared" si="18"/>
        <v/>
      </c>
      <c r="AU10" s="38" t="str">
        <f t="shared" si="19"/>
        <v/>
      </c>
      <c r="AV10" s="38" t="str">
        <f>IF(F10="","",IF(B10="no",'Emission Factors'!$P$33,'Emission Factors'!$P$34))</f>
        <v/>
      </c>
      <c r="AW10" s="38" t="str">
        <f t="shared" si="20"/>
        <v/>
      </c>
      <c r="AX10" s="38" t="str">
        <f t="shared" si="21"/>
        <v/>
      </c>
      <c r="AY10" s="38" t="str">
        <f t="shared" si="22"/>
        <v/>
      </c>
      <c r="AZ10" s="38" t="str">
        <f>IF(F10="","",IF(B10="no",'Emission Factors'!$R$33,'Emission Factors'!$R$34))</f>
        <v/>
      </c>
      <c r="BA10" s="38" t="str">
        <f t="shared" si="23"/>
        <v/>
      </c>
      <c r="BB10" s="38" t="str">
        <f t="shared" si="24"/>
        <v/>
      </c>
      <c r="BC10" s="38" t="str">
        <f t="shared" si="25"/>
        <v/>
      </c>
    </row>
    <row r="11" spans="1:55" ht="12" customHeight="1" x14ac:dyDescent="0.25">
      <c r="A11" s="6" t="str">
        <f>IF('Facility Information'!$C$21&gt;2,"CP-3","")</f>
        <v/>
      </c>
      <c r="B11" s="6" t="str">
        <f t="shared" si="0"/>
        <v>no</v>
      </c>
      <c r="C11" s="34"/>
      <c r="D11" s="34"/>
      <c r="E11" s="34"/>
      <c r="F11" s="35"/>
      <c r="G11" s="34"/>
      <c r="H11" s="36"/>
      <c r="I11" s="36"/>
      <c r="J11" s="115"/>
      <c r="K11" s="36">
        <f t="shared" si="1"/>
        <v>0.5</v>
      </c>
      <c r="L11" s="36"/>
      <c r="M11" s="36"/>
      <c r="N11" s="36"/>
      <c r="O11" s="36"/>
      <c r="P11" s="36"/>
      <c r="Q11" s="36"/>
      <c r="R11" s="39" t="str">
        <f t="shared" si="2"/>
        <v/>
      </c>
      <c r="S11" s="36"/>
      <c r="T11" s="38" t="str">
        <f t="shared" si="3"/>
        <v/>
      </c>
      <c r="U11" s="129"/>
      <c r="V11" s="129">
        <f t="shared" si="4"/>
        <v>0</v>
      </c>
      <c r="W11" s="129" t="str">
        <f t="shared" si="5"/>
        <v/>
      </c>
      <c r="X11" s="38" t="str">
        <f>IF(F11="","",IF(B11="no",'Emission Factors'!$D$33,'Emission Factors'!$D$34))</f>
        <v/>
      </c>
      <c r="Y11" s="38" t="str">
        <f t="shared" si="6"/>
        <v/>
      </c>
      <c r="Z11" s="38" t="str">
        <f t="shared" si="7"/>
        <v/>
      </c>
      <c r="AA11" s="38" t="str">
        <f t="shared" si="8"/>
        <v/>
      </c>
      <c r="AB11" s="38" t="str">
        <f>IF(F11="","",IF(B11="no",'Emission Factors'!$F$33,'Emission Factors'!$F$34))</f>
        <v/>
      </c>
      <c r="AC11" s="38" t="str">
        <f t="shared" si="9"/>
        <v/>
      </c>
      <c r="AD11" s="38" t="str">
        <f t="shared" si="10"/>
        <v/>
      </c>
      <c r="AE11" s="38" t="str">
        <f t="shared" si="11"/>
        <v/>
      </c>
      <c r="AF11" s="38" t="str">
        <f>IF(F11="","",IF(B11="no",'Emission Factors'!$H$33,'Emission Factors'!$H$34))</f>
        <v/>
      </c>
      <c r="AG11" s="38" t="str">
        <f>IF(F11="","",IF(C11="CP-1",IF('Concrete Plant (CP-1)'!$I$12&gt;0,'Concrete Plant (CP-1)'!$I$12,AF11*R11*K11),IF(C11="CP-2",IF('Concrete Plant (CP-2)'!$I$12&gt;0,'Concrete Plant (CP-2)'!$I$12,AF11*R11*K11),IF(C11="CP-3",IF('Concrete Plant (CP-3)'!$I$12&gt;0,'Concrete Plant (CP-3)'!$I$12,AF11*R11*K11),IF(C11="CP-4",IF('Concrete Plant (CP-4)'!$I$12&gt;0,'Concrete Plant (CP-4)'!$I$12,AF11*R11*K11),IF(C11="CP-5",IF('Concrete Plant (CP-5)'!$I$12&gt;0,'Concrete Plant (CP-5)'!$I$12,AF11*R11*K11),IF(C11="CP-6",IF('Concrete Plant (CP-6)'!$I$12&gt;0,'Concrete Plant (CP-6)'!$I$12,AF11*R11*K11),IF(C11="CP-7",IF('Concrete Plant (CP-7)'!$I$12&gt;0,'Concrete Plant (CP-7)'!$I$12,AF11*R11*K11),IF(C11="CP-8",IF('Concrete Plant (CP-8)'!$I$12&gt;0,'Concrete Plant (CP-8)'!$I$12,AF11*R11*K11),IF(C11="CP-9",IF('Concrete Plant (CP-9)'!$I$12&gt;0,'Concrete Plant (CP-9)'!$I$12,AF11*R11*K11),IF(C11="CP-10",IF('Concrete Plant (CP-10)'!$I$12&gt;0,'Concrete Plant (CP-10)'!$I$12,AF11*R11*K11))))))))))))</f>
        <v/>
      </c>
      <c r="AH11" s="38" t="str">
        <f t="shared" si="12"/>
        <v/>
      </c>
      <c r="AI11" s="38" t="str">
        <f t="shared" si="13"/>
        <v/>
      </c>
      <c r="AJ11" s="38" t="str">
        <f>IF(F11="","",IF(B11="no",'Emission Factors'!$J$33,'Emission Factors'!$J$34))</f>
        <v/>
      </c>
      <c r="AK11" s="38" t="str">
        <f>IF(F11="","",IF(C11="CP-1",IF('Concrete Plant (CP-1)'!$I$13&gt;0,'Concrete Plant (CP-1)'!$I$13,AJ11*R11),IF(C11="CP-2",IF('Concrete Plant (CP-2)'!$I$13&gt;0,'Concrete Plant (CP-2)'!$I$13,AJ11*R11),IF(C11="CP-3",IF('Concrete Plant (CP-3)'!$I$13&gt;0,'Concrete Plant (CP-3)'!$I$13,AJ11*R11),IF(C11="CP-4",IF('Concrete Plant (CP-4)'!$I$13&gt;0,'Concrete Plant (CP-4)'!$I$13,AJ11*R11),IF(C11="CP-5",IF('Concrete Plant (CP-5)'!$I$13&gt;0,'Concrete Plant (CP-5)'!$I$13,AJ11*R11),IF(C11="CP-6",IF('Concrete Plant (CP-6)'!$I$13&gt;0,'Concrete Plant (CP-6)'!$I$13,AJ11*R11),IF(C11="CP-7",IF('Concrete Plant (CP-7)'!$I$13&gt;0,'Concrete Plant (CP-7)'!$I$13,AJ11*R11),IF(C11="CP-8",IF('Concrete Plant (CP-8)'!$I$13&gt;0,'Concrete Plant (CP-8)'!$I$13,AJ11*R11),IF(C11="CP-9",IF('Concrete Plant (CP-9)'!$I$13&gt;0,'Concrete Plant (CP-9)'!$I$13,AJ11*R11),IF(C11="CP-10",IF('Concrete Plant (CP-10)'!$I$13&gt;0,'Concrete Plant (CP-10)'!$I$13,AJ11*R11))))))))))))</f>
        <v/>
      </c>
      <c r="AL11" s="38" t="str">
        <f t="shared" si="14"/>
        <v/>
      </c>
      <c r="AM11" s="38" t="str">
        <f t="shared" si="15"/>
        <v/>
      </c>
      <c r="AN11" s="38" t="str">
        <f>IF(F11="","",IF(B11="no",'Emission Factors'!$L$33,'Emission Factors'!$L$34))</f>
        <v/>
      </c>
      <c r="AO11" s="38" t="str">
        <f>IF(F11="","",IF(C11="CP-1",IF('Concrete Plant (CP-1)'!$I$14&gt;0,'Concrete Plant (CP-1)'!$I$14,AN11*R11),IF(C11="CP-2",IF('Concrete Plant (CP-2)'!$I$14&gt;0,'Concrete Plant (CP-2)'!$I$14,AN11*R11),IF(C11="CP-3",IF('Concrete Plant (CP-3)'!$I$14&gt;0,'Concrete Plant (CP-3)'!$I$14,AN11*R11),IF(C11="CP-4",IF('Concrete Plant (CP-4)'!$I$14&gt;0,'Concrete Plant (CP-4)'!$I$14,AN11*R11),IF(C11="CP-5",IF('Concrete Plant (CP-5)'!$I$14&gt;0,'Concrete Plant (CP-5)'!$I$14,AN11*R11),IF(C11="CP-6",IF('Concrete Plant (CP-6)'!$I$14&gt;0,'Concrete Plant (CP-6)'!$I$14,AN11*R11),IF(C11="CP-7",IF('Concrete Plant (CP-7)'!$I$14&gt;0,'Concrete Plant (CP-7)'!$I$14,AN11*R11),IF(C11="CP-8",IF('Concrete Plant (CP-8)'!$I$14&gt;0,'Concrete Plant (CP-8)'!$I$14,AN11*R11),IF(C11="CP-9",IF('Concrete Plant (CP-9)'!$I$14&gt;0,'Concrete Plant (CP-9)'!$I$14,AN11*R11),IF(C11="CP-10",IF('Concrete Plant (CP-10)'!$I$14&gt;0,'Concrete Plant (CP-10)'!$I$14,AN11*R11))))))))))))</f>
        <v/>
      </c>
      <c r="AP11" s="38" t="str">
        <f t="shared" si="16"/>
        <v/>
      </c>
      <c r="AQ11" s="38" t="str">
        <f t="shared" si="17"/>
        <v/>
      </c>
      <c r="AR11" s="38" t="str">
        <f>IF(F11="","",IF(B11="no",'Emission Factors'!$N$33,'Emission Factors'!$N$34))</f>
        <v/>
      </c>
      <c r="AS11" s="38" t="str">
        <f>IF(F11="","",IF(C11="CP-1",IF('Concrete Plant (CP-1)'!$I$15&gt;0,'Concrete Plant (CP-1)'!$I$15,AR11*R11),IF(C11="CP-2",IF('Concrete Plant (CP-2)'!$I$15&gt;0,'Concrete Plant (CP-2)'!$I$15,AR11*R11),IF(C11="CP-3",IF('Concrete Plant (CP-3)'!$I$15&gt;0,'Concrete Plant (CP-3)'!$I$15,AR11*R11),IF(C11="CP-4",IF('Concrete Plant (CP-4)'!$I$15&gt;0,'Concrete Plant (CP-4)'!$I$15,AR11*R11),IF(C11="CP-5",IF('Concrete Plant (CP-5)'!$I$15&gt;0,'Concrete Plant (CP-5)'!$I$15,AR11*R11),IF(C11="CP-6",IF('Concrete Plant (CP-6)'!$I$15&gt;0,'Concrete Plant (CP-6)'!$I$15,AR11*R11),IF(C11="CP-7",IF('Concrete Plant (CP-7)'!$I$15&gt;0,'Concrete Plant (CP-7)'!$I$15,AR11*R11),IF(C11="CP-8",IF('Concrete Plant (CP-8)'!$I$15&gt;0,'Concrete Plant (CP-8)'!$I$15,AR11*R11),IF(C11="CP-9",IF('Concrete Plant (CP-9)'!$I$15&gt;0,'Concrete Plant (CP-9)'!$I$15,AR11*R11),IF(C11="CP-10",IF('Concrete Plant (CP-10)'!$I$15&gt;0,'Concrete Plant (CP-10)'!$I$15,AR11*R11))))))))))))</f>
        <v/>
      </c>
      <c r="AT11" s="38" t="str">
        <f t="shared" si="18"/>
        <v/>
      </c>
      <c r="AU11" s="38" t="str">
        <f t="shared" si="19"/>
        <v/>
      </c>
      <c r="AV11" s="38" t="str">
        <f>IF(F11="","",IF(B11="no",'Emission Factors'!$P$33,'Emission Factors'!$P$34))</f>
        <v/>
      </c>
      <c r="AW11" s="38" t="str">
        <f t="shared" si="20"/>
        <v/>
      </c>
      <c r="AX11" s="38" t="str">
        <f t="shared" si="21"/>
        <v/>
      </c>
      <c r="AY11" s="38" t="str">
        <f t="shared" si="22"/>
        <v/>
      </c>
      <c r="AZ11" s="38" t="str">
        <f>IF(F11="","",IF(B11="no",'Emission Factors'!$R$33,'Emission Factors'!$R$34))</f>
        <v/>
      </c>
      <c r="BA11" s="38" t="str">
        <f t="shared" si="23"/>
        <v/>
      </c>
      <c r="BB11" s="38" t="str">
        <f t="shared" si="24"/>
        <v/>
      </c>
      <c r="BC11" s="38" t="str">
        <f t="shared" si="25"/>
        <v/>
      </c>
    </row>
    <row r="12" spans="1:55" ht="12" customHeight="1" x14ac:dyDescent="0.25">
      <c r="A12" s="6" t="str">
        <f>IF('Facility Information'!$C$21&gt;3,"CP-4","")</f>
        <v/>
      </c>
      <c r="B12" s="6" t="str">
        <f t="shared" si="0"/>
        <v>no</v>
      </c>
      <c r="C12" s="34"/>
      <c r="D12" s="34"/>
      <c r="E12" s="34"/>
      <c r="F12" s="35"/>
      <c r="G12" s="34"/>
      <c r="H12" s="36"/>
      <c r="I12" s="36"/>
      <c r="J12" s="115"/>
      <c r="K12" s="36">
        <f t="shared" si="1"/>
        <v>0.5</v>
      </c>
      <c r="L12" s="36"/>
      <c r="M12" s="36"/>
      <c r="N12" s="36"/>
      <c r="O12" s="36"/>
      <c r="P12" s="36"/>
      <c r="Q12" s="36"/>
      <c r="R12" s="39" t="str">
        <f t="shared" si="2"/>
        <v/>
      </c>
      <c r="S12" s="36"/>
      <c r="T12" s="38" t="str">
        <f t="shared" si="3"/>
        <v/>
      </c>
      <c r="U12" s="129"/>
      <c r="V12" s="129">
        <f t="shared" si="4"/>
        <v>0</v>
      </c>
      <c r="W12" s="129" t="str">
        <f t="shared" si="5"/>
        <v/>
      </c>
      <c r="X12" s="38" t="str">
        <f>IF(F12="","",IF(B12="no",'Emission Factors'!$D$33,'Emission Factors'!$D$34))</f>
        <v/>
      </c>
      <c r="Y12" s="38" t="str">
        <f t="shared" si="6"/>
        <v/>
      </c>
      <c r="Z12" s="38" t="str">
        <f t="shared" si="7"/>
        <v/>
      </c>
      <c r="AA12" s="38" t="str">
        <f t="shared" si="8"/>
        <v/>
      </c>
      <c r="AB12" s="38" t="str">
        <f>IF(F12="","",IF(B12="no",'Emission Factors'!$F$33,'Emission Factors'!$F$34))</f>
        <v/>
      </c>
      <c r="AC12" s="38" t="str">
        <f t="shared" si="9"/>
        <v/>
      </c>
      <c r="AD12" s="38" t="str">
        <f t="shared" si="10"/>
        <v/>
      </c>
      <c r="AE12" s="38" t="str">
        <f t="shared" si="11"/>
        <v/>
      </c>
      <c r="AF12" s="38" t="str">
        <f>IF(F12="","",IF(B12="no",'Emission Factors'!$H$33,'Emission Factors'!$H$34))</f>
        <v/>
      </c>
      <c r="AG12" s="38" t="str">
        <f>IF(F12="","",IF(C12="CP-1",IF('Concrete Plant (CP-1)'!$I$12&gt;0,'Concrete Plant (CP-1)'!$I$12,AF12*R12*K12),IF(C12="CP-2",IF('Concrete Plant (CP-2)'!$I$12&gt;0,'Concrete Plant (CP-2)'!$I$12,AF12*R12*K12),IF(C12="CP-3",IF('Concrete Plant (CP-3)'!$I$12&gt;0,'Concrete Plant (CP-3)'!$I$12,AF12*R12*K12),IF(C12="CP-4",IF('Concrete Plant (CP-4)'!$I$12&gt;0,'Concrete Plant (CP-4)'!$I$12,AF12*R12*K12),IF(C12="CP-5",IF('Concrete Plant (CP-5)'!$I$12&gt;0,'Concrete Plant (CP-5)'!$I$12,AF12*R12*K12),IF(C12="CP-6",IF('Concrete Plant (CP-6)'!$I$12&gt;0,'Concrete Plant (CP-6)'!$I$12,AF12*R12*K12),IF(C12="CP-7",IF('Concrete Plant (CP-7)'!$I$12&gt;0,'Concrete Plant (CP-7)'!$I$12,AF12*R12*K12),IF(C12="CP-8",IF('Concrete Plant (CP-8)'!$I$12&gt;0,'Concrete Plant (CP-8)'!$I$12,AF12*R12*K12),IF(C12="CP-9",IF('Concrete Plant (CP-9)'!$I$12&gt;0,'Concrete Plant (CP-9)'!$I$12,AF12*R12*K12),IF(C12="CP-10",IF('Concrete Plant (CP-10)'!$I$12&gt;0,'Concrete Plant (CP-10)'!$I$12,AF12*R12*K12))))))))))))</f>
        <v/>
      </c>
      <c r="AH12" s="38" t="str">
        <f t="shared" si="12"/>
        <v/>
      </c>
      <c r="AI12" s="38" t="str">
        <f t="shared" si="13"/>
        <v/>
      </c>
      <c r="AJ12" s="38" t="str">
        <f>IF(F12="","",IF(B12="no",'Emission Factors'!$J$33,'Emission Factors'!$J$34))</f>
        <v/>
      </c>
      <c r="AK12" s="38" t="str">
        <f>IF(F12="","",IF(C12="CP-1",IF('Concrete Plant (CP-1)'!$I$13&gt;0,'Concrete Plant (CP-1)'!$I$13,AJ12*R12),IF(C12="CP-2",IF('Concrete Plant (CP-2)'!$I$13&gt;0,'Concrete Plant (CP-2)'!$I$13,AJ12*R12),IF(C12="CP-3",IF('Concrete Plant (CP-3)'!$I$13&gt;0,'Concrete Plant (CP-3)'!$I$13,AJ12*R12),IF(C12="CP-4",IF('Concrete Plant (CP-4)'!$I$13&gt;0,'Concrete Plant (CP-4)'!$I$13,AJ12*R12),IF(C12="CP-5",IF('Concrete Plant (CP-5)'!$I$13&gt;0,'Concrete Plant (CP-5)'!$I$13,AJ12*R12),IF(C12="CP-6",IF('Concrete Plant (CP-6)'!$I$13&gt;0,'Concrete Plant (CP-6)'!$I$13,AJ12*R12),IF(C12="CP-7",IF('Concrete Plant (CP-7)'!$I$13&gt;0,'Concrete Plant (CP-7)'!$I$13,AJ12*R12),IF(C12="CP-8",IF('Concrete Plant (CP-8)'!$I$13&gt;0,'Concrete Plant (CP-8)'!$I$13,AJ12*R12),IF(C12="CP-9",IF('Concrete Plant (CP-9)'!$I$13&gt;0,'Concrete Plant (CP-9)'!$I$13,AJ12*R12),IF(C12="CP-10",IF('Concrete Plant (CP-10)'!$I$13&gt;0,'Concrete Plant (CP-10)'!$I$13,AJ12*R12))))))))))))</f>
        <v/>
      </c>
      <c r="AL12" s="38" t="str">
        <f t="shared" si="14"/>
        <v/>
      </c>
      <c r="AM12" s="38" t="str">
        <f t="shared" si="15"/>
        <v/>
      </c>
      <c r="AN12" s="38" t="str">
        <f>IF(F12="","",IF(B12="no",'Emission Factors'!$L$33,'Emission Factors'!$L$34))</f>
        <v/>
      </c>
      <c r="AO12" s="38" t="str">
        <f>IF(F12="","",IF(C12="CP-1",IF('Concrete Plant (CP-1)'!$I$14&gt;0,'Concrete Plant (CP-1)'!$I$14,AN12*R12),IF(C12="CP-2",IF('Concrete Plant (CP-2)'!$I$14&gt;0,'Concrete Plant (CP-2)'!$I$14,AN12*R12),IF(C12="CP-3",IF('Concrete Plant (CP-3)'!$I$14&gt;0,'Concrete Plant (CP-3)'!$I$14,AN12*R12),IF(C12="CP-4",IF('Concrete Plant (CP-4)'!$I$14&gt;0,'Concrete Plant (CP-4)'!$I$14,AN12*R12),IF(C12="CP-5",IF('Concrete Plant (CP-5)'!$I$14&gt;0,'Concrete Plant (CP-5)'!$I$14,AN12*R12),IF(C12="CP-6",IF('Concrete Plant (CP-6)'!$I$14&gt;0,'Concrete Plant (CP-6)'!$I$14,AN12*R12),IF(C12="CP-7",IF('Concrete Plant (CP-7)'!$I$14&gt;0,'Concrete Plant (CP-7)'!$I$14,AN12*R12),IF(C12="CP-8",IF('Concrete Plant (CP-8)'!$I$14&gt;0,'Concrete Plant (CP-8)'!$I$14,AN12*R12),IF(C12="CP-9",IF('Concrete Plant (CP-9)'!$I$14&gt;0,'Concrete Plant (CP-9)'!$I$14,AN12*R12),IF(C12="CP-10",IF('Concrete Plant (CP-10)'!$I$14&gt;0,'Concrete Plant (CP-10)'!$I$14,AN12*R12))))))))))))</f>
        <v/>
      </c>
      <c r="AP12" s="38" t="str">
        <f t="shared" si="16"/>
        <v/>
      </c>
      <c r="AQ12" s="38" t="str">
        <f t="shared" si="17"/>
        <v/>
      </c>
      <c r="AR12" s="38" t="str">
        <f>IF(F12="","",IF(B12="no",'Emission Factors'!$N$33,'Emission Factors'!$N$34))</f>
        <v/>
      </c>
      <c r="AS12" s="38" t="str">
        <f>IF(F12="","",IF(C12="CP-1",IF('Concrete Plant (CP-1)'!$I$15&gt;0,'Concrete Plant (CP-1)'!$I$15,AR12*R12),IF(C12="CP-2",IF('Concrete Plant (CP-2)'!$I$15&gt;0,'Concrete Plant (CP-2)'!$I$15,AR12*R12),IF(C12="CP-3",IF('Concrete Plant (CP-3)'!$I$15&gt;0,'Concrete Plant (CP-3)'!$I$15,AR12*R12),IF(C12="CP-4",IF('Concrete Plant (CP-4)'!$I$15&gt;0,'Concrete Plant (CP-4)'!$I$15,AR12*R12),IF(C12="CP-5",IF('Concrete Plant (CP-5)'!$I$15&gt;0,'Concrete Plant (CP-5)'!$I$15,AR12*R12),IF(C12="CP-6",IF('Concrete Plant (CP-6)'!$I$15&gt;0,'Concrete Plant (CP-6)'!$I$15,AR12*R12),IF(C12="CP-7",IF('Concrete Plant (CP-7)'!$I$15&gt;0,'Concrete Plant (CP-7)'!$I$15,AR12*R12),IF(C12="CP-8",IF('Concrete Plant (CP-8)'!$I$15&gt;0,'Concrete Plant (CP-8)'!$I$15,AR12*R12),IF(C12="CP-9",IF('Concrete Plant (CP-9)'!$I$15&gt;0,'Concrete Plant (CP-9)'!$I$15,AR12*R12),IF(C12="CP-10",IF('Concrete Plant (CP-10)'!$I$15&gt;0,'Concrete Plant (CP-10)'!$I$15,AR12*R12))))))))))))</f>
        <v/>
      </c>
      <c r="AT12" s="38" t="str">
        <f t="shared" si="18"/>
        <v/>
      </c>
      <c r="AU12" s="38" t="str">
        <f t="shared" si="19"/>
        <v/>
      </c>
      <c r="AV12" s="38" t="str">
        <f>IF(F12="","",IF(B12="no",'Emission Factors'!$P$33,'Emission Factors'!$P$34))</f>
        <v/>
      </c>
      <c r="AW12" s="38" t="str">
        <f t="shared" si="20"/>
        <v/>
      </c>
      <c r="AX12" s="38" t="str">
        <f t="shared" si="21"/>
        <v/>
      </c>
      <c r="AY12" s="38" t="str">
        <f t="shared" si="22"/>
        <v/>
      </c>
      <c r="AZ12" s="38" t="str">
        <f>IF(F12="","",IF(B12="no",'Emission Factors'!$R$33,'Emission Factors'!$R$34))</f>
        <v/>
      </c>
      <c r="BA12" s="38" t="str">
        <f t="shared" si="23"/>
        <v/>
      </c>
      <c r="BB12" s="38" t="str">
        <f t="shared" si="24"/>
        <v/>
      </c>
      <c r="BC12" s="38" t="str">
        <f t="shared" si="25"/>
        <v/>
      </c>
    </row>
    <row r="13" spans="1:55" ht="12" customHeight="1" x14ac:dyDescent="0.25">
      <c r="A13" s="6" t="str">
        <f>IF('Facility Information'!$C$21&gt;4,"CP-5","")</f>
        <v/>
      </c>
      <c r="B13" s="6" t="str">
        <f t="shared" ref="B13:B22" si="26">IF(F13="Diesel Generator&gt; 600 bhp","yes","no")</f>
        <v>no</v>
      </c>
      <c r="C13" s="34"/>
      <c r="D13" s="34"/>
      <c r="E13" s="34"/>
      <c r="F13" s="35"/>
      <c r="G13" s="34"/>
      <c r="H13" s="36"/>
      <c r="I13" s="36"/>
      <c r="J13" s="115"/>
      <c r="K13" s="36">
        <f t="shared" si="1"/>
        <v>0.5</v>
      </c>
      <c r="L13" s="36"/>
      <c r="M13" s="36"/>
      <c r="N13" s="36"/>
      <c r="O13" s="36"/>
      <c r="P13" s="36"/>
      <c r="Q13" s="36"/>
      <c r="R13" s="39" t="str">
        <f t="shared" ref="R13:R22" si="27">IF(Q13="","",Q13*0.14)</f>
        <v/>
      </c>
      <c r="S13" s="36"/>
      <c r="T13" s="38" t="str">
        <f t="shared" ref="T13:T22" si="28">IF(S13="","",S13*0.14)</f>
        <v/>
      </c>
      <c r="U13" s="129"/>
      <c r="V13" s="129">
        <f t="shared" si="4"/>
        <v>0</v>
      </c>
      <c r="W13" s="129" t="str">
        <f t="shared" si="5"/>
        <v/>
      </c>
      <c r="X13" s="38" t="str">
        <f>IF(F13="","",IF(B13="no",'Emission Factors'!$D$33,'Emission Factors'!$D$34))</f>
        <v/>
      </c>
      <c r="Y13" s="38" t="str">
        <f t="shared" si="6"/>
        <v/>
      </c>
      <c r="Z13" s="38" t="str">
        <f t="shared" si="7"/>
        <v/>
      </c>
      <c r="AA13" s="38" t="str">
        <f t="shared" si="8"/>
        <v/>
      </c>
      <c r="AB13" s="38" t="str">
        <f>IF(F13="","",IF(B13="no",'Emission Factors'!$F$33,'Emission Factors'!$F$34))</f>
        <v/>
      </c>
      <c r="AC13" s="38" t="str">
        <f t="shared" si="9"/>
        <v/>
      </c>
      <c r="AD13" s="38" t="str">
        <f t="shared" si="10"/>
        <v/>
      </c>
      <c r="AE13" s="38" t="str">
        <f t="shared" si="11"/>
        <v/>
      </c>
      <c r="AF13" s="38" t="str">
        <f>IF(F13="","",IF(B13="no",'Emission Factors'!$H$33,'Emission Factors'!$H$34))</f>
        <v/>
      </c>
      <c r="AG13" s="38" t="str">
        <f>IF(F13="","",IF(C13="CP-1",IF('Concrete Plant (CP-1)'!$I$12&gt;0,'Concrete Plant (CP-1)'!$I$12,AF13*R13*K13),IF(C13="CP-2",IF('Concrete Plant (CP-2)'!$I$12&gt;0,'Concrete Plant (CP-2)'!$I$12,AF13*R13*K13),IF(C13="CP-3",IF('Concrete Plant (CP-3)'!$I$12&gt;0,'Concrete Plant (CP-3)'!$I$12,AF13*R13*K13),IF(C13="CP-4",IF('Concrete Plant (CP-4)'!$I$12&gt;0,'Concrete Plant (CP-4)'!$I$12,AF13*R13*K13),IF(C13="CP-5",IF('Concrete Plant (CP-5)'!$I$12&gt;0,'Concrete Plant (CP-5)'!$I$12,AF13*R13*K13),IF(C13="CP-6",IF('Concrete Plant (CP-6)'!$I$12&gt;0,'Concrete Plant (CP-6)'!$I$12,AF13*R13*K13),IF(C13="CP-7",IF('Concrete Plant (CP-7)'!$I$12&gt;0,'Concrete Plant (CP-7)'!$I$12,AF13*R13*K13),IF(C13="CP-8",IF('Concrete Plant (CP-8)'!$I$12&gt;0,'Concrete Plant (CP-8)'!$I$12,AF13*R13*K13),IF(C13="CP-9",IF('Concrete Plant (CP-9)'!$I$12&gt;0,'Concrete Plant (CP-9)'!$I$12,AF13*R13*K13),IF(C13="CP-10",IF('Concrete Plant (CP-10)'!$I$12&gt;0,'Concrete Plant (CP-10)'!$I$12,AF13*R13*K13))))))))))))</f>
        <v/>
      </c>
      <c r="AH13" s="38" t="str">
        <f t="shared" si="12"/>
        <v/>
      </c>
      <c r="AI13" s="38" t="str">
        <f t="shared" si="13"/>
        <v/>
      </c>
      <c r="AJ13" s="38" t="str">
        <f>IF(F13="","",IF(B13="no",'Emission Factors'!$J$33,'Emission Factors'!$J$34))</f>
        <v/>
      </c>
      <c r="AK13" s="38" t="str">
        <f>IF(F13="","",IF(C13="CP-1",IF('Concrete Plant (CP-1)'!$I$13&gt;0,'Concrete Plant (CP-1)'!$I$13,AJ13*R13),IF(C13="CP-2",IF('Concrete Plant (CP-2)'!$I$13&gt;0,'Concrete Plant (CP-2)'!$I$13,AJ13*R13),IF(C13="CP-3",IF('Concrete Plant (CP-3)'!$I$13&gt;0,'Concrete Plant (CP-3)'!$I$13,AJ13*R13),IF(C13="CP-4",IF('Concrete Plant (CP-4)'!$I$13&gt;0,'Concrete Plant (CP-4)'!$I$13,AJ13*R13),IF(C13="CP-5",IF('Concrete Plant (CP-5)'!$I$13&gt;0,'Concrete Plant (CP-5)'!$I$13,AJ13*R13),IF(C13="CP-6",IF('Concrete Plant (CP-6)'!$I$13&gt;0,'Concrete Plant (CP-6)'!$I$13,AJ13*R13),IF(C13="CP-7",IF('Concrete Plant (CP-7)'!$I$13&gt;0,'Concrete Plant (CP-7)'!$I$13,AJ13*R13),IF(C13="CP-8",IF('Concrete Plant (CP-8)'!$I$13&gt;0,'Concrete Plant (CP-8)'!$I$13,AJ13*R13),IF(C13="CP-9",IF('Concrete Plant (CP-9)'!$I$13&gt;0,'Concrete Plant (CP-9)'!$I$13,AJ13*R13),IF(C13="CP-10",IF('Concrete Plant (CP-10)'!$I$13&gt;0,'Concrete Plant (CP-10)'!$I$13,AJ13*R13))))))))))))</f>
        <v/>
      </c>
      <c r="AL13" s="38" t="str">
        <f t="shared" si="14"/>
        <v/>
      </c>
      <c r="AM13" s="38" t="str">
        <f t="shared" si="15"/>
        <v/>
      </c>
      <c r="AN13" s="38" t="str">
        <f>IF(F13="","",IF(B13="no",'Emission Factors'!$L$33,'Emission Factors'!$L$34))</f>
        <v/>
      </c>
      <c r="AO13" s="38" t="str">
        <f>IF(F13="","",IF(C13="CP-1",IF('Concrete Plant (CP-1)'!$I$14&gt;0,'Concrete Plant (CP-1)'!$I$14,AN13*R13),IF(C13="CP-2",IF('Concrete Plant (CP-2)'!$I$14&gt;0,'Concrete Plant (CP-2)'!$I$14,AN13*R13),IF(C13="CP-3",IF('Concrete Plant (CP-3)'!$I$14&gt;0,'Concrete Plant (CP-3)'!$I$14,AN13*R13),IF(C13="CP-4",IF('Concrete Plant (CP-4)'!$I$14&gt;0,'Concrete Plant (CP-4)'!$I$14,AN13*R13),IF(C13="CP-5",IF('Concrete Plant (CP-5)'!$I$14&gt;0,'Concrete Plant (CP-5)'!$I$14,AN13*R13),IF(C13="CP-6",IF('Concrete Plant (CP-6)'!$I$14&gt;0,'Concrete Plant (CP-6)'!$I$14,AN13*R13),IF(C13="CP-7",IF('Concrete Plant (CP-7)'!$I$14&gt;0,'Concrete Plant (CP-7)'!$I$14,AN13*R13),IF(C13="CP-8",IF('Concrete Plant (CP-8)'!$I$14&gt;0,'Concrete Plant (CP-8)'!$I$14,AN13*R13),IF(C13="CP-9",IF('Concrete Plant (CP-9)'!$I$14&gt;0,'Concrete Plant (CP-9)'!$I$14,AN13*R13),IF(C13="CP-10",IF('Concrete Plant (CP-10)'!$I$14&gt;0,'Concrete Plant (CP-10)'!$I$14,AN13*R13))))))))))))</f>
        <v/>
      </c>
      <c r="AP13" s="38" t="str">
        <f t="shared" si="16"/>
        <v/>
      </c>
      <c r="AQ13" s="38" t="str">
        <f t="shared" si="17"/>
        <v/>
      </c>
      <c r="AR13" s="38" t="str">
        <f>IF(F13="","",IF(B13="no",'Emission Factors'!$N$33,'Emission Factors'!$N$34))</f>
        <v/>
      </c>
      <c r="AS13" s="38" t="str">
        <f>IF(F13="","",IF(C13="CP-1",IF('Concrete Plant (CP-1)'!$I$15&gt;0,'Concrete Plant (CP-1)'!$I$15,AR13*R13),IF(C13="CP-2",IF('Concrete Plant (CP-2)'!$I$15&gt;0,'Concrete Plant (CP-2)'!$I$15,AR13*R13),IF(C13="CP-3",IF('Concrete Plant (CP-3)'!$I$15&gt;0,'Concrete Plant (CP-3)'!$I$15,AR13*R13),IF(C13="CP-4",IF('Concrete Plant (CP-4)'!$I$15&gt;0,'Concrete Plant (CP-4)'!$I$15,AR13*R13),IF(C13="CP-5",IF('Concrete Plant (CP-5)'!$I$15&gt;0,'Concrete Plant (CP-5)'!$I$15,AR13*R13),IF(C13="CP-6",IF('Concrete Plant (CP-6)'!$I$15&gt;0,'Concrete Plant (CP-6)'!$I$15,AR13*R13),IF(C13="CP-7",IF('Concrete Plant (CP-7)'!$I$15&gt;0,'Concrete Plant (CP-7)'!$I$15,AR13*R13),IF(C13="CP-8",IF('Concrete Plant (CP-8)'!$I$15&gt;0,'Concrete Plant (CP-8)'!$I$15,AR13*R13),IF(C13="CP-9",IF('Concrete Plant (CP-9)'!$I$15&gt;0,'Concrete Plant (CP-9)'!$I$15,AR13*R13),IF(C13="CP-10",IF('Concrete Plant (CP-10)'!$I$15&gt;0,'Concrete Plant (CP-10)'!$I$15,AR13*R13))))))))))))</f>
        <v/>
      </c>
      <c r="AT13" s="38" t="str">
        <f t="shared" si="18"/>
        <v/>
      </c>
      <c r="AU13" s="38" t="str">
        <f t="shared" si="19"/>
        <v/>
      </c>
      <c r="AV13" s="38" t="str">
        <f>IF(F13="","",IF(B13="no",'Emission Factors'!$P$33,'Emission Factors'!$P$34))</f>
        <v/>
      </c>
      <c r="AW13" s="38" t="str">
        <f t="shared" si="20"/>
        <v/>
      </c>
      <c r="AX13" s="38" t="str">
        <f t="shared" si="21"/>
        <v/>
      </c>
      <c r="AY13" s="38" t="str">
        <f t="shared" si="22"/>
        <v/>
      </c>
      <c r="AZ13" s="38" t="str">
        <f>IF(F13="","",IF(B13="no",'Emission Factors'!$R$33,'Emission Factors'!$R$34))</f>
        <v/>
      </c>
      <c r="BA13" s="38" t="str">
        <f t="shared" si="23"/>
        <v/>
      </c>
      <c r="BB13" s="38" t="str">
        <f t="shared" si="24"/>
        <v/>
      </c>
      <c r="BC13" s="38" t="str">
        <f t="shared" si="25"/>
        <v/>
      </c>
    </row>
    <row r="14" spans="1:55" ht="12" customHeight="1" x14ac:dyDescent="0.25">
      <c r="A14" s="6" t="str">
        <f>IF('Facility Information'!$C$21&gt;5,"CP-6","")</f>
        <v/>
      </c>
      <c r="B14" s="6" t="str">
        <f t="shared" si="26"/>
        <v>no</v>
      </c>
      <c r="C14" s="34"/>
      <c r="D14" s="34"/>
      <c r="E14" s="34"/>
      <c r="F14" s="35"/>
      <c r="G14" s="34"/>
      <c r="H14" s="36"/>
      <c r="I14" s="36"/>
      <c r="J14" s="115"/>
      <c r="K14" s="36">
        <f t="shared" si="1"/>
        <v>0.5</v>
      </c>
      <c r="L14" s="36"/>
      <c r="M14" s="36"/>
      <c r="N14" s="36"/>
      <c r="O14" s="36"/>
      <c r="P14" s="36"/>
      <c r="Q14" s="36"/>
      <c r="R14" s="39" t="str">
        <f t="shared" si="27"/>
        <v/>
      </c>
      <c r="S14" s="36"/>
      <c r="T14" s="38" t="str">
        <f t="shared" si="28"/>
        <v/>
      </c>
      <c r="U14" s="129"/>
      <c r="V14" s="129">
        <f t="shared" si="4"/>
        <v>0</v>
      </c>
      <c r="W14" s="129" t="str">
        <f t="shared" si="5"/>
        <v/>
      </c>
      <c r="X14" s="38" t="str">
        <f>IF(F14="","",IF(B14="no",'Emission Factors'!$D$33,'Emission Factors'!$D$34))</f>
        <v/>
      </c>
      <c r="Y14" s="38" t="str">
        <f t="shared" si="6"/>
        <v/>
      </c>
      <c r="Z14" s="38" t="str">
        <f t="shared" si="7"/>
        <v/>
      </c>
      <c r="AA14" s="38" t="str">
        <f t="shared" si="8"/>
        <v/>
      </c>
      <c r="AB14" s="38" t="str">
        <f>IF(F14="","",IF(B14="no",'Emission Factors'!$F$33,'Emission Factors'!$F$34))</f>
        <v/>
      </c>
      <c r="AC14" s="38" t="str">
        <f t="shared" si="9"/>
        <v/>
      </c>
      <c r="AD14" s="38" t="str">
        <f t="shared" si="10"/>
        <v/>
      </c>
      <c r="AE14" s="38" t="str">
        <f t="shared" si="11"/>
        <v/>
      </c>
      <c r="AF14" s="38" t="str">
        <f>IF(F14="","",IF(B14="no",'Emission Factors'!$H$33,'Emission Factors'!$H$34))</f>
        <v/>
      </c>
      <c r="AG14" s="38" t="str">
        <f>IF(F14="","",IF(C14="CP-1",IF('Concrete Plant (CP-1)'!$I$12&gt;0,'Concrete Plant (CP-1)'!$I$12,AF14*R14*K14),IF(C14="CP-2",IF('Concrete Plant (CP-2)'!$I$12&gt;0,'Concrete Plant (CP-2)'!$I$12,AF14*R14*K14),IF(C14="CP-3",IF('Concrete Plant (CP-3)'!$I$12&gt;0,'Concrete Plant (CP-3)'!$I$12,AF14*R14*K14),IF(C14="CP-4",IF('Concrete Plant (CP-4)'!$I$12&gt;0,'Concrete Plant (CP-4)'!$I$12,AF14*R14*K14),IF(C14="CP-5",IF('Concrete Plant (CP-5)'!$I$12&gt;0,'Concrete Plant (CP-5)'!$I$12,AF14*R14*K14),IF(C14="CP-6",IF('Concrete Plant (CP-6)'!$I$12&gt;0,'Concrete Plant (CP-6)'!$I$12,AF14*R14*K14),IF(C14="CP-7",IF('Concrete Plant (CP-7)'!$I$12&gt;0,'Concrete Plant (CP-7)'!$I$12,AF14*R14*K14),IF(C14="CP-8",IF('Concrete Plant (CP-8)'!$I$12&gt;0,'Concrete Plant (CP-8)'!$I$12,AF14*R14*K14),IF(C14="CP-9",IF('Concrete Plant (CP-9)'!$I$12&gt;0,'Concrete Plant (CP-9)'!$I$12,AF14*R14*K14),IF(C14="CP-10",IF('Concrete Plant (CP-10)'!$I$12&gt;0,'Concrete Plant (CP-10)'!$I$12,AF14*R14*K14))))))))))))</f>
        <v/>
      </c>
      <c r="AH14" s="38" t="str">
        <f t="shared" si="12"/>
        <v/>
      </c>
      <c r="AI14" s="38" t="str">
        <f t="shared" si="13"/>
        <v/>
      </c>
      <c r="AJ14" s="38" t="str">
        <f>IF(F14="","",IF(B14="no",'Emission Factors'!$J$33,'Emission Factors'!$J$34))</f>
        <v/>
      </c>
      <c r="AK14" s="38" t="str">
        <f>IF(F14="","",IF(C14="CP-1",IF('Concrete Plant (CP-1)'!$I$13&gt;0,'Concrete Plant (CP-1)'!$I$13,AJ14*R14),IF(C14="CP-2",IF('Concrete Plant (CP-2)'!$I$13&gt;0,'Concrete Plant (CP-2)'!$I$13,AJ14*R14),IF(C14="CP-3",IF('Concrete Plant (CP-3)'!$I$13&gt;0,'Concrete Plant (CP-3)'!$I$13,AJ14*R14),IF(C14="CP-4",IF('Concrete Plant (CP-4)'!$I$13&gt;0,'Concrete Plant (CP-4)'!$I$13,AJ14*R14),IF(C14="CP-5",IF('Concrete Plant (CP-5)'!$I$13&gt;0,'Concrete Plant (CP-5)'!$I$13,AJ14*R14),IF(C14="CP-6",IF('Concrete Plant (CP-6)'!$I$13&gt;0,'Concrete Plant (CP-6)'!$I$13,AJ14*R14),IF(C14="CP-7",IF('Concrete Plant (CP-7)'!$I$13&gt;0,'Concrete Plant (CP-7)'!$I$13,AJ14*R14),IF(C14="CP-8",IF('Concrete Plant (CP-8)'!$I$13&gt;0,'Concrete Plant (CP-8)'!$I$13,AJ14*R14),IF(C14="CP-9",IF('Concrete Plant (CP-9)'!$I$13&gt;0,'Concrete Plant (CP-9)'!$I$13,AJ14*R14),IF(C14="CP-10",IF('Concrete Plant (CP-10)'!$I$13&gt;0,'Concrete Plant (CP-10)'!$I$13,AJ14*R14))))))))))))</f>
        <v/>
      </c>
      <c r="AL14" s="38" t="str">
        <f t="shared" si="14"/>
        <v/>
      </c>
      <c r="AM14" s="38" t="str">
        <f t="shared" si="15"/>
        <v/>
      </c>
      <c r="AN14" s="38" t="str">
        <f>IF(F14="","",IF(B14="no",'Emission Factors'!$L$33,'Emission Factors'!$L$34))</f>
        <v/>
      </c>
      <c r="AO14" s="38" t="str">
        <f>IF(F14="","",IF(C14="CP-1",IF('Concrete Plant (CP-1)'!$I$14&gt;0,'Concrete Plant (CP-1)'!$I$14,AN14*R14),IF(C14="CP-2",IF('Concrete Plant (CP-2)'!$I$14&gt;0,'Concrete Plant (CP-2)'!$I$14,AN14*R14),IF(C14="CP-3",IF('Concrete Plant (CP-3)'!$I$14&gt;0,'Concrete Plant (CP-3)'!$I$14,AN14*R14),IF(C14="CP-4",IF('Concrete Plant (CP-4)'!$I$14&gt;0,'Concrete Plant (CP-4)'!$I$14,AN14*R14),IF(C14="CP-5",IF('Concrete Plant (CP-5)'!$I$14&gt;0,'Concrete Plant (CP-5)'!$I$14,AN14*R14),IF(C14="CP-6",IF('Concrete Plant (CP-6)'!$I$14&gt;0,'Concrete Plant (CP-6)'!$I$14,AN14*R14),IF(C14="CP-7",IF('Concrete Plant (CP-7)'!$I$14&gt;0,'Concrete Plant (CP-7)'!$I$14,AN14*R14),IF(C14="CP-8",IF('Concrete Plant (CP-8)'!$I$14&gt;0,'Concrete Plant (CP-8)'!$I$14,AN14*R14),IF(C14="CP-9",IF('Concrete Plant (CP-9)'!$I$14&gt;0,'Concrete Plant (CP-9)'!$I$14,AN14*R14),IF(C14="CP-10",IF('Concrete Plant (CP-10)'!$I$14&gt;0,'Concrete Plant (CP-10)'!$I$14,AN14*R14))))))))))))</f>
        <v/>
      </c>
      <c r="AP14" s="38" t="str">
        <f t="shared" si="16"/>
        <v/>
      </c>
      <c r="AQ14" s="38" t="str">
        <f t="shared" si="17"/>
        <v/>
      </c>
      <c r="AR14" s="38" t="str">
        <f>IF(F14="","",IF(B14="no",'Emission Factors'!$N$33,'Emission Factors'!$N$34))</f>
        <v/>
      </c>
      <c r="AS14" s="38" t="str">
        <f>IF(F14="","",IF(C14="CP-1",IF('Concrete Plant (CP-1)'!$I$15&gt;0,'Concrete Plant (CP-1)'!$I$15,AR14*R14),IF(C14="CP-2",IF('Concrete Plant (CP-2)'!$I$15&gt;0,'Concrete Plant (CP-2)'!$I$15,AR14*R14),IF(C14="CP-3",IF('Concrete Plant (CP-3)'!$I$15&gt;0,'Concrete Plant (CP-3)'!$I$15,AR14*R14),IF(C14="CP-4",IF('Concrete Plant (CP-4)'!$I$15&gt;0,'Concrete Plant (CP-4)'!$I$15,AR14*R14),IF(C14="CP-5",IF('Concrete Plant (CP-5)'!$I$15&gt;0,'Concrete Plant (CP-5)'!$I$15,AR14*R14),IF(C14="CP-6",IF('Concrete Plant (CP-6)'!$I$15&gt;0,'Concrete Plant (CP-6)'!$I$15,AR14*R14),IF(C14="CP-7",IF('Concrete Plant (CP-7)'!$I$15&gt;0,'Concrete Plant (CP-7)'!$I$15,AR14*R14),IF(C14="CP-8",IF('Concrete Plant (CP-8)'!$I$15&gt;0,'Concrete Plant (CP-8)'!$I$15,AR14*R14),IF(C14="CP-9",IF('Concrete Plant (CP-9)'!$I$15&gt;0,'Concrete Plant (CP-9)'!$I$15,AR14*R14),IF(C14="CP-10",IF('Concrete Plant (CP-10)'!$I$15&gt;0,'Concrete Plant (CP-10)'!$I$15,AR14*R14))))))))))))</f>
        <v/>
      </c>
      <c r="AT14" s="38" t="str">
        <f t="shared" si="18"/>
        <v/>
      </c>
      <c r="AU14" s="38" t="str">
        <f t="shared" si="19"/>
        <v/>
      </c>
      <c r="AV14" s="38" t="str">
        <f>IF(F14="","",IF(B14="no",'Emission Factors'!$P$33,'Emission Factors'!$P$34))</f>
        <v/>
      </c>
      <c r="AW14" s="38" t="str">
        <f t="shared" si="20"/>
        <v/>
      </c>
      <c r="AX14" s="38" t="str">
        <f t="shared" si="21"/>
        <v/>
      </c>
      <c r="AY14" s="38" t="str">
        <f t="shared" si="22"/>
        <v/>
      </c>
      <c r="AZ14" s="38" t="str">
        <f>IF(F14="","",IF(B14="no",'Emission Factors'!$R$33,'Emission Factors'!$R$34))</f>
        <v/>
      </c>
      <c r="BA14" s="38" t="str">
        <f t="shared" si="23"/>
        <v/>
      </c>
      <c r="BB14" s="38" t="str">
        <f t="shared" si="24"/>
        <v/>
      </c>
      <c r="BC14" s="38" t="str">
        <f t="shared" si="25"/>
        <v/>
      </c>
    </row>
    <row r="15" spans="1:55" ht="12" customHeight="1" x14ac:dyDescent="0.25">
      <c r="A15" s="6" t="str">
        <f>IF('Facility Information'!$C$21&gt;6,"CP-7","")</f>
        <v/>
      </c>
      <c r="B15" s="6" t="str">
        <f t="shared" si="26"/>
        <v>no</v>
      </c>
      <c r="C15" s="34"/>
      <c r="D15" s="34"/>
      <c r="E15" s="34"/>
      <c r="F15" s="35"/>
      <c r="G15" s="34"/>
      <c r="H15" s="36"/>
      <c r="I15" s="36"/>
      <c r="J15" s="115"/>
      <c r="K15" s="36">
        <f t="shared" si="1"/>
        <v>0.5</v>
      </c>
      <c r="L15" s="36"/>
      <c r="M15" s="36"/>
      <c r="N15" s="36"/>
      <c r="O15" s="36"/>
      <c r="P15" s="36"/>
      <c r="Q15" s="36"/>
      <c r="R15" s="39" t="str">
        <f t="shared" si="27"/>
        <v/>
      </c>
      <c r="S15" s="36"/>
      <c r="T15" s="38" t="str">
        <f t="shared" si="28"/>
        <v/>
      </c>
      <c r="U15" s="129"/>
      <c r="V15" s="129">
        <f t="shared" si="4"/>
        <v>0</v>
      </c>
      <c r="W15" s="129" t="str">
        <f t="shared" si="5"/>
        <v/>
      </c>
      <c r="X15" s="38" t="str">
        <f>IF(F15="","",IF(B15="no",'Emission Factors'!$D$33,'Emission Factors'!$D$34))</f>
        <v/>
      </c>
      <c r="Y15" s="38" t="str">
        <f t="shared" si="6"/>
        <v/>
      </c>
      <c r="Z15" s="38" t="str">
        <f t="shared" si="7"/>
        <v/>
      </c>
      <c r="AA15" s="38" t="str">
        <f t="shared" si="8"/>
        <v/>
      </c>
      <c r="AB15" s="38" t="str">
        <f>IF(F15="","",IF(B15="no",'Emission Factors'!$F$33,'Emission Factors'!$F$34))</f>
        <v/>
      </c>
      <c r="AC15" s="38" t="str">
        <f t="shared" si="9"/>
        <v/>
      </c>
      <c r="AD15" s="38" t="str">
        <f t="shared" si="10"/>
        <v/>
      </c>
      <c r="AE15" s="38" t="str">
        <f t="shared" si="11"/>
        <v/>
      </c>
      <c r="AF15" s="38" t="str">
        <f>IF(F15="","",IF(B15="no",'Emission Factors'!$H$33,'Emission Factors'!$H$34))</f>
        <v/>
      </c>
      <c r="AG15" s="38" t="str">
        <f>IF(F15="","",IF(C15="CP-1",IF('Concrete Plant (CP-1)'!$I$12&gt;0,'Concrete Plant (CP-1)'!$I$12,AF15*R15*K15),IF(C15="CP-2",IF('Concrete Plant (CP-2)'!$I$12&gt;0,'Concrete Plant (CP-2)'!$I$12,AF15*R15*K15),IF(C15="CP-3",IF('Concrete Plant (CP-3)'!$I$12&gt;0,'Concrete Plant (CP-3)'!$I$12,AF15*R15*K15),IF(C15="CP-4",IF('Concrete Plant (CP-4)'!$I$12&gt;0,'Concrete Plant (CP-4)'!$I$12,AF15*R15*K15),IF(C15="CP-5",IF('Concrete Plant (CP-5)'!$I$12&gt;0,'Concrete Plant (CP-5)'!$I$12,AF15*R15*K15),IF(C15="CP-6",IF('Concrete Plant (CP-6)'!$I$12&gt;0,'Concrete Plant (CP-6)'!$I$12,AF15*R15*K15),IF(C15="CP-7",IF('Concrete Plant (CP-7)'!$I$12&gt;0,'Concrete Plant (CP-7)'!$I$12,AF15*R15*K15),IF(C15="CP-8",IF('Concrete Plant (CP-8)'!$I$12&gt;0,'Concrete Plant (CP-8)'!$I$12,AF15*R15*K15),IF(C15="CP-9",IF('Concrete Plant (CP-9)'!$I$12&gt;0,'Concrete Plant (CP-9)'!$I$12,AF15*R15*K15),IF(C15="CP-10",IF('Concrete Plant (CP-10)'!$I$12&gt;0,'Concrete Plant (CP-10)'!$I$12,AF15*R15*K15))))))))))))</f>
        <v/>
      </c>
      <c r="AH15" s="38" t="str">
        <f t="shared" si="12"/>
        <v/>
      </c>
      <c r="AI15" s="38" t="str">
        <f t="shared" si="13"/>
        <v/>
      </c>
      <c r="AJ15" s="38" t="str">
        <f>IF(F15="","",IF(B15="no",'Emission Factors'!$J$33,'Emission Factors'!$J$34))</f>
        <v/>
      </c>
      <c r="AK15" s="38" t="str">
        <f>IF(F15="","",IF(C15="CP-1",IF('Concrete Plant (CP-1)'!$I$13&gt;0,'Concrete Plant (CP-1)'!$I$13,AJ15*R15),IF(C15="CP-2",IF('Concrete Plant (CP-2)'!$I$13&gt;0,'Concrete Plant (CP-2)'!$I$13,AJ15*R15),IF(C15="CP-3",IF('Concrete Plant (CP-3)'!$I$13&gt;0,'Concrete Plant (CP-3)'!$I$13,AJ15*R15),IF(C15="CP-4",IF('Concrete Plant (CP-4)'!$I$13&gt;0,'Concrete Plant (CP-4)'!$I$13,AJ15*R15),IF(C15="CP-5",IF('Concrete Plant (CP-5)'!$I$13&gt;0,'Concrete Plant (CP-5)'!$I$13,AJ15*R15),IF(C15="CP-6",IF('Concrete Plant (CP-6)'!$I$13&gt;0,'Concrete Plant (CP-6)'!$I$13,AJ15*R15),IF(C15="CP-7",IF('Concrete Plant (CP-7)'!$I$13&gt;0,'Concrete Plant (CP-7)'!$I$13,AJ15*R15),IF(C15="CP-8",IF('Concrete Plant (CP-8)'!$I$13&gt;0,'Concrete Plant (CP-8)'!$I$13,AJ15*R15),IF(C15="CP-9",IF('Concrete Plant (CP-9)'!$I$13&gt;0,'Concrete Plant (CP-9)'!$I$13,AJ15*R15),IF(C15="CP-10",IF('Concrete Plant (CP-10)'!$I$13&gt;0,'Concrete Plant (CP-10)'!$I$13,AJ15*R15))))))))))))</f>
        <v/>
      </c>
      <c r="AL15" s="38" t="str">
        <f t="shared" si="14"/>
        <v/>
      </c>
      <c r="AM15" s="38" t="str">
        <f t="shared" si="15"/>
        <v/>
      </c>
      <c r="AN15" s="38" t="str">
        <f>IF(F15="","",IF(B15="no",'Emission Factors'!$L$33,'Emission Factors'!$L$34))</f>
        <v/>
      </c>
      <c r="AO15" s="38" t="str">
        <f>IF(F15="","",IF(C15="CP-1",IF('Concrete Plant (CP-1)'!$I$14&gt;0,'Concrete Plant (CP-1)'!$I$14,AN15*R15),IF(C15="CP-2",IF('Concrete Plant (CP-2)'!$I$14&gt;0,'Concrete Plant (CP-2)'!$I$14,AN15*R15),IF(C15="CP-3",IF('Concrete Plant (CP-3)'!$I$14&gt;0,'Concrete Plant (CP-3)'!$I$14,AN15*R15),IF(C15="CP-4",IF('Concrete Plant (CP-4)'!$I$14&gt;0,'Concrete Plant (CP-4)'!$I$14,AN15*R15),IF(C15="CP-5",IF('Concrete Plant (CP-5)'!$I$14&gt;0,'Concrete Plant (CP-5)'!$I$14,AN15*R15),IF(C15="CP-6",IF('Concrete Plant (CP-6)'!$I$14&gt;0,'Concrete Plant (CP-6)'!$I$14,AN15*R15),IF(C15="CP-7",IF('Concrete Plant (CP-7)'!$I$14&gt;0,'Concrete Plant (CP-7)'!$I$14,AN15*R15),IF(C15="CP-8",IF('Concrete Plant (CP-8)'!$I$14&gt;0,'Concrete Plant (CP-8)'!$I$14,AN15*R15),IF(C15="CP-9",IF('Concrete Plant (CP-9)'!$I$14&gt;0,'Concrete Plant (CP-9)'!$I$14,AN15*R15),IF(C15="CP-10",IF('Concrete Plant (CP-10)'!$I$14&gt;0,'Concrete Plant (CP-10)'!$I$14,AN15*R15))))))))))))</f>
        <v/>
      </c>
      <c r="AP15" s="38" t="str">
        <f t="shared" si="16"/>
        <v/>
      </c>
      <c r="AQ15" s="38" t="str">
        <f t="shared" si="17"/>
        <v/>
      </c>
      <c r="AR15" s="38" t="str">
        <f>IF(F15="","",IF(B15="no",'Emission Factors'!$N$33,'Emission Factors'!$N$34))</f>
        <v/>
      </c>
      <c r="AS15" s="38" t="str">
        <f>IF(F15="","",IF(C15="CP-1",IF('Concrete Plant (CP-1)'!$I$15&gt;0,'Concrete Plant (CP-1)'!$I$15,AR15*R15),IF(C15="CP-2",IF('Concrete Plant (CP-2)'!$I$15&gt;0,'Concrete Plant (CP-2)'!$I$15,AR15*R15),IF(C15="CP-3",IF('Concrete Plant (CP-3)'!$I$15&gt;0,'Concrete Plant (CP-3)'!$I$15,AR15*R15),IF(C15="CP-4",IF('Concrete Plant (CP-4)'!$I$15&gt;0,'Concrete Plant (CP-4)'!$I$15,AR15*R15),IF(C15="CP-5",IF('Concrete Plant (CP-5)'!$I$15&gt;0,'Concrete Plant (CP-5)'!$I$15,AR15*R15),IF(C15="CP-6",IF('Concrete Plant (CP-6)'!$I$15&gt;0,'Concrete Plant (CP-6)'!$I$15,AR15*R15),IF(C15="CP-7",IF('Concrete Plant (CP-7)'!$I$15&gt;0,'Concrete Plant (CP-7)'!$I$15,AR15*R15),IF(C15="CP-8",IF('Concrete Plant (CP-8)'!$I$15&gt;0,'Concrete Plant (CP-8)'!$I$15,AR15*R15),IF(C15="CP-9",IF('Concrete Plant (CP-9)'!$I$15&gt;0,'Concrete Plant (CP-9)'!$I$15,AR15*R15),IF(C15="CP-10",IF('Concrete Plant (CP-10)'!$I$15&gt;0,'Concrete Plant (CP-10)'!$I$15,AR15*R15))))))))))))</f>
        <v/>
      </c>
      <c r="AT15" s="38" t="str">
        <f t="shared" si="18"/>
        <v/>
      </c>
      <c r="AU15" s="38" t="str">
        <f t="shared" si="19"/>
        <v/>
      </c>
      <c r="AV15" s="38" t="str">
        <f>IF(F15="","",IF(B15="no",'Emission Factors'!$P$33,'Emission Factors'!$P$34))</f>
        <v/>
      </c>
      <c r="AW15" s="38" t="str">
        <f t="shared" si="20"/>
        <v/>
      </c>
      <c r="AX15" s="38" t="str">
        <f t="shared" si="21"/>
        <v/>
      </c>
      <c r="AY15" s="38" t="str">
        <f t="shared" si="22"/>
        <v/>
      </c>
      <c r="AZ15" s="38" t="str">
        <f>IF(F15="","",IF(B15="no",'Emission Factors'!$R$33,'Emission Factors'!$R$34))</f>
        <v/>
      </c>
      <c r="BA15" s="38" t="str">
        <f t="shared" si="23"/>
        <v/>
      </c>
      <c r="BB15" s="38" t="str">
        <f t="shared" si="24"/>
        <v/>
      </c>
      <c r="BC15" s="38" t="str">
        <f t="shared" si="25"/>
        <v/>
      </c>
    </row>
    <row r="16" spans="1:55" ht="12" customHeight="1" x14ac:dyDescent="0.25">
      <c r="A16" s="6" t="str">
        <f>IF('Facility Information'!$C$21&gt;7,"CP-8","")</f>
        <v/>
      </c>
      <c r="B16" s="6" t="str">
        <f t="shared" si="26"/>
        <v>no</v>
      </c>
      <c r="C16" s="34"/>
      <c r="D16" s="34"/>
      <c r="E16" s="34"/>
      <c r="F16" s="35"/>
      <c r="G16" s="34"/>
      <c r="H16" s="36"/>
      <c r="I16" s="36"/>
      <c r="J16" s="115"/>
      <c r="K16" s="36">
        <f t="shared" si="1"/>
        <v>0.5</v>
      </c>
      <c r="L16" s="36"/>
      <c r="M16" s="36"/>
      <c r="N16" s="36"/>
      <c r="O16" s="36"/>
      <c r="P16" s="36"/>
      <c r="Q16" s="36"/>
      <c r="R16" s="39" t="str">
        <f t="shared" si="27"/>
        <v/>
      </c>
      <c r="S16" s="36"/>
      <c r="T16" s="38" t="str">
        <f t="shared" si="28"/>
        <v/>
      </c>
      <c r="U16" s="129"/>
      <c r="V16" s="129">
        <f t="shared" si="4"/>
        <v>0</v>
      </c>
      <c r="W16" s="129" t="str">
        <f t="shared" si="5"/>
        <v/>
      </c>
      <c r="X16" s="38" t="str">
        <f>IF(F16="","",IF(B16="no",'Emission Factors'!$D$33,'Emission Factors'!$D$34))</f>
        <v/>
      </c>
      <c r="Y16" s="38" t="str">
        <f t="shared" si="6"/>
        <v/>
      </c>
      <c r="Z16" s="38" t="str">
        <f t="shared" si="7"/>
        <v/>
      </c>
      <c r="AA16" s="38" t="str">
        <f t="shared" si="8"/>
        <v/>
      </c>
      <c r="AB16" s="38" t="str">
        <f>IF(F16="","",IF(B16="no",'Emission Factors'!$F$33,'Emission Factors'!$F$34))</f>
        <v/>
      </c>
      <c r="AC16" s="38" t="str">
        <f t="shared" si="9"/>
        <v/>
      </c>
      <c r="AD16" s="38" t="str">
        <f t="shared" si="10"/>
        <v/>
      </c>
      <c r="AE16" s="38" t="str">
        <f t="shared" si="11"/>
        <v/>
      </c>
      <c r="AF16" s="38" t="str">
        <f>IF(F16="","",IF(B16="no",'Emission Factors'!$H$33,'Emission Factors'!$H$34))</f>
        <v/>
      </c>
      <c r="AG16" s="38" t="str">
        <f>IF(F16="","",IF(C16="CP-1",IF('Concrete Plant (CP-1)'!$I$12&gt;0,'Concrete Plant (CP-1)'!$I$12,AF16*R16*K16),IF(C16="CP-2",IF('Concrete Plant (CP-2)'!$I$12&gt;0,'Concrete Plant (CP-2)'!$I$12,AF16*R16*K16),IF(C16="CP-3",IF('Concrete Plant (CP-3)'!$I$12&gt;0,'Concrete Plant (CP-3)'!$I$12,AF16*R16*K16),IF(C16="CP-4",IF('Concrete Plant (CP-4)'!$I$12&gt;0,'Concrete Plant (CP-4)'!$I$12,AF16*R16*K16),IF(C16="CP-5",IF('Concrete Plant (CP-5)'!$I$12&gt;0,'Concrete Plant (CP-5)'!$I$12,AF16*R16*K16),IF(C16="CP-6",IF('Concrete Plant (CP-6)'!$I$12&gt;0,'Concrete Plant (CP-6)'!$I$12,AF16*R16*K16),IF(C16="CP-7",IF('Concrete Plant (CP-7)'!$I$12&gt;0,'Concrete Plant (CP-7)'!$I$12,AF16*R16*K16),IF(C16="CP-8",IF('Concrete Plant (CP-8)'!$I$12&gt;0,'Concrete Plant (CP-8)'!$I$12,AF16*R16*K16),IF(C16="CP-9",IF('Concrete Plant (CP-9)'!$I$12&gt;0,'Concrete Plant (CP-9)'!$I$12,AF16*R16*K16),IF(C16="CP-10",IF('Concrete Plant (CP-10)'!$I$12&gt;0,'Concrete Plant (CP-10)'!$I$12,AF16*R16*K16))))))))))))</f>
        <v/>
      </c>
      <c r="AH16" s="38" t="str">
        <f t="shared" si="12"/>
        <v/>
      </c>
      <c r="AI16" s="38" t="str">
        <f t="shared" si="13"/>
        <v/>
      </c>
      <c r="AJ16" s="38" t="str">
        <f>IF(F16="","",IF(B16="no",'Emission Factors'!$J$33,'Emission Factors'!$J$34))</f>
        <v/>
      </c>
      <c r="AK16" s="38" t="str">
        <f>IF(F16="","",IF(C16="CP-1",IF('Concrete Plant (CP-1)'!$I$13&gt;0,'Concrete Plant (CP-1)'!$I$13,AJ16*R16),IF(C16="CP-2",IF('Concrete Plant (CP-2)'!$I$13&gt;0,'Concrete Plant (CP-2)'!$I$13,AJ16*R16),IF(C16="CP-3",IF('Concrete Plant (CP-3)'!$I$13&gt;0,'Concrete Plant (CP-3)'!$I$13,AJ16*R16),IF(C16="CP-4",IF('Concrete Plant (CP-4)'!$I$13&gt;0,'Concrete Plant (CP-4)'!$I$13,AJ16*R16),IF(C16="CP-5",IF('Concrete Plant (CP-5)'!$I$13&gt;0,'Concrete Plant (CP-5)'!$I$13,AJ16*R16),IF(C16="CP-6",IF('Concrete Plant (CP-6)'!$I$13&gt;0,'Concrete Plant (CP-6)'!$I$13,AJ16*R16),IF(C16="CP-7",IF('Concrete Plant (CP-7)'!$I$13&gt;0,'Concrete Plant (CP-7)'!$I$13,AJ16*R16),IF(C16="CP-8",IF('Concrete Plant (CP-8)'!$I$13&gt;0,'Concrete Plant (CP-8)'!$I$13,AJ16*R16),IF(C16="CP-9",IF('Concrete Plant (CP-9)'!$I$13&gt;0,'Concrete Plant (CP-9)'!$I$13,AJ16*R16),IF(C16="CP-10",IF('Concrete Plant (CP-10)'!$I$13&gt;0,'Concrete Plant (CP-10)'!$I$13,AJ16*R16))))))))))))</f>
        <v/>
      </c>
      <c r="AL16" s="38" t="str">
        <f t="shared" si="14"/>
        <v/>
      </c>
      <c r="AM16" s="38" t="str">
        <f t="shared" si="15"/>
        <v/>
      </c>
      <c r="AN16" s="38" t="str">
        <f>IF(F16="","",IF(B16="no",'Emission Factors'!$L$33,'Emission Factors'!$L$34))</f>
        <v/>
      </c>
      <c r="AO16" s="38" t="str">
        <f>IF(F16="","",IF(C16="CP-1",IF('Concrete Plant (CP-1)'!$I$14&gt;0,'Concrete Plant (CP-1)'!$I$14,AN16*R16),IF(C16="CP-2",IF('Concrete Plant (CP-2)'!$I$14&gt;0,'Concrete Plant (CP-2)'!$I$14,AN16*R16),IF(C16="CP-3",IF('Concrete Plant (CP-3)'!$I$14&gt;0,'Concrete Plant (CP-3)'!$I$14,AN16*R16),IF(C16="CP-4",IF('Concrete Plant (CP-4)'!$I$14&gt;0,'Concrete Plant (CP-4)'!$I$14,AN16*R16),IF(C16="CP-5",IF('Concrete Plant (CP-5)'!$I$14&gt;0,'Concrete Plant (CP-5)'!$I$14,AN16*R16),IF(C16="CP-6",IF('Concrete Plant (CP-6)'!$I$14&gt;0,'Concrete Plant (CP-6)'!$I$14,AN16*R16),IF(C16="CP-7",IF('Concrete Plant (CP-7)'!$I$14&gt;0,'Concrete Plant (CP-7)'!$I$14,AN16*R16),IF(C16="CP-8",IF('Concrete Plant (CP-8)'!$I$14&gt;0,'Concrete Plant (CP-8)'!$I$14,AN16*R16),IF(C16="CP-9",IF('Concrete Plant (CP-9)'!$I$14&gt;0,'Concrete Plant (CP-9)'!$I$14,AN16*R16),IF(C16="CP-10",IF('Concrete Plant (CP-10)'!$I$14&gt;0,'Concrete Plant (CP-10)'!$I$14,AN16*R16))))))))))))</f>
        <v/>
      </c>
      <c r="AP16" s="38" t="str">
        <f t="shared" si="16"/>
        <v/>
      </c>
      <c r="AQ16" s="38" t="str">
        <f t="shared" si="17"/>
        <v/>
      </c>
      <c r="AR16" s="38" t="str">
        <f>IF(F16="","",IF(B16="no",'Emission Factors'!$N$33,'Emission Factors'!$N$34))</f>
        <v/>
      </c>
      <c r="AS16" s="38" t="str">
        <f>IF(F16="","",IF(C16="CP-1",IF('Concrete Plant (CP-1)'!$I$15&gt;0,'Concrete Plant (CP-1)'!$I$15,AR16*R16),IF(C16="CP-2",IF('Concrete Plant (CP-2)'!$I$15&gt;0,'Concrete Plant (CP-2)'!$I$15,AR16*R16),IF(C16="CP-3",IF('Concrete Plant (CP-3)'!$I$15&gt;0,'Concrete Plant (CP-3)'!$I$15,AR16*R16),IF(C16="CP-4",IF('Concrete Plant (CP-4)'!$I$15&gt;0,'Concrete Plant (CP-4)'!$I$15,AR16*R16),IF(C16="CP-5",IF('Concrete Plant (CP-5)'!$I$15&gt;0,'Concrete Plant (CP-5)'!$I$15,AR16*R16),IF(C16="CP-6",IF('Concrete Plant (CP-6)'!$I$15&gt;0,'Concrete Plant (CP-6)'!$I$15,AR16*R16),IF(C16="CP-7",IF('Concrete Plant (CP-7)'!$I$15&gt;0,'Concrete Plant (CP-7)'!$I$15,AR16*R16),IF(C16="CP-8",IF('Concrete Plant (CP-8)'!$I$15&gt;0,'Concrete Plant (CP-8)'!$I$15,AR16*R16),IF(C16="CP-9",IF('Concrete Plant (CP-9)'!$I$15&gt;0,'Concrete Plant (CP-9)'!$I$15,AR16*R16),IF(C16="CP-10",IF('Concrete Plant (CP-10)'!$I$15&gt;0,'Concrete Plant (CP-10)'!$I$15,AR16*R16))))))))))))</f>
        <v/>
      </c>
      <c r="AT16" s="38" t="str">
        <f t="shared" si="18"/>
        <v/>
      </c>
      <c r="AU16" s="38" t="str">
        <f t="shared" si="19"/>
        <v/>
      </c>
      <c r="AV16" s="38" t="str">
        <f>IF(F16="","",IF(B16="no",'Emission Factors'!$P$33,'Emission Factors'!$P$34))</f>
        <v/>
      </c>
      <c r="AW16" s="38" t="str">
        <f t="shared" si="20"/>
        <v/>
      </c>
      <c r="AX16" s="38" t="str">
        <f t="shared" si="21"/>
        <v/>
      </c>
      <c r="AY16" s="38" t="str">
        <f t="shared" si="22"/>
        <v/>
      </c>
      <c r="AZ16" s="38" t="str">
        <f>IF(F16="","",IF(B16="no",'Emission Factors'!$R$33,'Emission Factors'!$R$34))</f>
        <v/>
      </c>
      <c r="BA16" s="38" t="str">
        <f t="shared" si="23"/>
        <v/>
      </c>
      <c r="BB16" s="38" t="str">
        <f t="shared" si="24"/>
        <v/>
      </c>
      <c r="BC16" s="38" t="str">
        <f t="shared" si="25"/>
        <v/>
      </c>
    </row>
    <row r="17" spans="1:55" ht="12" customHeight="1" x14ac:dyDescent="0.25">
      <c r="A17" s="6" t="str">
        <f>IF('Facility Information'!$C$21&gt;8,"CP-9","")</f>
        <v/>
      </c>
      <c r="B17" s="6" t="str">
        <f t="shared" si="26"/>
        <v>no</v>
      </c>
      <c r="C17" s="34"/>
      <c r="D17" s="34"/>
      <c r="E17" s="34"/>
      <c r="F17" s="35"/>
      <c r="G17" s="34"/>
      <c r="H17" s="36"/>
      <c r="I17" s="36"/>
      <c r="J17" s="115"/>
      <c r="K17" s="36">
        <f t="shared" ref="K17:K37" si="29">IF(J17="",0.5,J17)</f>
        <v>0.5</v>
      </c>
      <c r="L17" s="36"/>
      <c r="M17" s="36"/>
      <c r="N17" s="36"/>
      <c r="O17" s="36"/>
      <c r="P17" s="36"/>
      <c r="Q17" s="36"/>
      <c r="R17" s="39" t="str">
        <f t="shared" si="27"/>
        <v/>
      </c>
      <c r="S17" s="36"/>
      <c r="T17" s="38" t="str">
        <f t="shared" si="28"/>
        <v/>
      </c>
      <c r="U17" s="129"/>
      <c r="V17" s="129">
        <f t="shared" si="4"/>
        <v>0</v>
      </c>
      <c r="W17" s="129" t="str">
        <f t="shared" si="5"/>
        <v/>
      </c>
      <c r="X17" s="38" t="str">
        <f>IF(F17="","",IF(B17="no",'Emission Factors'!$D$33,'Emission Factors'!$D$34))</f>
        <v/>
      </c>
      <c r="Y17" s="38" t="str">
        <f t="shared" si="6"/>
        <v/>
      </c>
      <c r="Z17" s="38" t="str">
        <f t="shared" si="7"/>
        <v/>
      </c>
      <c r="AA17" s="38" t="str">
        <f t="shared" si="8"/>
        <v/>
      </c>
      <c r="AB17" s="38" t="str">
        <f>IF(F17="","",IF(B17="no",'Emission Factors'!$F$33,'Emission Factors'!$F$34))</f>
        <v/>
      </c>
      <c r="AC17" s="38" t="str">
        <f t="shared" si="9"/>
        <v/>
      </c>
      <c r="AD17" s="38" t="str">
        <f t="shared" si="10"/>
        <v/>
      </c>
      <c r="AE17" s="38" t="str">
        <f t="shared" si="11"/>
        <v/>
      </c>
      <c r="AF17" s="38" t="str">
        <f>IF(F17="","",IF(B17="no",'Emission Factors'!$H$33,'Emission Factors'!$H$34))</f>
        <v/>
      </c>
      <c r="AG17" s="38" t="str">
        <f>IF(F17="","",IF(C17="CP-1",IF('Concrete Plant (CP-1)'!$I$12&gt;0,'Concrete Plant (CP-1)'!$I$12,AF17*R17*K17),IF(C17="CP-2",IF('Concrete Plant (CP-2)'!$I$12&gt;0,'Concrete Plant (CP-2)'!$I$12,AF17*R17*K17),IF(C17="CP-3",IF('Concrete Plant (CP-3)'!$I$12&gt;0,'Concrete Plant (CP-3)'!$I$12,AF17*R17*K17),IF(C17="CP-4",IF('Concrete Plant (CP-4)'!$I$12&gt;0,'Concrete Plant (CP-4)'!$I$12,AF17*R17*K17),IF(C17="CP-5",IF('Concrete Plant (CP-5)'!$I$12&gt;0,'Concrete Plant (CP-5)'!$I$12,AF17*R17*K17),IF(C17="CP-6",IF('Concrete Plant (CP-6)'!$I$12&gt;0,'Concrete Plant (CP-6)'!$I$12,AF17*R17*K17),IF(C17="CP-7",IF('Concrete Plant (CP-7)'!$I$12&gt;0,'Concrete Plant (CP-7)'!$I$12,AF17*R17*K17),IF(C17="CP-8",IF('Concrete Plant (CP-8)'!$I$12&gt;0,'Concrete Plant (CP-8)'!$I$12,AF17*R17*K17),IF(C17="CP-9",IF('Concrete Plant (CP-9)'!$I$12&gt;0,'Concrete Plant (CP-9)'!$I$12,AF17*R17*K17),IF(C17="CP-10",IF('Concrete Plant (CP-10)'!$I$12&gt;0,'Concrete Plant (CP-10)'!$I$12,AF17*R17*K17))))))))))))</f>
        <v/>
      </c>
      <c r="AH17" s="38" t="str">
        <f t="shared" si="12"/>
        <v/>
      </c>
      <c r="AI17" s="38" t="str">
        <f t="shared" si="13"/>
        <v/>
      </c>
      <c r="AJ17" s="38" t="str">
        <f>IF(F17="","",IF(B17="no",'Emission Factors'!$J$33,'Emission Factors'!$J$34))</f>
        <v/>
      </c>
      <c r="AK17" s="38" t="str">
        <f>IF(F17="","",IF(C17="CP-1",IF('Concrete Plant (CP-1)'!$I$13&gt;0,'Concrete Plant (CP-1)'!$I$13,AJ17*R17),IF(C17="CP-2",IF('Concrete Plant (CP-2)'!$I$13&gt;0,'Concrete Plant (CP-2)'!$I$13,AJ17*R17),IF(C17="CP-3",IF('Concrete Plant (CP-3)'!$I$13&gt;0,'Concrete Plant (CP-3)'!$I$13,AJ17*R17),IF(C17="CP-4",IF('Concrete Plant (CP-4)'!$I$13&gt;0,'Concrete Plant (CP-4)'!$I$13,AJ17*R17),IF(C17="CP-5",IF('Concrete Plant (CP-5)'!$I$13&gt;0,'Concrete Plant (CP-5)'!$I$13,AJ17*R17),IF(C17="CP-6",IF('Concrete Plant (CP-6)'!$I$13&gt;0,'Concrete Plant (CP-6)'!$I$13,AJ17*R17),IF(C17="CP-7",IF('Concrete Plant (CP-7)'!$I$13&gt;0,'Concrete Plant (CP-7)'!$I$13,AJ17*R17),IF(C17="CP-8",IF('Concrete Plant (CP-8)'!$I$13&gt;0,'Concrete Plant (CP-8)'!$I$13,AJ17*R17),IF(C17="CP-9",IF('Concrete Plant (CP-9)'!$I$13&gt;0,'Concrete Plant (CP-9)'!$I$13,AJ17*R17),IF(C17="CP-10",IF('Concrete Plant (CP-10)'!$I$13&gt;0,'Concrete Plant (CP-10)'!$I$13,AJ17*R17))))))))))))</f>
        <v/>
      </c>
      <c r="AL17" s="38" t="str">
        <f t="shared" si="14"/>
        <v/>
      </c>
      <c r="AM17" s="38" t="str">
        <f t="shared" si="15"/>
        <v/>
      </c>
      <c r="AN17" s="38" t="str">
        <f>IF(F17="","",IF(B17="no",'Emission Factors'!$L$33,'Emission Factors'!$L$34))</f>
        <v/>
      </c>
      <c r="AO17" s="38" t="str">
        <f>IF(F17="","",IF(C17="CP-1",IF('Concrete Plant (CP-1)'!$I$14&gt;0,'Concrete Plant (CP-1)'!$I$14,AN17*R17),IF(C17="CP-2",IF('Concrete Plant (CP-2)'!$I$14&gt;0,'Concrete Plant (CP-2)'!$I$14,AN17*R17),IF(C17="CP-3",IF('Concrete Plant (CP-3)'!$I$14&gt;0,'Concrete Plant (CP-3)'!$I$14,AN17*R17),IF(C17="CP-4",IF('Concrete Plant (CP-4)'!$I$14&gt;0,'Concrete Plant (CP-4)'!$I$14,AN17*R17),IF(C17="CP-5",IF('Concrete Plant (CP-5)'!$I$14&gt;0,'Concrete Plant (CP-5)'!$I$14,AN17*R17),IF(C17="CP-6",IF('Concrete Plant (CP-6)'!$I$14&gt;0,'Concrete Plant (CP-6)'!$I$14,AN17*R17),IF(C17="CP-7",IF('Concrete Plant (CP-7)'!$I$14&gt;0,'Concrete Plant (CP-7)'!$I$14,AN17*R17),IF(C17="CP-8",IF('Concrete Plant (CP-8)'!$I$14&gt;0,'Concrete Plant (CP-8)'!$I$14,AN17*R17),IF(C17="CP-9",IF('Concrete Plant (CP-9)'!$I$14&gt;0,'Concrete Plant (CP-9)'!$I$14,AN17*R17),IF(C17="CP-10",IF('Concrete Plant (CP-10)'!$I$14&gt;0,'Concrete Plant (CP-10)'!$I$14,AN17*R17))))))))))))</f>
        <v/>
      </c>
      <c r="AP17" s="38" t="str">
        <f t="shared" si="16"/>
        <v/>
      </c>
      <c r="AQ17" s="38" t="str">
        <f t="shared" si="17"/>
        <v/>
      </c>
      <c r="AR17" s="38" t="str">
        <f>IF(F17="","",IF(B17="no",'Emission Factors'!$N$33,'Emission Factors'!$N$34))</f>
        <v/>
      </c>
      <c r="AS17" s="38" t="str">
        <f>IF(F17="","",IF(C17="CP-1",IF('Concrete Plant (CP-1)'!$I$15&gt;0,'Concrete Plant (CP-1)'!$I$15,AR17*R17),IF(C17="CP-2",IF('Concrete Plant (CP-2)'!$I$15&gt;0,'Concrete Plant (CP-2)'!$I$15,AR17*R17),IF(C17="CP-3",IF('Concrete Plant (CP-3)'!$I$15&gt;0,'Concrete Plant (CP-3)'!$I$15,AR17*R17),IF(C17="CP-4",IF('Concrete Plant (CP-4)'!$I$15&gt;0,'Concrete Plant (CP-4)'!$I$15,AR17*R17),IF(C17="CP-5",IF('Concrete Plant (CP-5)'!$I$15&gt;0,'Concrete Plant (CP-5)'!$I$15,AR17*R17),IF(C17="CP-6",IF('Concrete Plant (CP-6)'!$I$15&gt;0,'Concrete Plant (CP-6)'!$I$15,AR17*R17),IF(C17="CP-7",IF('Concrete Plant (CP-7)'!$I$15&gt;0,'Concrete Plant (CP-7)'!$I$15,AR17*R17),IF(C17="CP-8",IF('Concrete Plant (CP-8)'!$I$15&gt;0,'Concrete Plant (CP-8)'!$I$15,AR17*R17),IF(C17="CP-9",IF('Concrete Plant (CP-9)'!$I$15&gt;0,'Concrete Plant (CP-9)'!$I$15,AR17*R17),IF(C17="CP-10",IF('Concrete Plant (CP-10)'!$I$15&gt;0,'Concrete Plant (CP-10)'!$I$15,AR17*R17))))))))))))</f>
        <v/>
      </c>
      <c r="AT17" s="38" t="str">
        <f t="shared" si="18"/>
        <v/>
      </c>
      <c r="AU17" s="38" t="str">
        <f t="shared" si="19"/>
        <v/>
      </c>
      <c r="AV17" s="38" t="str">
        <f>IF(F17="","",IF(B17="no",'Emission Factors'!$P$33,'Emission Factors'!$P$34))</f>
        <v/>
      </c>
      <c r="AW17" s="38" t="str">
        <f t="shared" si="20"/>
        <v/>
      </c>
      <c r="AX17" s="38" t="str">
        <f t="shared" si="21"/>
        <v/>
      </c>
      <c r="AY17" s="38" t="str">
        <f t="shared" si="22"/>
        <v/>
      </c>
      <c r="AZ17" s="38" t="str">
        <f>IF(F17="","",IF(B17="no",'Emission Factors'!$R$33,'Emission Factors'!$R$34))</f>
        <v/>
      </c>
      <c r="BA17" s="38" t="str">
        <f t="shared" si="23"/>
        <v/>
      </c>
      <c r="BB17" s="38" t="str">
        <f t="shared" si="24"/>
        <v/>
      </c>
      <c r="BC17" s="38" t="str">
        <f t="shared" si="25"/>
        <v/>
      </c>
    </row>
    <row r="18" spans="1:55" ht="12" customHeight="1" x14ac:dyDescent="0.25">
      <c r="A18" s="6" t="str">
        <f>IF('Facility Information'!$C$21&gt;9,"CP-10","")</f>
        <v/>
      </c>
      <c r="B18" s="6" t="str">
        <f t="shared" si="26"/>
        <v>no</v>
      </c>
      <c r="C18" s="34"/>
      <c r="D18" s="34"/>
      <c r="E18" s="34"/>
      <c r="F18" s="35"/>
      <c r="G18" s="34"/>
      <c r="H18" s="36"/>
      <c r="I18" s="36"/>
      <c r="J18" s="115"/>
      <c r="K18" s="36">
        <f t="shared" si="29"/>
        <v>0.5</v>
      </c>
      <c r="L18" s="36"/>
      <c r="M18" s="36"/>
      <c r="N18" s="36"/>
      <c r="O18" s="36"/>
      <c r="P18" s="36"/>
      <c r="Q18" s="36"/>
      <c r="R18" s="39" t="str">
        <f t="shared" si="27"/>
        <v/>
      </c>
      <c r="S18" s="36"/>
      <c r="T18" s="38" t="str">
        <f t="shared" si="28"/>
        <v/>
      </c>
      <c r="U18" s="129"/>
      <c r="V18" s="129">
        <f t="shared" si="4"/>
        <v>0</v>
      </c>
      <c r="W18" s="129" t="str">
        <f t="shared" si="5"/>
        <v/>
      </c>
      <c r="X18" s="38" t="str">
        <f>IF(F18="","",IF(B18="no",'Emission Factors'!$D$33,'Emission Factors'!$D$34))</f>
        <v/>
      </c>
      <c r="Y18" s="38" t="str">
        <f t="shared" si="6"/>
        <v/>
      </c>
      <c r="Z18" s="38" t="str">
        <f t="shared" si="7"/>
        <v/>
      </c>
      <c r="AA18" s="38" t="str">
        <f t="shared" si="8"/>
        <v/>
      </c>
      <c r="AB18" s="38" t="str">
        <f>IF(F18="","",IF(B18="no",'Emission Factors'!$F$33,'Emission Factors'!$F$34))</f>
        <v/>
      </c>
      <c r="AC18" s="38" t="str">
        <f t="shared" si="9"/>
        <v/>
      </c>
      <c r="AD18" s="38" t="str">
        <f t="shared" si="10"/>
        <v/>
      </c>
      <c r="AE18" s="38" t="str">
        <f t="shared" si="11"/>
        <v/>
      </c>
      <c r="AF18" s="38" t="str">
        <f>IF(F18="","",IF(B18="no",'Emission Factors'!$H$33,'Emission Factors'!$H$34))</f>
        <v/>
      </c>
      <c r="AG18" s="38" t="str">
        <f>IF(F18="","",IF(C18="CP-1",IF('Concrete Plant (CP-1)'!$I$12&gt;0,'Concrete Plant (CP-1)'!$I$12,AF18*R18*K18),IF(C18="CP-2",IF('Concrete Plant (CP-2)'!$I$12&gt;0,'Concrete Plant (CP-2)'!$I$12,AF18*R18*K18),IF(C18="CP-3",IF('Concrete Plant (CP-3)'!$I$12&gt;0,'Concrete Plant (CP-3)'!$I$12,AF18*R18*K18),IF(C18="CP-4",IF('Concrete Plant (CP-4)'!$I$12&gt;0,'Concrete Plant (CP-4)'!$I$12,AF18*R18*K18),IF(C18="CP-5",IF('Concrete Plant (CP-5)'!$I$12&gt;0,'Concrete Plant (CP-5)'!$I$12,AF18*R18*K18),IF(C18="CP-6",IF('Concrete Plant (CP-6)'!$I$12&gt;0,'Concrete Plant (CP-6)'!$I$12,AF18*R18*K18),IF(C18="CP-7",IF('Concrete Plant (CP-7)'!$I$12&gt;0,'Concrete Plant (CP-7)'!$I$12,AF18*R18*K18),IF(C18="CP-8",IF('Concrete Plant (CP-8)'!$I$12&gt;0,'Concrete Plant (CP-8)'!$I$12,AF18*R18*K18),IF(C18="CP-9",IF('Concrete Plant (CP-9)'!$I$12&gt;0,'Concrete Plant (CP-9)'!$I$12,AF18*R18*K18),IF(C18="CP-10",IF('Concrete Plant (CP-10)'!$I$12&gt;0,'Concrete Plant (CP-10)'!$I$12,AF18*R18*K18))))))))))))</f>
        <v/>
      </c>
      <c r="AH18" s="38" t="str">
        <f t="shared" si="12"/>
        <v/>
      </c>
      <c r="AI18" s="38" t="str">
        <f t="shared" si="13"/>
        <v/>
      </c>
      <c r="AJ18" s="38" t="str">
        <f>IF(F18="","",IF(B18="no",'Emission Factors'!$J$33,'Emission Factors'!$J$34))</f>
        <v/>
      </c>
      <c r="AK18" s="38" t="str">
        <f>IF(F18="","",IF(C18="CP-1",IF('Concrete Plant (CP-1)'!$I$13&gt;0,'Concrete Plant (CP-1)'!$I$13,AJ18*R18),IF(C18="CP-2",IF('Concrete Plant (CP-2)'!$I$13&gt;0,'Concrete Plant (CP-2)'!$I$13,AJ18*R18),IF(C18="CP-3",IF('Concrete Plant (CP-3)'!$I$13&gt;0,'Concrete Plant (CP-3)'!$I$13,AJ18*R18),IF(C18="CP-4",IF('Concrete Plant (CP-4)'!$I$13&gt;0,'Concrete Plant (CP-4)'!$I$13,AJ18*R18),IF(C18="CP-5",IF('Concrete Plant (CP-5)'!$I$13&gt;0,'Concrete Plant (CP-5)'!$I$13,AJ18*R18),IF(C18="CP-6",IF('Concrete Plant (CP-6)'!$I$13&gt;0,'Concrete Plant (CP-6)'!$I$13,AJ18*R18),IF(C18="CP-7",IF('Concrete Plant (CP-7)'!$I$13&gt;0,'Concrete Plant (CP-7)'!$I$13,AJ18*R18),IF(C18="CP-8",IF('Concrete Plant (CP-8)'!$I$13&gt;0,'Concrete Plant (CP-8)'!$I$13,AJ18*R18),IF(C18="CP-9",IF('Concrete Plant (CP-9)'!$I$13&gt;0,'Concrete Plant (CP-9)'!$I$13,AJ18*R18),IF(C18="CP-10",IF('Concrete Plant (CP-10)'!$I$13&gt;0,'Concrete Plant (CP-10)'!$I$13,AJ18*R18))))))))))))</f>
        <v/>
      </c>
      <c r="AL18" s="38" t="str">
        <f t="shared" si="14"/>
        <v/>
      </c>
      <c r="AM18" s="38" t="str">
        <f t="shared" si="15"/>
        <v/>
      </c>
      <c r="AN18" s="38" t="str">
        <f>IF(F18="","",IF(B18="no",'Emission Factors'!$L$33,'Emission Factors'!$L$34))</f>
        <v/>
      </c>
      <c r="AO18" s="38" t="str">
        <f>IF(F18="","",IF(C18="CP-1",IF('Concrete Plant (CP-1)'!$I$14&gt;0,'Concrete Plant (CP-1)'!$I$14,AN18*R18),IF(C18="CP-2",IF('Concrete Plant (CP-2)'!$I$14&gt;0,'Concrete Plant (CP-2)'!$I$14,AN18*R18),IF(C18="CP-3",IF('Concrete Plant (CP-3)'!$I$14&gt;0,'Concrete Plant (CP-3)'!$I$14,AN18*R18),IF(C18="CP-4",IF('Concrete Plant (CP-4)'!$I$14&gt;0,'Concrete Plant (CP-4)'!$I$14,AN18*R18),IF(C18="CP-5",IF('Concrete Plant (CP-5)'!$I$14&gt;0,'Concrete Plant (CP-5)'!$I$14,AN18*R18),IF(C18="CP-6",IF('Concrete Plant (CP-6)'!$I$14&gt;0,'Concrete Plant (CP-6)'!$I$14,AN18*R18),IF(C18="CP-7",IF('Concrete Plant (CP-7)'!$I$14&gt;0,'Concrete Plant (CP-7)'!$I$14,AN18*R18),IF(C18="CP-8",IF('Concrete Plant (CP-8)'!$I$14&gt;0,'Concrete Plant (CP-8)'!$I$14,AN18*R18),IF(C18="CP-9",IF('Concrete Plant (CP-9)'!$I$14&gt;0,'Concrete Plant (CP-9)'!$I$14,AN18*R18),IF(C18="CP-10",IF('Concrete Plant (CP-10)'!$I$14&gt;0,'Concrete Plant (CP-10)'!$I$14,AN18*R18))))))))))))</f>
        <v/>
      </c>
      <c r="AP18" s="38" t="str">
        <f t="shared" si="16"/>
        <v/>
      </c>
      <c r="AQ18" s="38" t="str">
        <f t="shared" si="17"/>
        <v/>
      </c>
      <c r="AR18" s="38" t="str">
        <f>IF(F18="","",IF(B18="no",'Emission Factors'!$N$33,'Emission Factors'!$N$34))</f>
        <v/>
      </c>
      <c r="AS18" s="38" t="str">
        <f>IF(F18="","",IF(C18="CP-1",IF('Concrete Plant (CP-1)'!$I$15&gt;0,'Concrete Plant (CP-1)'!$I$15,AR18*R18),IF(C18="CP-2",IF('Concrete Plant (CP-2)'!$I$15&gt;0,'Concrete Plant (CP-2)'!$I$15,AR18*R18),IF(C18="CP-3",IF('Concrete Plant (CP-3)'!$I$15&gt;0,'Concrete Plant (CP-3)'!$I$15,AR18*R18),IF(C18="CP-4",IF('Concrete Plant (CP-4)'!$I$15&gt;0,'Concrete Plant (CP-4)'!$I$15,AR18*R18),IF(C18="CP-5",IF('Concrete Plant (CP-5)'!$I$15&gt;0,'Concrete Plant (CP-5)'!$I$15,AR18*R18),IF(C18="CP-6",IF('Concrete Plant (CP-6)'!$I$15&gt;0,'Concrete Plant (CP-6)'!$I$15,AR18*R18),IF(C18="CP-7",IF('Concrete Plant (CP-7)'!$I$15&gt;0,'Concrete Plant (CP-7)'!$I$15,AR18*R18),IF(C18="CP-8",IF('Concrete Plant (CP-8)'!$I$15&gt;0,'Concrete Plant (CP-8)'!$I$15,AR18*R18),IF(C18="CP-9",IF('Concrete Plant (CP-9)'!$I$15&gt;0,'Concrete Plant (CP-9)'!$I$15,AR18*R18),IF(C18="CP-10",IF('Concrete Plant (CP-10)'!$I$15&gt;0,'Concrete Plant (CP-10)'!$I$15,AR18*R18))))))))))))</f>
        <v/>
      </c>
      <c r="AT18" s="38" t="str">
        <f t="shared" si="18"/>
        <v/>
      </c>
      <c r="AU18" s="38" t="str">
        <f t="shared" si="19"/>
        <v/>
      </c>
      <c r="AV18" s="38" t="str">
        <f>IF(F18="","",IF(B18="no",'Emission Factors'!$P$33,'Emission Factors'!$P$34))</f>
        <v/>
      </c>
      <c r="AW18" s="38" t="str">
        <f t="shared" si="20"/>
        <v/>
      </c>
      <c r="AX18" s="38" t="str">
        <f t="shared" si="21"/>
        <v/>
      </c>
      <c r="AY18" s="38" t="str">
        <f t="shared" si="22"/>
        <v/>
      </c>
      <c r="AZ18" s="38" t="str">
        <f>IF(F18="","",IF(B18="no",'Emission Factors'!$R$33,'Emission Factors'!$R$34))</f>
        <v/>
      </c>
      <c r="BA18" s="38" t="str">
        <f t="shared" si="23"/>
        <v/>
      </c>
      <c r="BB18" s="38" t="str">
        <f t="shared" si="24"/>
        <v/>
      </c>
      <c r="BC18" s="38" t="str">
        <f t="shared" si="25"/>
        <v/>
      </c>
    </row>
    <row r="19" spans="1:55" ht="12" customHeight="1" x14ac:dyDescent="0.25">
      <c r="B19" s="6" t="str">
        <f t="shared" si="26"/>
        <v>no</v>
      </c>
      <c r="C19" s="34"/>
      <c r="D19" s="34"/>
      <c r="E19" s="34"/>
      <c r="F19" s="35"/>
      <c r="G19" s="34"/>
      <c r="H19" s="36"/>
      <c r="I19" s="36"/>
      <c r="J19" s="115"/>
      <c r="K19" s="36">
        <f t="shared" si="29"/>
        <v>0.5</v>
      </c>
      <c r="L19" s="36"/>
      <c r="M19" s="36"/>
      <c r="N19" s="36"/>
      <c r="O19" s="36"/>
      <c r="P19" s="36"/>
      <c r="Q19" s="36"/>
      <c r="R19" s="39" t="str">
        <f t="shared" si="27"/>
        <v/>
      </c>
      <c r="S19" s="36"/>
      <c r="T19" s="38" t="str">
        <f t="shared" si="28"/>
        <v/>
      </c>
      <c r="U19" s="129"/>
      <c r="V19" s="129">
        <f t="shared" si="4"/>
        <v>0</v>
      </c>
      <c r="W19" s="129" t="str">
        <f t="shared" si="5"/>
        <v/>
      </c>
      <c r="X19" s="38" t="str">
        <f>IF(F19="","",IF(B19="no",'Emission Factors'!$D$33,'Emission Factors'!$D$34))</f>
        <v/>
      </c>
      <c r="Y19" s="38" t="str">
        <f t="shared" si="6"/>
        <v/>
      </c>
      <c r="Z19" s="38" t="str">
        <f t="shared" si="7"/>
        <v/>
      </c>
      <c r="AA19" s="38" t="str">
        <f t="shared" si="8"/>
        <v/>
      </c>
      <c r="AB19" s="38" t="str">
        <f>IF(F19="","",IF(B19="no",'Emission Factors'!$F$33,'Emission Factors'!$F$34))</f>
        <v/>
      </c>
      <c r="AC19" s="38" t="str">
        <f t="shared" si="9"/>
        <v/>
      </c>
      <c r="AD19" s="38" t="str">
        <f t="shared" si="10"/>
        <v/>
      </c>
      <c r="AE19" s="38" t="str">
        <f t="shared" si="11"/>
        <v/>
      </c>
      <c r="AF19" s="38" t="str">
        <f>IF(F19="","",IF(B19="no",'Emission Factors'!$H$33,'Emission Factors'!$H$34))</f>
        <v/>
      </c>
      <c r="AG19" s="38" t="str">
        <f>IF(F19="","",IF(C19="CP-1",IF('Concrete Plant (CP-1)'!$I$12&gt;0,'Concrete Plant (CP-1)'!$I$12,AF19*R19*K19),IF(C19="CP-2",IF('Concrete Plant (CP-2)'!$I$12&gt;0,'Concrete Plant (CP-2)'!$I$12,AF19*R19*K19),IF(C19="CP-3",IF('Concrete Plant (CP-3)'!$I$12&gt;0,'Concrete Plant (CP-3)'!$I$12,AF19*R19*K19),IF(C19="CP-4",IF('Concrete Plant (CP-4)'!$I$12&gt;0,'Concrete Plant (CP-4)'!$I$12,AF19*R19*K19),IF(C19="CP-5",IF('Concrete Plant (CP-5)'!$I$12&gt;0,'Concrete Plant (CP-5)'!$I$12,AF19*R19*K19),IF(C19="CP-6",IF('Concrete Plant (CP-6)'!$I$12&gt;0,'Concrete Plant (CP-6)'!$I$12,AF19*R19*K19),IF(C19="CP-7",IF('Concrete Plant (CP-7)'!$I$12&gt;0,'Concrete Plant (CP-7)'!$I$12,AF19*R19*K19),IF(C19="CP-8",IF('Concrete Plant (CP-8)'!$I$12&gt;0,'Concrete Plant (CP-8)'!$I$12,AF19*R19*K19),IF(C19="CP-9",IF('Concrete Plant (CP-9)'!$I$12&gt;0,'Concrete Plant (CP-9)'!$I$12,AF19*R19*K19),IF(C19="CP-10",IF('Concrete Plant (CP-10)'!$I$12&gt;0,'Concrete Plant (CP-10)'!$I$12,AF19*R19*K19))))))))))))</f>
        <v/>
      </c>
      <c r="AH19" s="38" t="str">
        <f t="shared" si="12"/>
        <v/>
      </c>
      <c r="AI19" s="38" t="str">
        <f t="shared" si="13"/>
        <v/>
      </c>
      <c r="AJ19" s="38" t="str">
        <f>IF(F19="","",IF(B19="no",'Emission Factors'!$J$33,'Emission Factors'!$J$34))</f>
        <v/>
      </c>
      <c r="AK19" s="38" t="str">
        <f>IF(F19="","",IF(C19="CP-1",IF('Concrete Plant (CP-1)'!$I$13&gt;0,'Concrete Plant (CP-1)'!$I$13,AJ19*R19),IF(C19="CP-2",IF('Concrete Plant (CP-2)'!$I$13&gt;0,'Concrete Plant (CP-2)'!$I$13,AJ19*R19),IF(C19="CP-3",IF('Concrete Plant (CP-3)'!$I$13&gt;0,'Concrete Plant (CP-3)'!$I$13,AJ19*R19),IF(C19="CP-4",IF('Concrete Plant (CP-4)'!$I$13&gt;0,'Concrete Plant (CP-4)'!$I$13,AJ19*R19),IF(C19="CP-5",IF('Concrete Plant (CP-5)'!$I$13&gt;0,'Concrete Plant (CP-5)'!$I$13,AJ19*R19),IF(C19="CP-6",IF('Concrete Plant (CP-6)'!$I$13&gt;0,'Concrete Plant (CP-6)'!$I$13,AJ19*R19),IF(C19="CP-7",IF('Concrete Plant (CP-7)'!$I$13&gt;0,'Concrete Plant (CP-7)'!$I$13,AJ19*R19),IF(C19="CP-8",IF('Concrete Plant (CP-8)'!$I$13&gt;0,'Concrete Plant (CP-8)'!$I$13,AJ19*R19),IF(C19="CP-9",IF('Concrete Plant (CP-9)'!$I$13&gt;0,'Concrete Plant (CP-9)'!$I$13,AJ19*R19),IF(C19="CP-10",IF('Concrete Plant (CP-10)'!$I$13&gt;0,'Concrete Plant (CP-10)'!$I$13,AJ19*R19))))))))))))</f>
        <v/>
      </c>
      <c r="AL19" s="38" t="str">
        <f t="shared" si="14"/>
        <v/>
      </c>
      <c r="AM19" s="38" t="str">
        <f t="shared" si="15"/>
        <v/>
      </c>
      <c r="AN19" s="38" t="str">
        <f>IF(F19="","",IF(B19="no",'Emission Factors'!$L$33,'Emission Factors'!$L$34))</f>
        <v/>
      </c>
      <c r="AO19" s="38" t="str">
        <f>IF(F19="","",IF(C19="CP-1",IF('Concrete Plant (CP-1)'!$I$14&gt;0,'Concrete Plant (CP-1)'!$I$14,AN19*R19),IF(C19="CP-2",IF('Concrete Plant (CP-2)'!$I$14&gt;0,'Concrete Plant (CP-2)'!$I$14,AN19*R19),IF(C19="CP-3",IF('Concrete Plant (CP-3)'!$I$14&gt;0,'Concrete Plant (CP-3)'!$I$14,AN19*R19),IF(C19="CP-4",IF('Concrete Plant (CP-4)'!$I$14&gt;0,'Concrete Plant (CP-4)'!$I$14,AN19*R19),IF(C19="CP-5",IF('Concrete Plant (CP-5)'!$I$14&gt;0,'Concrete Plant (CP-5)'!$I$14,AN19*R19),IF(C19="CP-6",IF('Concrete Plant (CP-6)'!$I$14&gt;0,'Concrete Plant (CP-6)'!$I$14,AN19*R19),IF(C19="CP-7",IF('Concrete Plant (CP-7)'!$I$14&gt;0,'Concrete Plant (CP-7)'!$I$14,AN19*R19),IF(C19="CP-8",IF('Concrete Plant (CP-8)'!$I$14&gt;0,'Concrete Plant (CP-8)'!$I$14,AN19*R19),IF(C19="CP-9",IF('Concrete Plant (CP-9)'!$I$14&gt;0,'Concrete Plant (CP-9)'!$I$14,AN19*R19),IF(C19="CP-10",IF('Concrete Plant (CP-10)'!$I$14&gt;0,'Concrete Plant (CP-10)'!$I$14,AN19*R19))))))))))))</f>
        <v/>
      </c>
      <c r="AP19" s="38" t="str">
        <f t="shared" si="16"/>
        <v/>
      </c>
      <c r="AQ19" s="38" t="str">
        <f t="shared" si="17"/>
        <v/>
      </c>
      <c r="AR19" s="38" t="str">
        <f>IF(F19="","",IF(B19="no",'Emission Factors'!$N$33,'Emission Factors'!$N$34))</f>
        <v/>
      </c>
      <c r="AS19" s="38" t="str">
        <f>IF(F19="","",IF(C19="CP-1",IF('Concrete Plant (CP-1)'!$I$15&gt;0,'Concrete Plant (CP-1)'!$I$15,AR19*R19),IF(C19="CP-2",IF('Concrete Plant (CP-2)'!$I$15&gt;0,'Concrete Plant (CP-2)'!$I$15,AR19*R19),IF(C19="CP-3",IF('Concrete Plant (CP-3)'!$I$15&gt;0,'Concrete Plant (CP-3)'!$I$15,AR19*R19),IF(C19="CP-4",IF('Concrete Plant (CP-4)'!$I$15&gt;0,'Concrete Plant (CP-4)'!$I$15,AR19*R19),IF(C19="CP-5",IF('Concrete Plant (CP-5)'!$I$15&gt;0,'Concrete Plant (CP-5)'!$I$15,AR19*R19),IF(C19="CP-6",IF('Concrete Plant (CP-6)'!$I$15&gt;0,'Concrete Plant (CP-6)'!$I$15,AR19*R19),IF(C19="CP-7",IF('Concrete Plant (CP-7)'!$I$15&gt;0,'Concrete Plant (CP-7)'!$I$15,AR19*R19),IF(C19="CP-8",IF('Concrete Plant (CP-8)'!$I$15&gt;0,'Concrete Plant (CP-8)'!$I$15,AR19*R19),IF(C19="CP-9",IF('Concrete Plant (CP-9)'!$I$15&gt;0,'Concrete Plant (CP-9)'!$I$15,AR19*R19),IF(C19="CP-10",IF('Concrete Plant (CP-10)'!$I$15&gt;0,'Concrete Plant (CP-10)'!$I$15,AR19*R19))))))))))))</f>
        <v/>
      </c>
      <c r="AT19" s="38" t="str">
        <f t="shared" si="18"/>
        <v/>
      </c>
      <c r="AU19" s="38" t="str">
        <f t="shared" si="19"/>
        <v/>
      </c>
      <c r="AV19" s="38" t="str">
        <f>IF(F19="","",IF(B19="no",'Emission Factors'!$P$33,'Emission Factors'!$P$34))</f>
        <v/>
      </c>
      <c r="AW19" s="38" t="str">
        <f t="shared" si="20"/>
        <v/>
      </c>
      <c r="AX19" s="38" t="str">
        <f t="shared" si="21"/>
        <v/>
      </c>
      <c r="AY19" s="38" t="str">
        <f t="shared" si="22"/>
        <v/>
      </c>
      <c r="AZ19" s="38" t="str">
        <f>IF(F19="","",IF(B19="no",'Emission Factors'!$R$33,'Emission Factors'!$R$34))</f>
        <v/>
      </c>
      <c r="BA19" s="38" t="str">
        <f t="shared" si="23"/>
        <v/>
      </c>
      <c r="BB19" s="38" t="str">
        <f t="shared" si="24"/>
        <v/>
      </c>
      <c r="BC19" s="38" t="str">
        <f t="shared" si="25"/>
        <v/>
      </c>
    </row>
    <row r="20" spans="1:55" ht="12" customHeight="1" x14ac:dyDescent="0.25">
      <c r="B20" s="6" t="str">
        <f t="shared" si="26"/>
        <v>no</v>
      </c>
      <c r="C20" s="34"/>
      <c r="D20" s="34"/>
      <c r="E20" s="34"/>
      <c r="F20" s="35"/>
      <c r="G20" s="34"/>
      <c r="H20" s="36"/>
      <c r="I20" s="36"/>
      <c r="J20" s="115"/>
      <c r="K20" s="36">
        <f t="shared" si="29"/>
        <v>0.5</v>
      </c>
      <c r="L20" s="36"/>
      <c r="M20" s="36"/>
      <c r="N20" s="36"/>
      <c r="O20" s="36"/>
      <c r="P20" s="36"/>
      <c r="Q20" s="36"/>
      <c r="R20" s="39" t="str">
        <f t="shared" si="27"/>
        <v/>
      </c>
      <c r="S20" s="36"/>
      <c r="T20" s="38" t="str">
        <f t="shared" si="28"/>
        <v/>
      </c>
      <c r="U20" s="129"/>
      <c r="V20" s="129">
        <f t="shared" si="4"/>
        <v>0</v>
      </c>
      <c r="W20" s="129" t="str">
        <f t="shared" si="5"/>
        <v/>
      </c>
      <c r="X20" s="38" t="str">
        <f>IF(F20="","",IF(B20="no",'Emission Factors'!$D$33,'Emission Factors'!$D$34))</f>
        <v/>
      </c>
      <c r="Y20" s="38" t="str">
        <f t="shared" si="6"/>
        <v/>
      </c>
      <c r="Z20" s="38" t="str">
        <f t="shared" si="7"/>
        <v/>
      </c>
      <c r="AA20" s="38" t="str">
        <f t="shared" si="8"/>
        <v/>
      </c>
      <c r="AB20" s="38" t="str">
        <f>IF(F20="","",IF(B20="no",'Emission Factors'!$F$33,'Emission Factors'!$F$34))</f>
        <v/>
      </c>
      <c r="AC20" s="38" t="str">
        <f t="shared" si="9"/>
        <v/>
      </c>
      <c r="AD20" s="38" t="str">
        <f t="shared" si="10"/>
        <v/>
      </c>
      <c r="AE20" s="38" t="str">
        <f t="shared" si="11"/>
        <v/>
      </c>
      <c r="AF20" s="38" t="str">
        <f>IF(F20="","",IF(B20="no",'Emission Factors'!$H$33,'Emission Factors'!$H$34))</f>
        <v/>
      </c>
      <c r="AG20" s="38" t="str">
        <f>IF(F20="","",IF(C20="CP-1",IF('Concrete Plant (CP-1)'!$I$12&gt;0,'Concrete Plant (CP-1)'!$I$12,AF20*R20*K20),IF(C20="CP-2",IF('Concrete Plant (CP-2)'!$I$12&gt;0,'Concrete Plant (CP-2)'!$I$12,AF20*R20*K20),IF(C20="CP-3",IF('Concrete Plant (CP-3)'!$I$12&gt;0,'Concrete Plant (CP-3)'!$I$12,AF20*R20*K20),IF(C20="CP-4",IF('Concrete Plant (CP-4)'!$I$12&gt;0,'Concrete Plant (CP-4)'!$I$12,AF20*R20*K20),IF(C20="CP-5",IF('Concrete Plant (CP-5)'!$I$12&gt;0,'Concrete Plant (CP-5)'!$I$12,AF20*R20*K20),IF(C20="CP-6",IF('Concrete Plant (CP-6)'!$I$12&gt;0,'Concrete Plant (CP-6)'!$I$12,AF20*R20*K20),IF(C20="CP-7",IF('Concrete Plant (CP-7)'!$I$12&gt;0,'Concrete Plant (CP-7)'!$I$12,AF20*R20*K20),IF(C20="CP-8",IF('Concrete Plant (CP-8)'!$I$12&gt;0,'Concrete Plant (CP-8)'!$I$12,AF20*R20*K20),IF(C20="CP-9",IF('Concrete Plant (CP-9)'!$I$12&gt;0,'Concrete Plant (CP-9)'!$I$12,AF20*R20*K20),IF(C20="CP-10",IF('Concrete Plant (CP-10)'!$I$12&gt;0,'Concrete Plant (CP-10)'!$I$12,AF20*R20*K20))))))))))))</f>
        <v/>
      </c>
      <c r="AH20" s="38" t="str">
        <f t="shared" si="12"/>
        <v/>
      </c>
      <c r="AI20" s="38" t="str">
        <f t="shared" si="13"/>
        <v/>
      </c>
      <c r="AJ20" s="38" t="str">
        <f>IF(F20="","",IF(B20="no",'Emission Factors'!$J$33,'Emission Factors'!$J$34))</f>
        <v/>
      </c>
      <c r="AK20" s="38" t="str">
        <f>IF(F20="","",IF(C20="CP-1",IF('Concrete Plant (CP-1)'!$I$13&gt;0,'Concrete Plant (CP-1)'!$I$13,AJ20*R20),IF(C20="CP-2",IF('Concrete Plant (CP-2)'!$I$13&gt;0,'Concrete Plant (CP-2)'!$I$13,AJ20*R20),IF(C20="CP-3",IF('Concrete Plant (CP-3)'!$I$13&gt;0,'Concrete Plant (CP-3)'!$I$13,AJ20*R20),IF(C20="CP-4",IF('Concrete Plant (CP-4)'!$I$13&gt;0,'Concrete Plant (CP-4)'!$I$13,AJ20*R20),IF(C20="CP-5",IF('Concrete Plant (CP-5)'!$I$13&gt;0,'Concrete Plant (CP-5)'!$I$13,AJ20*R20),IF(C20="CP-6",IF('Concrete Plant (CP-6)'!$I$13&gt;0,'Concrete Plant (CP-6)'!$I$13,AJ20*R20),IF(C20="CP-7",IF('Concrete Plant (CP-7)'!$I$13&gt;0,'Concrete Plant (CP-7)'!$I$13,AJ20*R20),IF(C20="CP-8",IF('Concrete Plant (CP-8)'!$I$13&gt;0,'Concrete Plant (CP-8)'!$I$13,AJ20*R20),IF(C20="CP-9",IF('Concrete Plant (CP-9)'!$I$13&gt;0,'Concrete Plant (CP-9)'!$I$13,AJ20*R20),IF(C20="CP-10",IF('Concrete Plant (CP-10)'!$I$13&gt;0,'Concrete Plant (CP-10)'!$I$13,AJ20*R20))))))))))))</f>
        <v/>
      </c>
      <c r="AL20" s="38" t="str">
        <f t="shared" si="14"/>
        <v/>
      </c>
      <c r="AM20" s="38" t="str">
        <f t="shared" si="15"/>
        <v/>
      </c>
      <c r="AN20" s="38" t="str">
        <f>IF(F20="","",IF(B20="no",'Emission Factors'!$L$33,'Emission Factors'!$L$34))</f>
        <v/>
      </c>
      <c r="AO20" s="38" t="str">
        <f>IF(F20="","",IF(C20="CP-1",IF('Concrete Plant (CP-1)'!$I$14&gt;0,'Concrete Plant (CP-1)'!$I$14,AN20*R20),IF(C20="CP-2",IF('Concrete Plant (CP-2)'!$I$14&gt;0,'Concrete Plant (CP-2)'!$I$14,AN20*R20),IF(C20="CP-3",IF('Concrete Plant (CP-3)'!$I$14&gt;0,'Concrete Plant (CP-3)'!$I$14,AN20*R20),IF(C20="CP-4",IF('Concrete Plant (CP-4)'!$I$14&gt;0,'Concrete Plant (CP-4)'!$I$14,AN20*R20),IF(C20="CP-5",IF('Concrete Plant (CP-5)'!$I$14&gt;0,'Concrete Plant (CP-5)'!$I$14,AN20*R20),IF(C20="CP-6",IF('Concrete Plant (CP-6)'!$I$14&gt;0,'Concrete Plant (CP-6)'!$I$14,AN20*R20),IF(C20="CP-7",IF('Concrete Plant (CP-7)'!$I$14&gt;0,'Concrete Plant (CP-7)'!$I$14,AN20*R20),IF(C20="CP-8",IF('Concrete Plant (CP-8)'!$I$14&gt;0,'Concrete Plant (CP-8)'!$I$14,AN20*R20),IF(C20="CP-9",IF('Concrete Plant (CP-9)'!$I$14&gt;0,'Concrete Plant (CP-9)'!$I$14,AN20*R20),IF(C20="CP-10",IF('Concrete Plant (CP-10)'!$I$14&gt;0,'Concrete Plant (CP-10)'!$I$14,AN20*R20))))))))))))</f>
        <v/>
      </c>
      <c r="AP20" s="38" t="str">
        <f t="shared" si="16"/>
        <v/>
      </c>
      <c r="AQ20" s="38" t="str">
        <f t="shared" si="17"/>
        <v/>
      </c>
      <c r="AR20" s="38" t="str">
        <f>IF(F20="","",IF(B20="no",'Emission Factors'!$N$33,'Emission Factors'!$N$34))</f>
        <v/>
      </c>
      <c r="AS20" s="38" t="str">
        <f>IF(F20="","",IF(C20="CP-1",IF('Concrete Plant (CP-1)'!$I$15&gt;0,'Concrete Plant (CP-1)'!$I$15,AR20*R20),IF(C20="CP-2",IF('Concrete Plant (CP-2)'!$I$15&gt;0,'Concrete Plant (CP-2)'!$I$15,AR20*R20),IF(C20="CP-3",IF('Concrete Plant (CP-3)'!$I$15&gt;0,'Concrete Plant (CP-3)'!$I$15,AR20*R20),IF(C20="CP-4",IF('Concrete Plant (CP-4)'!$I$15&gt;0,'Concrete Plant (CP-4)'!$I$15,AR20*R20),IF(C20="CP-5",IF('Concrete Plant (CP-5)'!$I$15&gt;0,'Concrete Plant (CP-5)'!$I$15,AR20*R20),IF(C20="CP-6",IF('Concrete Plant (CP-6)'!$I$15&gt;0,'Concrete Plant (CP-6)'!$I$15,AR20*R20),IF(C20="CP-7",IF('Concrete Plant (CP-7)'!$I$15&gt;0,'Concrete Plant (CP-7)'!$I$15,AR20*R20),IF(C20="CP-8",IF('Concrete Plant (CP-8)'!$I$15&gt;0,'Concrete Plant (CP-8)'!$I$15,AR20*R20),IF(C20="CP-9",IF('Concrete Plant (CP-9)'!$I$15&gt;0,'Concrete Plant (CP-9)'!$I$15,AR20*R20),IF(C20="CP-10",IF('Concrete Plant (CP-10)'!$I$15&gt;0,'Concrete Plant (CP-10)'!$I$15,AR20*R20))))))))))))</f>
        <v/>
      </c>
      <c r="AT20" s="38" t="str">
        <f t="shared" si="18"/>
        <v/>
      </c>
      <c r="AU20" s="38" t="str">
        <f t="shared" si="19"/>
        <v/>
      </c>
      <c r="AV20" s="38" t="str">
        <f>IF(F20="","",IF(B20="no",'Emission Factors'!$P$33,'Emission Factors'!$P$34))</f>
        <v/>
      </c>
      <c r="AW20" s="38" t="str">
        <f t="shared" si="20"/>
        <v/>
      </c>
      <c r="AX20" s="38" t="str">
        <f t="shared" si="21"/>
        <v/>
      </c>
      <c r="AY20" s="38" t="str">
        <f t="shared" si="22"/>
        <v/>
      </c>
      <c r="AZ20" s="38" t="str">
        <f>IF(F20="","",IF(B20="no",'Emission Factors'!$R$33,'Emission Factors'!$R$34))</f>
        <v/>
      </c>
      <c r="BA20" s="38" t="str">
        <f t="shared" si="23"/>
        <v/>
      </c>
      <c r="BB20" s="38" t="str">
        <f t="shared" si="24"/>
        <v/>
      </c>
      <c r="BC20" s="38" t="str">
        <f t="shared" si="25"/>
        <v/>
      </c>
    </row>
    <row r="21" spans="1:55" ht="12" customHeight="1" x14ac:dyDescent="0.25">
      <c r="B21" s="6" t="str">
        <f t="shared" si="26"/>
        <v>no</v>
      </c>
      <c r="C21" s="34"/>
      <c r="D21" s="34"/>
      <c r="E21" s="34"/>
      <c r="F21" s="35"/>
      <c r="G21" s="34"/>
      <c r="H21" s="36"/>
      <c r="I21" s="36"/>
      <c r="J21" s="115"/>
      <c r="K21" s="36">
        <f t="shared" si="29"/>
        <v>0.5</v>
      </c>
      <c r="L21" s="36"/>
      <c r="M21" s="36"/>
      <c r="N21" s="36"/>
      <c r="O21" s="36"/>
      <c r="P21" s="36"/>
      <c r="Q21" s="36"/>
      <c r="R21" s="39" t="str">
        <f t="shared" si="27"/>
        <v/>
      </c>
      <c r="S21" s="36"/>
      <c r="T21" s="38" t="str">
        <f t="shared" si="28"/>
        <v/>
      </c>
      <c r="U21" s="129"/>
      <c r="V21" s="129">
        <f t="shared" si="4"/>
        <v>0</v>
      </c>
      <c r="W21" s="129" t="str">
        <f t="shared" si="5"/>
        <v/>
      </c>
      <c r="X21" s="38" t="str">
        <f>IF(F21="","",IF(B21="no",'Emission Factors'!$D$33,'Emission Factors'!$D$34))</f>
        <v/>
      </c>
      <c r="Y21" s="38" t="str">
        <f t="shared" si="6"/>
        <v/>
      </c>
      <c r="Z21" s="38" t="str">
        <f t="shared" si="7"/>
        <v/>
      </c>
      <c r="AA21" s="38" t="str">
        <f t="shared" si="8"/>
        <v/>
      </c>
      <c r="AB21" s="38" t="str">
        <f>IF(F21="","",IF(B21="no",'Emission Factors'!$F$33,'Emission Factors'!$F$34))</f>
        <v/>
      </c>
      <c r="AC21" s="38" t="str">
        <f t="shared" si="9"/>
        <v/>
      </c>
      <c r="AD21" s="38" t="str">
        <f t="shared" si="10"/>
        <v/>
      </c>
      <c r="AE21" s="38" t="str">
        <f t="shared" si="11"/>
        <v/>
      </c>
      <c r="AF21" s="38" t="str">
        <f>IF(F21="","",IF(B21="no",'Emission Factors'!$H$33,'Emission Factors'!$H$34))</f>
        <v/>
      </c>
      <c r="AG21" s="38" t="str">
        <f>IF(F21="","",IF(C21="CP-1",IF('Concrete Plant (CP-1)'!$I$12&gt;0,'Concrete Plant (CP-1)'!$I$12,AF21*R21*K21),IF(C21="CP-2",IF('Concrete Plant (CP-2)'!$I$12&gt;0,'Concrete Plant (CP-2)'!$I$12,AF21*R21*K21),IF(C21="CP-3",IF('Concrete Plant (CP-3)'!$I$12&gt;0,'Concrete Plant (CP-3)'!$I$12,AF21*R21*K21),IF(C21="CP-4",IF('Concrete Plant (CP-4)'!$I$12&gt;0,'Concrete Plant (CP-4)'!$I$12,AF21*R21*K21),IF(C21="CP-5",IF('Concrete Plant (CP-5)'!$I$12&gt;0,'Concrete Plant (CP-5)'!$I$12,AF21*R21*K21),IF(C21="CP-6",IF('Concrete Plant (CP-6)'!$I$12&gt;0,'Concrete Plant (CP-6)'!$I$12,AF21*R21*K21),IF(C21="CP-7",IF('Concrete Plant (CP-7)'!$I$12&gt;0,'Concrete Plant (CP-7)'!$I$12,AF21*R21*K21),IF(C21="CP-8",IF('Concrete Plant (CP-8)'!$I$12&gt;0,'Concrete Plant (CP-8)'!$I$12,AF21*R21*K21),IF(C21="CP-9",IF('Concrete Plant (CP-9)'!$I$12&gt;0,'Concrete Plant (CP-9)'!$I$12,AF21*R21*K21),IF(C21="CP-10",IF('Concrete Plant (CP-10)'!$I$12&gt;0,'Concrete Plant (CP-10)'!$I$12,AF21*R21*K21))))))))))))</f>
        <v/>
      </c>
      <c r="AH21" s="38" t="str">
        <f t="shared" si="12"/>
        <v/>
      </c>
      <c r="AI21" s="38" t="str">
        <f t="shared" si="13"/>
        <v/>
      </c>
      <c r="AJ21" s="38" t="str">
        <f>IF(F21="","",IF(B21="no",'Emission Factors'!$J$33,'Emission Factors'!$J$34))</f>
        <v/>
      </c>
      <c r="AK21" s="38" t="str">
        <f>IF(F21="","",IF(C21="CP-1",IF('Concrete Plant (CP-1)'!$I$13&gt;0,'Concrete Plant (CP-1)'!$I$13,AJ21*R21),IF(C21="CP-2",IF('Concrete Plant (CP-2)'!$I$13&gt;0,'Concrete Plant (CP-2)'!$I$13,AJ21*R21),IF(C21="CP-3",IF('Concrete Plant (CP-3)'!$I$13&gt;0,'Concrete Plant (CP-3)'!$I$13,AJ21*R21),IF(C21="CP-4",IF('Concrete Plant (CP-4)'!$I$13&gt;0,'Concrete Plant (CP-4)'!$I$13,AJ21*R21),IF(C21="CP-5",IF('Concrete Plant (CP-5)'!$I$13&gt;0,'Concrete Plant (CP-5)'!$I$13,AJ21*R21),IF(C21="CP-6",IF('Concrete Plant (CP-6)'!$I$13&gt;0,'Concrete Plant (CP-6)'!$I$13,AJ21*R21),IF(C21="CP-7",IF('Concrete Plant (CP-7)'!$I$13&gt;0,'Concrete Plant (CP-7)'!$I$13,AJ21*R21),IF(C21="CP-8",IF('Concrete Plant (CP-8)'!$I$13&gt;0,'Concrete Plant (CP-8)'!$I$13,AJ21*R21),IF(C21="CP-9",IF('Concrete Plant (CP-9)'!$I$13&gt;0,'Concrete Plant (CP-9)'!$I$13,AJ21*R21),IF(C21="CP-10",IF('Concrete Plant (CP-10)'!$I$13&gt;0,'Concrete Plant (CP-10)'!$I$13,AJ21*R21))))))))))))</f>
        <v/>
      </c>
      <c r="AL21" s="38" t="str">
        <f t="shared" si="14"/>
        <v/>
      </c>
      <c r="AM21" s="38" t="str">
        <f t="shared" si="15"/>
        <v/>
      </c>
      <c r="AN21" s="38" t="str">
        <f>IF(F21="","",IF(B21="no",'Emission Factors'!$L$33,'Emission Factors'!$L$34))</f>
        <v/>
      </c>
      <c r="AO21" s="38" t="str">
        <f>IF(F21="","",IF(C21="CP-1",IF('Concrete Plant (CP-1)'!$I$14&gt;0,'Concrete Plant (CP-1)'!$I$14,AN21*R21),IF(C21="CP-2",IF('Concrete Plant (CP-2)'!$I$14&gt;0,'Concrete Plant (CP-2)'!$I$14,AN21*R21),IF(C21="CP-3",IF('Concrete Plant (CP-3)'!$I$14&gt;0,'Concrete Plant (CP-3)'!$I$14,AN21*R21),IF(C21="CP-4",IF('Concrete Plant (CP-4)'!$I$14&gt;0,'Concrete Plant (CP-4)'!$I$14,AN21*R21),IF(C21="CP-5",IF('Concrete Plant (CP-5)'!$I$14&gt;0,'Concrete Plant (CP-5)'!$I$14,AN21*R21),IF(C21="CP-6",IF('Concrete Plant (CP-6)'!$I$14&gt;0,'Concrete Plant (CP-6)'!$I$14,AN21*R21),IF(C21="CP-7",IF('Concrete Plant (CP-7)'!$I$14&gt;0,'Concrete Plant (CP-7)'!$I$14,AN21*R21),IF(C21="CP-8",IF('Concrete Plant (CP-8)'!$I$14&gt;0,'Concrete Plant (CP-8)'!$I$14,AN21*R21),IF(C21="CP-9",IF('Concrete Plant (CP-9)'!$I$14&gt;0,'Concrete Plant (CP-9)'!$I$14,AN21*R21),IF(C21="CP-10",IF('Concrete Plant (CP-10)'!$I$14&gt;0,'Concrete Plant (CP-10)'!$I$14,AN21*R21))))))))))))</f>
        <v/>
      </c>
      <c r="AP21" s="38" t="str">
        <f t="shared" si="16"/>
        <v/>
      </c>
      <c r="AQ21" s="38" t="str">
        <f t="shared" si="17"/>
        <v/>
      </c>
      <c r="AR21" s="38" t="str">
        <f>IF(F21="","",IF(B21="no",'Emission Factors'!$N$33,'Emission Factors'!$N$34))</f>
        <v/>
      </c>
      <c r="AS21" s="38" t="str">
        <f>IF(F21="","",IF(C21="CP-1",IF('Concrete Plant (CP-1)'!$I$15&gt;0,'Concrete Plant (CP-1)'!$I$15,AR21*R21),IF(C21="CP-2",IF('Concrete Plant (CP-2)'!$I$15&gt;0,'Concrete Plant (CP-2)'!$I$15,AR21*R21),IF(C21="CP-3",IF('Concrete Plant (CP-3)'!$I$15&gt;0,'Concrete Plant (CP-3)'!$I$15,AR21*R21),IF(C21="CP-4",IF('Concrete Plant (CP-4)'!$I$15&gt;0,'Concrete Plant (CP-4)'!$I$15,AR21*R21),IF(C21="CP-5",IF('Concrete Plant (CP-5)'!$I$15&gt;0,'Concrete Plant (CP-5)'!$I$15,AR21*R21),IF(C21="CP-6",IF('Concrete Plant (CP-6)'!$I$15&gt;0,'Concrete Plant (CP-6)'!$I$15,AR21*R21),IF(C21="CP-7",IF('Concrete Plant (CP-7)'!$I$15&gt;0,'Concrete Plant (CP-7)'!$I$15,AR21*R21),IF(C21="CP-8",IF('Concrete Plant (CP-8)'!$I$15&gt;0,'Concrete Plant (CP-8)'!$I$15,AR21*R21),IF(C21="CP-9",IF('Concrete Plant (CP-9)'!$I$15&gt;0,'Concrete Plant (CP-9)'!$I$15,AR21*R21),IF(C21="CP-10",IF('Concrete Plant (CP-10)'!$I$15&gt;0,'Concrete Plant (CP-10)'!$I$15,AR21*R21))))))))))))</f>
        <v/>
      </c>
      <c r="AT21" s="38" t="str">
        <f t="shared" si="18"/>
        <v/>
      </c>
      <c r="AU21" s="38" t="str">
        <f t="shared" si="19"/>
        <v/>
      </c>
      <c r="AV21" s="38" t="str">
        <f>IF(F21="","",IF(B21="no",'Emission Factors'!$P$33,'Emission Factors'!$P$34))</f>
        <v/>
      </c>
      <c r="AW21" s="38" t="str">
        <f t="shared" si="20"/>
        <v/>
      </c>
      <c r="AX21" s="38" t="str">
        <f t="shared" si="21"/>
        <v/>
      </c>
      <c r="AY21" s="38" t="str">
        <f t="shared" si="22"/>
        <v/>
      </c>
      <c r="AZ21" s="38" t="str">
        <f>IF(F21="","",IF(B21="no",'Emission Factors'!$R$33,'Emission Factors'!$R$34))</f>
        <v/>
      </c>
      <c r="BA21" s="38" t="str">
        <f t="shared" si="23"/>
        <v/>
      </c>
      <c r="BB21" s="38" t="str">
        <f t="shared" si="24"/>
        <v/>
      </c>
      <c r="BC21" s="38" t="str">
        <f t="shared" si="25"/>
        <v/>
      </c>
    </row>
    <row r="22" spans="1:55" ht="12" customHeight="1" x14ac:dyDescent="0.25">
      <c r="B22" s="6" t="str">
        <f t="shared" si="26"/>
        <v>no</v>
      </c>
      <c r="C22" s="34"/>
      <c r="D22" s="34"/>
      <c r="E22" s="34"/>
      <c r="F22" s="35"/>
      <c r="G22" s="34"/>
      <c r="H22" s="36"/>
      <c r="I22" s="36"/>
      <c r="J22" s="115"/>
      <c r="K22" s="36">
        <f t="shared" si="29"/>
        <v>0.5</v>
      </c>
      <c r="L22" s="36"/>
      <c r="M22" s="36"/>
      <c r="N22" s="36"/>
      <c r="O22" s="36"/>
      <c r="P22" s="36"/>
      <c r="Q22" s="36"/>
      <c r="R22" s="39" t="str">
        <f t="shared" si="27"/>
        <v/>
      </c>
      <c r="S22" s="36"/>
      <c r="T22" s="38" t="str">
        <f t="shared" si="28"/>
        <v/>
      </c>
      <c r="U22" s="129"/>
      <c r="V22" s="129">
        <f t="shared" si="4"/>
        <v>0</v>
      </c>
      <c r="W22" s="129" t="str">
        <f t="shared" si="5"/>
        <v/>
      </c>
      <c r="X22" s="38" t="str">
        <f>IF(F22="","",IF(B22="no",'Emission Factors'!$D$33,'Emission Factors'!$D$34))</f>
        <v/>
      </c>
      <c r="Y22" s="38" t="str">
        <f t="shared" si="6"/>
        <v/>
      </c>
      <c r="Z22" s="38" t="str">
        <f t="shared" si="7"/>
        <v/>
      </c>
      <c r="AA22" s="38" t="str">
        <f t="shared" si="8"/>
        <v/>
      </c>
      <c r="AB22" s="38" t="str">
        <f>IF(F22="","",IF(B22="no",'Emission Factors'!$F$33,'Emission Factors'!$F$34))</f>
        <v/>
      </c>
      <c r="AC22" s="38" t="str">
        <f t="shared" si="9"/>
        <v/>
      </c>
      <c r="AD22" s="38" t="str">
        <f t="shared" si="10"/>
        <v/>
      </c>
      <c r="AE22" s="38" t="str">
        <f t="shared" si="11"/>
        <v/>
      </c>
      <c r="AF22" s="38" t="str">
        <f>IF(F22="","",IF(B22="no",'Emission Factors'!$H$33,'Emission Factors'!$H$34))</f>
        <v/>
      </c>
      <c r="AG22" s="38" t="str">
        <f>IF(F22="","",IF(C22="CP-1",IF('Concrete Plant (CP-1)'!$I$12&gt;0,'Concrete Plant (CP-1)'!$I$12,AF22*R22*K22),IF(C22="CP-2",IF('Concrete Plant (CP-2)'!$I$12&gt;0,'Concrete Plant (CP-2)'!$I$12,AF22*R22*K22),IF(C22="CP-3",IF('Concrete Plant (CP-3)'!$I$12&gt;0,'Concrete Plant (CP-3)'!$I$12,AF22*R22*K22),IF(C22="CP-4",IF('Concrete Plant (CP-4)'!$I$12&gt;0,'Concrete Plant (CP-4)'!$I$12,AF22*R22*K22),IF(C22="CP-5",IF('Concrete Plant (CP-5)'!$I$12&gt;0,'Concrete Plant (CP-5)'!$I$12,AF22*R22*K22),IF(C22="CP-6",IF('Concrete Plant (CP-6)'!$I$12&gt;0,'Concrete Plant (CP-6)'!$I$12,AF22*R22*K22),IF(C22="CP-7",IF('Concrete Plant (CP-7)'!$I$12&gt;0,'Concrete Plant (CP-7)'!$I$12,AF22*R22*K22),IF(C22="CP-8",IF('Concrete Plant (CP-8)'!$I$12&gt;0,'Concrete Plant (CP-8)'!$I$12,AF22*R22*K22),IF(C22="CP-9",IF('Concrete Plant (CP-9)'!$I$12&gt;0,'Concrete Plant (CP-9)'!$I$12,AF22*R22*K22),IF(C22="CP-10",IF('Concrete Plant (CP-10)'!$I$12&gt;0,'Concrete Plant (CP-10)'!$I$12,AF22*R22*K22))))))))))))</f>
        <v/>
      </c>
      <c r="AH22" s="38" t="str">
        <f t="shared" si="12"/>
        <v/>
      </c>
      <c r="AI22" s="38" t="str">
        <f t="shared" si="13"/>
        <v/>
      </c>
      <c r="AJ22" s="38" t="str">
        <f>IF(F22="","",IF(B22="no",'Emission Factors'!$J$33,'Emission Factors'!$J$34))</f>
        <v/>
      </c>
      <c r="AK22" s="38" t="str">
        <f>IF(F22="","",IF(C22="CP-1",IF('Concrete Plant (CP-1)'!$I$13&gt;0,'Concrete Plant (CP-1)'!$I$13,AJ22*R22),IF(C22="CP-2",IF('Concrete Plant (CP-2)'!$I$13&gt;0,'Concrete Plant (CP-2)'!$I$13,AJ22*R22),IF(C22="CP-3",IF('Concrete Plant (CP-3)'!$I$13&gt;0,'Concrete Plant (CP-3)'!$I$13,AJ22*R22),IF(C22="CP-4",IF('Concrete Plant (CP-4)'!$I$13&gt;0,'Concrete Plant (CP-4)'!$I$13,AJ22*R22),IF(C22="CP-5",IF('Concrete Plant (CP-5)'!$I$13&gt;0,'Concrete Plant (CP-5)'!$I$13,AJ22*R22),IF(C22="CP-6",IF('Concrete Plant (CP-6)'!$I$13&gt;0,'Concrete Plant (CP-6)'!$I$13,AJ22*R22),IF(C22="CP-7",IF('Concrete Plant (CP-7)'!$I$13&gt;0,'Concrete Plant (CP-7)'!$I$13,AJ22*R22),IF(C22="CP-8",IF('Concrete Plant (CP-8)'!$I$13&gt;0,'Concrete Plant (CP-8)'!$I$13,AJ22*R22),IF(C22="CP-9",IF('Concrete Plant (CP-9)'!$I$13&gt;0,'Concrete Plant (CP-9)'!$I$13,AJ22*R22),IF(C22="CP-10",IF('Concrete Plant (CP-10)'!$I$13&gt;0,'Concrete Plant (CP-10)'!$I$13,AJ22*R22))))))))))))</f>
        <v/>
      </c>
      <c r="AL22" s="38" t="str">
        <f t="shared" si="14"/>
        <v/>
      </c>
      <c r="AM22" s="38" t="str">
        <f t="shared" si="15"/>
        <v/>
      </c>
      <c r="AN22" s="38" t="str">
        <f>IF(F22="","",IF(B22="no",'Emission Factors'!$L$33,'Emission Factors'!$L$34))</f>
        <v/>
      </c>
      <c r="AO22" s="38" t="str">
        <f>IF(F22="","",IF(C22="CP-1",IF('Concrete Plant (CP-1)'!$I$14&gt;0,'Concrete Plant (CP-1)'!$I$14,AN22*R22),IF(C22="CP-2",IF('Concrete Plant (CP-2)'!$I$14&gt;0,'Concrete Plant (CP-2)'!$I$14,AN22*R22),IF(C22="CP-3",IF('Concrete Plant (CP-3)'!$I$14&gt;0,'Concrete Plant (CP-3)'!$I$14,AN22*R22),IF(C22="CP-4",IF('Concrete Plant (CP-4)'!$I$14&gt;0,'Concrete Plant (CP-4)'!$I$14,AN22*R22),IF(C22="CP-5",IF('Concrete Plant (CP-5)'!$I$14&gt;0,'Concrete Plant (CP-5)'!$I$14,AN22*R22),IF(C22="CP-6",IF('Concrete Plant (CP-6)'!$I$14&gt;0,'Concrete Plant (CP-6)'!$I$14,AN22*R22),IF(C22="CP-7",IF('Concrete Plant (CP-7)'!$I$14&gt;0,'Concrete Plant (CP-7)'!$I$14,AN22*R22),IF(C22="CP-8",IF('Concrete Plant (CP-8)'!$I$14&gt;0,'Concrete Plant (CP-8)'!$I$14,AN22*R22),IF(C22="CP-9",IF('Concrete Plant (CP-9)'!$I$14&gt;0,'Concrete Plant (CP-9)'!$I$14,AN22*R22),IF(C22="CP-10",IF('Concrete Plant (CP-10)'!$I$14&gt;0,'Concrete Plant (CP-10)'!$I$14,AN22*R22))))))))))))</f>
        <v/>
      </c>
      <c r="AP22" s="38" t="str">
        <f t="shared" si="16"/>
        <v/>
      </c>
      <c r="AQ22" s="38" t="str">
        <f t="shared" si="17"/>
        <v/>
      </c>
      <c r="AR22" s="38" t="str">
        <f>IF(F22="","",IF(B22="no",'Emission Factors'!$N$33,'Emission Factors'!$N$34))</f>
        <v/>
      </c>
      <c r="AS22" s="38" t="str">
        <f>IF(F22="","",IF(C22="CP-1",IF('Concrete Plant (CP-1)'!$I$15&gt;0,'Concrete Plant (CP-1)'!$I$15,AR22*R22),IF(C22="CP-2",IF('Concrete Plant (CP-2)'!$I$15&gt;0,'Concrete Plant (CP-2)'!$I$15,AR22*R22),IF(C22="CP-3",IF('Concrete Plant (CP-3)'!$I$15&gt;0,'Concrete Plant (CP-3)'!$I$15,AR22*R22),IF(C22="CP-4",IF('Concrete Plant (CP-4)'!$I$15&gt;0,'Concrete Plant (CP-4)'!$I$15,AR22*R22),IF(C22="CP-5",IF('Concrete Plant (CP-5)'!$I$15&gt;0,'Concrete Plant (CP-5)'!$I$15,AR22*R22),IF(C22="CP-6",IF('Concrete Plant (CP-6)'!$I$15&gt;0,'Concrete Plant (CP-6)'!$I$15,AR22*R22),IF(C22="CP-7",IF('Concrete Plant (CP-7)'!$I$15&gt;0,'Concrete Plant (CP-7)'!$I$15,AR22*R22),IF(C22="CP-8",IF('Concrete Plant (CP-8)'!$I$15&gt;0,'Concrete Plant (CP-8)'!$I$15,AR22*R22),IF(C22="CP-9",IF('Concrete Plant (CP-9)'!$I$15&gt;0,'Concrete Plant (CP-9)'!$I$15,AR22*R22),IF(C22="CP-10",IF('Concrete Plant (CP-10)'!$I$15&gt;0,'Concrete Plant (CP-10)'!$I$15,AR22*R22))))))))))))</f>
        <v/>
      </c>
      <c r="AT22" s="38" t="str">
        <f t="shared" si="18"/>
        <v/>
      </c>
      <c r="AU22" s="38" t="str">
        <f t="shared" si="19"/>
        <v/>
      </c>
      <c r="AV22" s="38" t="str">
        <f>IF(F22="","",IF(B22="no",'Emission Factors'!$P$33,'Emission Factors'!$P$34))</f>
        <v/>
      </c>
      <c r="AW22" s="38" t="str">
        <f t="shared" si="20"/>
        <v/>
      </c>
      <c r="AX22" s="38" t="str">
        <f t="shared" si="21"/>
        <v/>
      </c>
      <c r="AY22" s="38" t="str">
        <f t="shared" si="22"/>
        <v/>
      </c>
      <c r="AZ22" s="38" t="str">
        <f>IF(F22="","",IF(B22="no",'Emission Factors'!$R$33,'Emission Factors'!$R$34))</f>
        <v/>
      </c>
      <c r="BA22" s="38" t="str">
        <f t="shared" si="23"/>
        <v/>
      </c>
      <c r="BB22" s="38" t="str">
        <f t="shared" si="24"/>
        <v/>
      </c>
      <c r="BC22" s="38" t="str">
        <f t="shared" si="25"/>
        <v/>
      </c>
    </row>
    <row r="23" spans="1:55" ht="12" customHeight="1" x14ac:dyDescent="0.25">
      <c r="B23" s="6" t="str">
        <f>IF(F23="Diesel Generator&gt; 600 bhp","yes","no")</f>
        <v>no</v>
      </c>
      <c r="C23" s="34"/>
      <c r="D23" s="34"/>
      <c r="E23" s="34"/>
      <c r="F23" s="35"/>
      <c r="G23" s="34"/>
      <c r="H23" s="36"/>
      <c r="I23" s="36"/>
      <c r="J23" s="115"/>
      <c r="K23" s="36">
        <f t="shared" si="29"/>
        <v>0.5</v>
      </c>
      <c r="L23" s="36"/>
      <c r="M23" s="36"/>
      <c r="N23" s="36"/>
      <c r="O23" s="36"/>
      <c r="P23" s="36"/>
      <c r="Q23" s="36"/>
      <c r="R23" s="39" t="str">
        <f>IF(Q23="","",Q23*0.14)</f>
        <v/>
      </c>
      <c r="S23" s="36"/>
      <c r="T23" s="38" t="str">
        <f>IF(S23="","",S23*0.14)</f>
        <v/>
      </c>
      <c r="U23" s="129"/>
      <c r="V23" s="129">
        <f t="shared" si="4"/>
        <v>0</v>
      </c>
      <c r="W23" s="129" t="str">
        <f t="shared" si="5"/>
        <v/>
      </c>
      <c r="X23" s="38" t="str">
        <f>IF(F23="","",IF(B23="no",'Emission Factors'!$D$33,'Emission Factors'!$D$34))</f>
        <v/>
      </c>
      <c r="Y23" s="38" t="str">
        <f t="shared" si="6"/>
        <v/>
      </c>
      <c r="Z23" s="38" t="str">
        <f t="shared" si="7"/>
        <v/>
      </c>
      <c r="AA23" s="38" t="str">
        <f t="shared" si="8"/>
        <v/>
      </c>
      <c r="AB23" s="38" t="str">
        <f>IF(F23="","",IF(B23="no",'Emission Factors'!$F$33,'Emission Factors'!$F$34))</f>
        <v/>
      </c>
      <c r="AC23" s="38" t="str">
        <f t="shared" si="9"/>
        <v/>
      </c>
      <c r="AD23" s="38" t="str">
        <f t="shared" si="10"/>
        <v/>
      </c>
      <c r="AE23" s="38" t="str">
        <f t="shared" si="11"/>
        <v/>
      </c>
      <c r="AF23" s="38" t="str">
        <f>IF(F23="","",IF(B23="no",'Emission Factors'!$H$33,'Emission Factors'!$H$34))</f>
        <v/>
      </c>
      <c r="AG23" s="38" t="str">
        <f>IF(F23="","",IF(C23="CP-1",IF('Concrete Plant (CP-1)'!$I$12&gt;0,'Concrete Plant (CP-1)'!$I$12,AF23*R23*K23),IF(C23="CP-2",IF('Concrete Plant (CP-2)'!$I$12&gt;0,'Concrete Plant (CP-2)'!$I$12,AF23*R23*K23),IF(C23="CP-3",IF('Concrete Plant (CP-3)'!$I$12&gt;0,'Concrete Plant (CP-3)'!$I$12,AF23*R23*K23),IF(C23="CP-4",IF('Concrete Plant (CP-4)'!$I$12&gt;0,'Concrete Plant (CP-4)'!$I$12,AF23*R23*K23),IF(C23="CP-5",IF('Concrete Plant (CP-5)'!$I$12&gt;0,'Concrete Plant (CP-5)'!$I$12,AF23*R23*K23),IF(C23="CP-6",IF('Concrete Plant (CP-6)'!$I$12&gt;0,'Concrete Plant (CP-6)'!$I$12,AF23*R23*K23),IF(C23="CP-7",IF('Concrete Plant (CP-7)'!$I$12&gt;0,'Concrete Plant (CP-7)'!$I$12,AF23*R23*K23),IF(C23="CP-8",IF('Concrete Plant (CP-8)'!$I$12&gt;0,'Concrete Plant (CP-8)'!$I$12,AF23*R23*K23),IF(C23="CP-9",IF('Concrete Plant (CP-9)'!$I$12&gt;0,'Concrete Plant (CP-9)'!$I$12,AF23*R23*K23),IF(C23="CP-10",IF('Concrete Plant (CP-10)'!$I$12&gt;0,'Concrete Plant (CP-10)'!$I$12,AF23*R23*K23))))))))))))</f>
        <v/>
      </c>
      <c r="AH23" s="38" t="str">
        <f t="shared" si="12"/>
        <v/>
      </c>
      <c r="AI23" s="38" t="str">
        <f t="shared" si="13"/>
        <v/>
      </c>
      <c r="AJ23" s="38" t="str">
        <f>IF(F23="","",IF(B23="no",'Emission Factors'!$J$33,'Emission Factors'!$J$34))</f>
        <v/>
      </c>
      <c r="AK23" s="38" t="str">
        <f>IF(F23="","",IF(C23="CP-1",IF('Concrete Plant (CP-1)'!$I$13&gt;0,'Concrete Plant (CP-1)'!$I$13,AJ23*R23),IF(C23="CP-2",IF('Concrete Plant (CP-2)'!$I$13&gt;0,'Concrete Plant (CP-2)'!$I$13,AJ23*R23),IF(C23="CP-3",IF('Concrete Plant (CP-3)'!$I$13&gt;0,'Concrete Plant (CP-3)'!$I$13,AJ23*R23),IF(C23="CP-4",IF('Concrete Plant (CP-4)'!$I$13&gt;0,'Concrete Plant (CP-4)'!$I$13,AJ23*R23),IF(C23="CP-5",IF('Concrete Plant (CP-5)'!$I$13&gt;0,'Concrete Plant (CP-5)'!$I$13,AJ23*R23),IF(C23="CP-6",IF('Concrete Plant (CP-6)'!$I$13&gt;0,'Concrete Plant (CP-6)'!$I$13,AJ23*R23),IF(C23="CP-7",IF('Concrete Plant (CP-7)'!$I$13&gt;0,'Concrete Plant (CP-7)'!$I$13,AJ23*R23),IF(C23="CP-8",IF('Concrete Plant (CP-8)'!$I$13&gt;0,'Concrete Plant (CP-8)'!$I$13,AJ23*R23),IF(C23="CP-9",IF('Concrete Plant (CP-9)'!$I$13&gt;0,'Concrete Plant (CP-9)'!$I$13,AJ23*R23),IF(C23="CP-10",IF('Concrete Plant (CP-10)'!$I$13&gt;0,'Concrete Plant (CP-10)'!$I$13,AJ23*R23))))))))))))</f>
        <v/>
      </c>
      <c r="AL23" s="38" t="str">
        <f t="shared" si="14"/>
        <v/>
      </c>
      <c r="AM23" s="38" t="str">
        <f t="shared" si="15"/>
        <v/>
      </c>
      <c r="AN23" s="38" t="str">
        <f>IF(F23="","",IF(B23="no",'Emission Factors'!$L$33,'Emission Factors'!$L$34))</f>
        <v/>
      </c>
      <c r="AO23" s="38" t="str">
        <f>IF(F23="","",IF(C23="CP-1",IF('Concrete Plant (CP-1)'!$I$14&gt;0,'Concrete Plant (CP-1)'!$I$14,AN23*R23),IF(C23="CP-2",IF('Concrete Plant (CP-2)'!$I$14&gt;0,'Concrete Plant (CP-2)'!$I$14,AN23*R23),IF(C23="CP-3",IF('Concrete Plant (CP-3)'!$I$14&gt;0,'Concrete Plant (CP-3)'!$I$14,AN23*R23),IF(C23="CP-4",IF('Concrete Plant (CP-4)'!$I$14&gt;0,'Concrete Plant (CP-4)'!$I$14,AN23*R23),IF(C23="CP-5",IF('Concrete Plant (CP-5)'!$I$14&gt;0,'Concrete Plant (CP-5)'!$I$14,AN23*R23),IF(C23="CP-6",IF('Concrete Plant (CP-6)'!$I$14&gt;0,'Concrete Plant (CP-6)'!$I$14,AN23*R23),IF(C23="CP-7",IF('Concrete Plant (CP-7)'!$I$14&gt;0,'Concrete Plant (CP-7)'!$I$14,AN23*R23),IF(C23="CP-8",IF('Concrete Plant (CP-8)'!$I$14&gt;0,'Concrete Plant (CP-8)'!$I$14,AN23*R23),IF(C23="CP-9",IF('Concrete Plant (CP-9)'!$I$14&gt;0,'Concrete Plant (CP-9)'!$I$14,AN23*R23),IF(C23="CP-10",IF('Concrete Plant (CP-10)'!$I$14&gt;0,'Concrete Plant (CP-10)'!$I$14,AN23*R23))))))))))))</f>
        <v/>
      </c>
      <c r="AP23" s="38" t="str">
        <f t="shared" si="16"/>
        <v/>
      </c>
      <c r="AQ23" s="38" t="str">
        <f t="shared" si="17"/>
        <v/>
      </c>
      <c r="AR23" s="38" t="str">
        <f>IF(F23="","",IF(B23="no",'Emission Factors'!$N$33,'Emission Factors'!$N$34))</f>
        <v/>
      </c>
      <c r="AS23" s="38" t="str">
        <f>IF(F23="","",IF(C23="CP-1",IF('Concrete Plant (CP-1)'!$I$15&gt;0,'Concrete Plant (CP-1)'!$I$15,AR23*R23),IF(C23="CP-2",IF('Concrete Plant (CP-2)'!$I$15&gt;0,'Concrete Plant (CP-2)'!$I$15,AR23*R23),IF(C23="CP-3",IF('Concrete Plant (CP-3)'!$I$15&gt;0,'Concrete Plant (CP-3)'!$I$15,AR23*R23),IF(C23="CP-4",IF('Concrete Plant (CP-4)'!$I$15&gt;0,'Concrete Plant (CP-4)'!$I$15,AR23*R23),IF(C23="CP-5",IF('Concrete Plant (CP-5)'!$I$15&gt;0,'Concrete Plant (CP-5)'!$I$15,AR23*R23),IF(C23="CP-6",IF('Concrete Plant (CP-6)'!$I$15&gt;0,'Concrete Plant (CP-6)'!$I$15,AR23*R23),IF(C23="CP-7",IF('Concrete Plant (CP-7)'!$I$15&gt;0,'Concrete Plant (CP-7)'!$I$15,AR23*R23),IF(C23="CP-8",IF('Concrete Plant (CP-8)'!$I$15&gt;0,'Concrete Plant (CP-8)'!$I$15,AR23*R23),IF(C23="CP-9",IF('Concrete Plant (CP-9)'!$I$15&gt;0,'Concrete Plant (CP-9)'!$I$15,AR23*R23),IF(C23="CP-10",IF('Concrete Plant (CP-10)'!$I$15&gt;0,'Concrete Plant (CP-10)'!$I$15,AR23*R23))))))))))))</f>
        <v/>
      </c>
      <c r="AT23" s="38" t="str">
        <f t="shared" si="18"/>
        <v/>
      </c>
      <c r="AU23" s="38" t="str">
        <f t="shared" si="19"/>
        <v/>
      </c>
      <c r="AV23" s="38" t="str">
        <f>IF(F23="","",IF(B23="no",'Emission Factors'!$P$33,'Emission Factors'!$P$34))</f>
        <v/>
      </c>
      <c r="AW23" s="38" t="str">
        <f t="shared" si="20"/>
        <v/>
      </c>
      <c r="AX23" s="38" t="str">
        <f t="shared" si="21"/>
        <v/>
      </c>
      <c r="AY23" s="38" t="str">
        <f t="shared" si="22"/>
        <v/>
      </c>
      <c r="AZ23" s="38" t="str">
        <f>IF(F23="","",IF(B23="no",'Emission Factors'!$R$33,'Emission Factors'!$R$34))</f>
        <v/>
      </c>
      <c r="BA23" s="38" t="str">
        <f t="shared" si="23"/>
        <v/>
      </c>
      <c r="BB23" s="38" t="str">
        <f t="shared" si="24"/>
        <v/>
      </c>
      <c r="BC23" s="38" t="str">
        <f t="shared" si="25"/>
        <v/>
      </c>
    </row>
    <row r="24" spans="1:55" ht="12" customHeight="1" x14ac:dyDescent="0.25">
      <c r="B24" s="6" t="str">
        <f>IF(F24="Diesel Generator&gt; 600 bhp","yes","no")</f>
        <v>no</v>
      </c>
      <c r="C24" s="34"/>
      <c r="D24" s="34"/>
      <c r="E24" s="34"/>
      <c r="F24" s="35"/>
      <c r="G24" s="34"/>
      <c r="H24" s="36"/>
      <c r="I24" s="36"/>
      <c r="J24" s="115"/>
      <c r="K24" s="36">
        <f t="shared" si="29"/>
        <v>0.5</v>
      </c>
      <c r="L24" s="36"/>
      <c r="M24" s="36"/>
      <c r="N24" s="36"/>
      <c r="O24" s="36"/>
      <c r="P24" s="36"/>
      <c r="Q24" s="36"/>
      <c r="R24" s="39" t="str">
        <f>IF(Q24="","",Q24*0.14)</f>
        <v/>
      </c>
      <c r="S24" s="36"/>
      <c r="T24" s="38" t="str">
        <f>IF(S24="","",S24*0.14)</f>
        <v/>
      </c>
      <c r="U24" s="129"/>
      <c r="V24" s="129">
        <f t="shared" si="4"/>
        <v>0</v>
      </c>
      <c r="W24" s="129" t="str">
        <f t="shared" si="5"/>
        <v/>
      </c>
      <c r="X24" s="38" t="str">
        <f>IF(F24="","",IF(B24="no",'Emission Factors'!$D$33,'Emission Factors'!$D$34))</f>
        <v/>
      </c>
      <c r="Y24" s="38" t="str">
        <f t="shared" si="6"/>
        <v/>
      </c>
      <c r="Z24" s="38" t="str">
        <f t="shared" si="7"/>
        <v/>
      </c>
      <c r="AA24" s="38" t="str">
        <f t="shared" si="8"/>
        <v/>
      </c>
      <c r="AB24" s="38" t="str">
        <f>IF(F24="","",IF(B24="no",'Emission Factors'!$F$33,'Emission Factors'!$F$34))</f>
        <v/>
      </c>
      <c r="AC24" s="38" t="str">
        <f t="shared" si="9"/>
        <v/>
      </c>
      <c r="AD24" s="38" t="str">
        <f t="shared" si="10"/>
        <v/>
      </c>
      <c r="AE24" s="38" t="str">
        <f t="shared" si="11"/>
        <v/>
      </c>
      <c r="AF24" s="38" t="str">
        <f>IF(F24="","",IF(B24="no",'Emission Factors'!$H$33,'Emission Factors'!$H$34))</f>
        <v/>
      </c>
      <c r="AG24" s="38" t="str">
        <f>IF(F24="","",IF(C24="CP-1",IF('Concrete Plant (CP-1)'!$I$12&gt;0,'Concrete Plant (CP-1)'!$I$12,AF24*R24*K24),IF(C24="CP-2",IF('Concrete Plant (CP-2)'!$I$12&gt;0,'Concrete Plant (CP-2)'!$I$12,AF24*R24*K24),IF(C24="CP-3",IF('Concrete Plant (CP-3)'!$I$12&gt;0,'Concrete Plant (CP-3)'!$I$12,AF24*R24*K24),IF(C24="CP-4",IF('Concrete Plant (CP-4)'!$I$12&gt;0,'Concrete Plant (CP-4)'!$I$12,AF24*R24*K24),IF(C24="CP-5",IF('Concrete Plant (CP-5)'!$I$12&gt;0,'Concrete Plant (CP-5)'!$I$12,AF24*R24*K24),IF(C24="CP-6",IF('Concrete Plant (CP-6)'!$I$12&gt;0,'Concrete Plant (CP-6)'!$I$12,AF24*R24*K24),IF(C24="CP-7",IF('Concrete Plant (CP-7)'!$I$12&gt;0,'Concrete Plant (CP-7)'!$I$12,AF24*R24*K24),IF(C24="CP-8",IF('Concrete Plant (CP-8)'!$I$12&gt;0,'Concrete Plant (CP-8)'!$I$12,AF24*R24*K24),IF(C24="CP-9",IF('Concrete Plant (CP-9)'!$I$12&gt;0,'Concrete Plant (CP-9)'!$I$12,AF24*R24*K24),IF(C24="CP-10",IF('Concrete Plant (CP-10)'!$I$12&gt;0,'Concrete Plant (CP-10)'!$I$12,AF24*R24*K24))))))))))))</f>
        <v/>
      </c>
      <c r="AH24" s="38" t="str">
        <f t="shared" si="12"/>
        <v/>
      </c>
      <c r="AI24" s="38" t="str">
        <f t="shared" si="13"/>
        <v/>
      </c>
      <c r="AJ24" s="38" t="str">
        <f>IF(F24="","",IF(B24="no",'Emission Factors'!$J$33,'Emission Factors'!$J$34))</f>
        <v/>
      </c>
      <c r="AK24" s="38" t="str">
        <f>IF(F24="","",IF(C24="CP-1",IF('Concrete Plant (CP-1)'!$I$13&gt;0,'Concrete Plant (CP-1)'!$I$13,AJ24*R24),IF(C24="CP-2",IF('Concrete Plant (CP-2)'!$I$13&gt;0,'Concrete Plant (CP-2)'!$I$13,AJ24*R24),IF(C24="CP-3",IF('Concrete Plant (CP-3)'!$I$13&gt;0,'Concrete Plant (CP-3)'!$I$13,AJ24*R24),IF(C24="CP-4",IF('Concrete Plant (CP-4)'!$I$13&gt;0,'Concrete Plant (CP-4)'!$I$13,AJ24*R24),IF(C24="CP-5",IF('Concrete Plant (CP-5)'!$I$13&gt;0,'Concrete Plant (CP-5)'!$I$13,AJ24*R24),IF(C24="CP-6",IF('Concrete Plant (CP-6)'!$I$13&gt;0,'Concrete Plant (CP-6)'!$I$13,AJ24*R24),IF(C24="CP-7",IF('Concrete Plant (CP-7)'!$I$13&gt;0,'Concrete Plant (CP-7)'!$I$13,AJ24*R24),IF(C24="CP-8",IF('Concrete Plant (CP-8)'!$I$13&gt;0,'Concrete Plant (CP-8)'!$I$13,AJ24*R24),IF(C24="CP-9",IF('Concrete Plant (CP-9)'!$I$13&gt;0,'Concrete Plant (CP-9)'!$I$13,AJ24*R24),IF(C24="CP-10",IF('Concrete Plant (CP-10)'!$I$13&gt;0,'Concrete Plant (CP-10)'!$I$13,AJ24*R24))))))))))))</f>
        <v/>
      </c>
      <c r="AL24" s="38" t="str">
        <f t="shared" si="14"/>
        <v/>
      </c>
      <c r="AM24" s="38" t="str">
        <f t="shared" si="15"/>
        <v/>
      </c>
      <c r="AN24" s="38" t="str">
        <f>IF(F24="","",IF(B24="no",'Emission Factors'!$L$33,'Emission Factors'!$L$34))</f>
        <v/>
      </c>
      <c r="AO24" s="38" t="str">
        <f>IF(F24="","",IF(C24="CP-1",IF('Concrete Plant (CP-1)'!$I$14&gt;0,'Concrete Plant (CP-1)'!$I$14,AN24*R24),IF(C24="CP-2",IF('Concrete Plant (CP-2)'!$I$14&gt;0,'Concrete Plant (CP-2)'!$I$14,AN24*R24),IF(C24="CP-3",IF('Concrete Plant (CP-3)'!$I$14&gt;0,'Concrete Plant (CP-3)'!$I$14,AN24*R24),IF(C24="CP-4",IF('Concrete Plant (CP-4)'!$I$14&gt;0,'Concrete Plant (CP-4)'!$I$14,AN24*R24),IF(C24="CP-5",IF('Concrete Plant (CP-5)'!$I$14&gt;0,'Concrete Plant (CP-5)'!$I$14,AN24*R24),IF(C24="CP-6",IF('Concrete Plant (CP-6)'!$I$14&gt;0,'Concrete Plant (CP-6)'!$I$14,AN24*R24),IF(C24="CP-7",IF('Concrete Plant (CP-7)'!$I$14&gt;0,'Concrete Plant (CP-7)'!$I$14,AN24*R24),IF(C24="CP-8",IF('Concrete Plant (CP-8)'!$I$14&gt;0,'Concrete Plant (CP-8)'!$I$14,AN24*R24),IF(C24="CP-9",IF('Concrete Plant (CP-9)'!$I$14&gt;0,'Concrete Plant (CP-9)'!$I$14,AN24*R24),IF(C24="CP-10",IF('Concrete Plant (CP-10)'!$I$14&gt;0,'Concrete Plant (CP-10)'!$I$14,AN24*R24))))))))))))</f>
        <v/>
      </c>
      <c r="AP24" s="38" t="str">
        <f t="shared" si="16"/>
        <v/>
      </c>
      <c r="AQ24" s="38" t="str">
        <f t="shared" si="17"/>
        <v/>
      </c>
      <c r="AR24" s="38" t="str">
        <f>IF(F24="","",IF(B24="no",'Emission Factors'!$N$33,'Emission Factors'!$N$34))</f>
        <v/>
      </c>
      <c r="AS24" s="38" t="str">
        <f>IF(F24="","",IF(C24="CP-1",IF('Concrete Plant (CP-1)'!$I$15&gt;0,'Concrete Plant (CP-1)'!$I$15,AR24*R24),IF(C24="CP-2",IF('Concrete Plant (CP-2)'!$I$15&gt;0,'Concrete Plant (CP-2)'!$I$15,AR24*R24),IF(C24="CP-3",IF('Concrete Plant (CP-3)'!$I$15&gt;0,'Concrete Plant (CP-3)'!$I$15,AR24*R24),IF(C24="CP-4",IF('Concrete Plant (CP-4)'!$I$15&gt;0,'Concrete Plant (CP-4)'!$I$15,AR24*R24),IF(C24="CP-5",IF('Concrete Plant (CP-5)'!$I$15&gt;0,'Concrete Plant (CP-5)'!$I$15,AR24*R24),IF(C24="CP-6",IF('Concrete Plant (CP-6)'!$I$15&gt;0,'Concrete Plant (CP-6)'!$I$15,AR24*R24),IF(C24="CP-7",IF('Concrete Plant (CP-7)'!$I$15&gt;0,'Concrete Plant (CP-7)'!$I$15,AR24*R24),IF(C24="CP-8",IF('Concrete Plant (CP-8)'!$I$15&gt;0,'Concrete Plant (CP-8)'!$I$15,AR24*R24),IF(C24="CP-9",IF('Concrete Plant (CP-9)'!$I$15&gt;0,'Concrete Plant (CP-9)'!$I$15,AR24*R24),IF(C24="CP-10",IF('Concrete Plant (CP-10)'!$I$15&gt;0,'Concrete Plant (CP-10)'!$I$15,AR24*R24))))))))))))</f>
        <v/>
      </c>
      <c r="AT24" s="38" t="str">
        <f t="shared" si="18"/>
        <v/>
      </c>
      <c r="AU24" s="38" t="str">
        <f t="shared" si="19"/>
        <v/>
      </c>
      <c r="AV24" s="38" t="str">
        <f>IF(F24="","",IF(B24="no",'Emission Factors'!$P$33,'Emission Factors'!$P$34))</f>
        <v/>
      </c>
      <c r="AW24" s="38" t="str">
        <f t="shared" si="20"/>
        <v/>
      </c>
      <c r="AX24" s="38" t="str">
        <f t="shared" si="21"/>
        <v/>
      </c>
      <c r="AY24" s="38" t="str">
        <f t="shared" si="22"/>
        <v/>
      </c>
      <c r="AZ24" s="38" t="str">
        <f>IF(F24="","",IF(B24="no",'Emission Factors'!$R$33,'Emission Factors'!$R$34))</f>
        <v/>
      </c>
      <c r="BA24" s="38" t="str">
        <f t="shared" si="23"/>
        <v/>
      </c>
      <c r="BB24" s="38" t="str">
        <f t="shared" si="24"/>
        <v/>
      </c>
      <c r="BC24" s="38" t="str">
        <f t="shared" si="25"/>
        <v/>
      </c>
    </row>
    <row r="25" spans="1:55" ht="12" customHeight="1" x14ac:dyDescent="0.25">
      <c r="B25" s="6" t="str">
        <f>IF(F25="Diesel Generator&gt; 600 bhp","yes","no")</f>
        <v>no</v>
      </c>
      <c r="C25" s="34"/>
      <c r="D25" s="34"/>
      <c r="E25" s="34"/>
      <c r="F25" s="35"/>
      <c r="G25" s="34"/>
      <c r="H25" s="36"/>
      <c r="I25" s="36"/>
      <c r="J25" s="115"/>
      <c r="K25" s="36">
        <f t="shared" si="29"/>
        <v>0.5</v>
      </c>
      <c r="L25" s="36"/>
      <c r="M25" s="36"/>
      <c r="N25" s="36"/>
      <c r="O25" s="36"/>
      <c r="P25" s="36"/>
      <c r="Q25" s="36"/>
      <c r="R25" s="39" t="str">
        <f>IF(Q25="","",Q25*0.14)</f>
        <v/>
      </c>
      <c r="S25" s="36"/>
      <c r="T25" s="38" t="str">
        <f>IF(S25="","",S25*0.14)</f>
        <v/>
      </c>
      <c r="U25" s="129"/>
      <c r="V25" s="129">
        <f t="shared" si="4"/>
        <v>0</v>
      </c>
      <c r="W25" s="129" t="str">
        <f t="shared" si="5"/>
        <v/>
      </c>
      <c r="X25" s="38" t="str">
        <f>IF(F25="","",IF(B25="no",'Emission Factors'!$D$33,'Emission Factors'!$D$34))</f>
        <v/>
      </c>
      <c r="Y25" s="38" t="str">
        <f t="shared" si="6"/>
        <v/>
      </c>
      <c r="Z25" s="38" t="str">
        <f t="shared" si="7"/>
        <v/>
      </c>
      <c r="AA25" s="38" t="str">
        <f t="shared" si="8"/>
        <v/>
      </c>
      <c r="AB25" s="38" t="str">
        <f>IF(F25="","",IF(B25="no",'Emission Factors'!$F$33,'Emission Factors'!$F$34))</f>
        <v/>
      </c>
      <c r="AC25" s="38" t="str">
        <f t="shared" si="9"/>
        <v/>
      </c>
      <c r="AD25" s="38" t="str">
        <f t="shared" si="10"/>
        <v/>
      </c>
      <c r="AE25" s="38" t="str">
        <f t="shared" si="11"/>
        <v/>
      </c>
      <c r="AF25" s="38" t="str">
        <f>IF(F25="","",IF(B25="no",'Emission Factors'!$H$33,'Emission Factors'!$H$34))</f>
        <v/>
      </c>
      <c r="AG25" s="38" t="str">
        <f>IF(F25="","",IF(C25="CP-1",IF('Concrete Plant (CP-1)'!$I$12&gt;0,'Concrete Plant (CP-1)'!$I$12,AF25*R25*K25),IF(C25="CP-2",IF('Concrete Plant (CP-2)'!$I$12&gt;0,'Concrete Plant (CP-2)'!$I$12,AF25*R25*K25),IF(C25="CP-3",IF('Concrete Plant (CP-3)'!$I$12&gt;0,'Concrete Plant (CP-3)'!$I$12,AF25*R25*K25),IF(C25="CP-4",IF('Concrete Plant (CP-4)'!$I$12&gt;0,'Concrete Plant (CP-4)'!$I$12,AF25*R25*K25),IF(C25="CP-5",IF('Concrete Plant (CP-5)'!$I$12&gt;0,'Concrete Plant (CP-5)'!$I$12,AF25*R25*K25),IF(C25="CP-6",IF('Concrete Plant (CP-6)'!$I$12&gt;0,'Concrete Plant (CP-6)'!$I$12,AF25*R25*K25),IF(C25="CP-7",IF('Concrete Plant (CP-7)'!$I$12&gt;0,'Concrete Plant (CP-7)'!$I$12,AF25*R25*K25),IF(C25="CP-8",IF('Concrete Plant (CP-8)'!$I$12&gt;0,'Concrete Plant (CP-8)'!$I$12,AF25*R25*K25),IF(C25="CP-9",IF('Concrete Plant (CP-9)'!$I$12&gt;0,'Concrete Plant (CP-9)'!$I$12,AF25*R25*K25),IF(C25="CP-10",IF('Concrete Plant (CP-10)'!$I$12&gt;0,'Concrete Plant (CP-10)'!$I$12,AF25*R25*K25))))))))))))</f>
        <v/>
      </c>
      <c r="AH25" s="38" t="str">
        <f t="shared" si="12"/>
        <v/>
      </c>
      <c r="AI25" s="38" t="str">
        <f t="shared" si="13"/>
        <v/>
      </c>
      <c r="AJ25" s="38" t="str">
        <f>IF(F25="","",IF(B25="no",'Emission Factors'!$J$33,'Emission Factors'!$J$34))</f>
        <v/>
      </c>
      <c r="AK25" s="38" t="str">
        <f>IF(F25="","",IF(C25="CP-1",IF('Concrete Plant (CP-1)'!$I$13&gt;0,'Concrete Plant (CP-1)'!$I$13,AJ25*R25),IF(C25="CP-2",IF('Concrete Plant (CP-2)'!$I$13&gt;0,'Concrete Plant (CP-2)'!$I$13,AJ25*R25),IF(C25="CP-3",IF('Concrete Plant (CP-3)'!$I$13&gt;0,'Concrete Plant (CP-3)'!$I$13,AJ25*R25),IF(C25="CP-4",IF('Concrete Plant (CP-4)'!$I$13&gt;0,'Concrete Plant (CP-4)'!$I$13,AJ25*R25),IF(C25="CP-5",IF('Concrete Plant (CP-5)'!$I$13&gt;0,'Concrete Plant (CP-5)'!$I$13,AJ25*R25),IF(C25="CP-6",IF('Concrete Plant (CP-6)'!$I$13&gt;0,'Concrete Plant (CP-6)'!$I$13,AJ25*R25),IF(C25="CP-7",IF('Concrete Plant (CP-7)'!$I$13&gt;0,'Concrete Plant (CP-7)'!$I$13,AJ25*R25),IF(C25="CP-8",IF('Concrete Plant (CP-8)'!$I$13&gt;0,'Concrete Plant (CP-8)'!$I$13,AJ25*R25),IF(C25="CP-9",IF('Concrete Plant (CP-9)'!$I$13&gt;0,'Concrete Plant (CP-9)'!$I$13,AJ25*R25),IF(C25="CP-10",IF('Concrete Plant (CP-10)'!$I$13&gt;0,'Concrete Plant (CP-10)'!$I$13,AJ25*R25))))))))))))</f>
        <v/>
      </c>
      <c r="AL25" s="38" t="str">
        <f t="shared" si="14"/>
        <v/>
      </c>
      <c r="AM25" s="38" t="str">
        <f t="shared" si="15"/>
        <v/>
      </c>
      <c r="AN25" s="38" t="str">
        <f>IF(F25="","",IF(B25="no",'Emission Factors'!$L$33,'Emission Factors'!$L$34))</f>
        <v/>
      </c>
      <c r="AO25" s="38" t="str">
        <f>IF(F25="","",IF(C25="CP-1",IF('Concrete Plant (CP-1)'!$I$14&gt;0,'Concrete Plant (CP-1)'!$I$14,AN25*R25),IF(C25="CP-2",IF('Concrete Plant (CP-2)'!$I$14&gt;0,'Concrete Plant (CP-2)'!$I$14,AN25*R25),IF(C25="CP-3",IF('Concrete Plant (CP-3)'!$I$14&gt;0,'Concrete Plant (CP-3)'!$I$14,AN25*R25),IF(C25="CP-4",IF('Concrete Plant (CP-4)'!$I$14&gt;0,'Concrete Plant (CP-4)'!$I$14,AN25*R25),IF(C25="CP-5",IF('Concrete Plant (CP-5)'!$I$14&gt;0,'Concrete Plant (CP-5)'!$I$14,AN25*R25),IF(C25="CP-6",IF('Concrete Plant (CP-6)'!$I$14&gt;0,'Concrete Plant (CP-6)'!$I$14,AN25*R25),IF(C25="CP-7",IF('Concrete Plant (CP-7)'!$I$14&gt;0,'Concrete Plant (CP-7)'!$I$14,AN25*R25),IF(C25="CP-8",IF('Concrete Plant (CP-8)'!$I$14&gt;0,'Concrete Plant (CP-8)'!$I$14,AN25*R25),IF(C25="CP-9",IF('Concrete Plant (CP-9)'!$I$14&gt;0,'Concrete Plant (CP-9)'!$I$14,AN25*R25),IF(C25="CP-10",IF('Concrete Plant (CP-10)'!$I$14&gt;0,'Concrete Plant (CP-10)'!$I$14,AN25*R25))))))))))))</f>
        <v/>
      </c>
      <c r="AP25" s="38" t="str">
        <f t="shared" si="16"/>
        <v/>
      </c>
      <c r="AQ25" s="38" t="str">
        <f t="shared" si="17"/>
        <v/>
      </c>
      <c r="AR25" s="38" t="str">
        <f>IF(F25="","",IF(B25="no",'Emission Factors'!$N$33,'Emission Factors'!$N$34))</f>
        <v/>
      </c>
      <c r="AS25" s="38" t="str">
        <f>IF(F25="","",IF(C25="CP-1",IF('Concrete Plant (CP-1)'!$I$15&gt;0,'Concrete Plant (CP-1)'!$I$15,AR25*R25),IF(C25="CP-2",IF('Concrete Plant (CP-2)'!$I$15&gt;0,'Concrete Plant (CP-2)'!$I$15,AR25*R25),IF(C25="CP-3",IF('Concrete Plant (CP-3)'!$I$15&gt;0,'Concrete Plant (CP-3)'!$I$15,AR25*R25),IF(C25="CP-4",IF('Concrete Plant (CP-4)'!$I$15&gt;0,'Concrete Plant (CP-4)'!$I$15,AR25*R25),IF(C25="CP-5",IF('Concrete Plant (CP-5)'!$I$15&gt;0,'Concrete Plant (CP-5)'!$I$15,AR25*R25),IF(C25="CP-6",IF('Concrete Plant (CP-6)'!$I$15&gt;0,'Concrete Plant (CP-6)'!$I$15,AR25*R25),IF(C25="CP-7",IF('Concrete Plant (CP-7)'!$I$15&gt;0,'Concrete Plant (CP-7)'!$I$15,AR25*R25),IF(C25="CP-8",IF('Concrete Plant (CP-8)'!$I$15&gt;0,'Concrete Plant (CP-8)'!$I$15,AR25*R25),IF(C25="CP-9",IF('Concrete Plant (CP-9)'!$I$15&gt;0,'Concrete Plant (CP-9)'!$I$15,AR25*R25),IF(C25="CP-10",IF('Concrete Plant (CP-10)'!$I$15&gt;0,'Concrete Plant (CP-10)'!$I$15,AR25*R25))))))))))))</f>
        <v/>
      </c>
      <c r="AT25" s="38" t="str">
        <f t="shared" si="18"/>
        <v/>
      </c>
      <c r="AU25" s="38" t="str">
        <f t="shared" si="19"/>
        <v/>
      </c>
      <c r="AV25" s="38" t="str">
        <f>IF(F25="","",IF(B25="no",'Emission Factors'!$P$33,'Emission Factors'!$P$34))</f>
        <v/>
      </c>
      <c r="AW25" s="38" t="str">
        <f t="shared" si="20"/>
        <v/>
      </c>
      <c r="AX25" s="38" t="str">
        <f t="shared" si="21"/>
        <v/>
      </c>
      <c r="AY25" s="38" t="str">
        <f t="shared" si="22"/>
        <v/>
      </c>
      <c r="AZ25" s="38" t="str">
        <f>IF(F25="","",IF(B25="no",'Emission Factors'!$R$33,'Emission Factors'!$R$34))</f>
        <v/>
      </c>
      <c r="BA25" s="38" t="str">
        <f t="shared" si="23"/>
        <v/>
      </c>
      <c r="BB25" s="38" t="str">
        <f t="shared" si="24"/>
        <v/>
      </c>
      <c r="BC25" s="38" t="str">
        <f t="shared" si="25"/>
        <v/>
      </c>
    </row>
    <row r="26" spans="1:55" ht="12" customHeight="1" x14ac:dyDescent="0.25">
      <c r="B26" s="6" t="str">
        <f>IF(F26="Diesel Generator&gt; 600 bhp","yes","no")</f>
        <v>no</v>
      </c>
      <c r="C26" s="34"/>
      <c r="D26" s="34"/>
      <c r="E26" s="34"/>
      <c r="F26" s="35"/>
      <c r="G26" s="34"/>
      <c r="H26" s="36"/>
      <c r="I26" s="36"/>
      <c r="J26" s="115"/>
      <c r="K26" s="36">
        <f t="shared" si="29"/>
        <v>0.5</v>
      </c>
      <c r="L26" s="36"/>
      <c r="M26" s="36"/>
      <c r="N26" s="36"/>
      <c r="O26" s="36"/>
      <c r="P26" s="36"/>
      <c r="Q26" s="36"/>
      <c r="R26" s="39" t="str">
        <f>IF(Q26="","",Q26*0.14)</f>
        <v/>
      </c>
      <c r="S26" s="36"/>
      <c r="T26" s="38" t="str">
        <f>IF(S26="","",S26*0.14)</f>
        <v/>
      </c>
      <c r="U26" s="129"/>
      <c r="V26" s="129">
        <f t="shared" si="4"/>
        <v>0</v>
      </c>
      <c r="W26" s="129" t="str">
        <f t="shared" si="5"/>
        <v/>
      </c>
      <c r="X26" s="38" t="str">
        <f>IF(F26="","",IF(B26="no",'Emission Factors'!$D$33,'Emission Factors'!$D$34))</f>
        <v/>
      </c>
      <c r="Y26" s="38" t="str">
        <f t="shared" si="6"/>
        <v/>
      </c>
      <c r="Z26" s="38" t="str">
        <f t="shared" si="7"/>
        <v/>
      </c>
      <c r="AA26" s="38" t="str">
        <f t="shared" si="8"/>
        <v/>
      </c>
      <c r="AB26" s="38" t="str">
        <f>IF(F26="","",IF(B26="no",'Emission Factors'!$F$33,'Emission Factors'!$F$34))</f>
        <v/>
      </c>
      <c r="AC26" s="38" t="str">
        <f t="shared" si="9"/>
        <v/>
      </c>
      <c r="AD26" s="38" t="str">
        <f t="shared" si="10"/>
        <v/>
      </c>
      <c r="AE26" s="38" t="str">
        <f t="shared" si="11"/>
        <v/>
      </c>
      <c r="AF26" s="38" t="str">
        <f>IF(F26="","",IF(B26="no",'Emission Factors'!$H$33,'Emission Factors'!$H$34))</f>
        <v/>
      </c>
      <c r="AG26" s="38" t="str">
        <f>IF(F26="","",IF(C26="CP-1",IF('Concrete Plant (CP-1)'!$I$12&gt;0,'Concrete Plant (CP-1)'!$I$12,AF26*R26*K26),IF(C26="CP-2",IF('Concrete Plant (CP-2)'!$I$12&gt;0,'Concrete Plant (CP-2)'!$I$12,AF26*R26*K26),IF(C26="CP-3",IF('Concrete Plant (CP-3)'!$I$12&gt;0,'Concrete Plant (CP-3)'!$I$12,AF26*R26*K26),IF(C26="CP-4",IF('Concrete Plant (CP-4)'!$I$12&gt;0,'Concrete Plant (CP-4)'!$I$12,AF26*R26*K26),IF(C26="CP-5",IF('Concrete Plant (CP-5)'!$I$12&gt;0,'Concrete Plant (CP-5)'!$I$12,AF26*R26*K26),IF(C26="CP-6",IF('Concrete Plant (CP-6)'!$I$12&gt;0,'Concrete Plant (CP-6)'!$I$12,AF26*R26*K26),IF(C26="CP-7",IF('Concrete Plant (CP-7)'!$I$12&gt;0,'Concrete Plant (CP-7)'!$I$12,AF26*R26*K26),IF(C26="CP-8",IF('Concrete Plant (CP-8)'!$I$12&gt;0,'Concrete Plant (CP-8)'!$I$12,AF26*R26*K26),IF(C26="CP-9",IF('Concrete Plant (CP-9)'!$I$12&gt;0,'Concrete Plant (CP-9)'!$I$12,AF26*R26*K26),IF(C26="CP-10",IF('Concrete Plant (CP-10)'!$I$12&gt;0,'Concrete Plant (CP-10)'!$I$12,AF26*R26*K26))))))))))))</f>
        <v/>
      </c>
      <c r="AH26" s="38" t="str">
        <f t="shared" si="12"/>
        <v/>
      </c>
      <c r="AI26" s="38" t="str">
        <f t="shared" si="13"/>
        <v/>
      </c>
      <c r="AJ26" s="38" t="str">
        <f>IF(F26="","",IF(B26="no",'Emission Factors'!$J$33,'Emission Factors'!$J$34))</f>
        <v/>
      </c>
      <c r="AK26" s="38" t="str">
        <f>IF(F26="","",IF(C26="CP-1",IF('Concrete Plant (CP-1)'!$I$13&gt;0,'Concrete Plant (CP-1)'!$I$13,AJ26*R26),IF(C26="CP-2",IF('Concrete Plant (CP-2)'!$I$13&gt;0,'Concrete Plant (CP-2)'!$I$13,AJ26*R26),IF(C26="CP-3",IF('Concrete Plant (CP-3)'!$I$13&gt;0,'Concrete Plant (CP-3)'!$I$13,AJ26*R26),IF(C26="CP-4",IF('Concrete Plant (CP-4)'!$I$13&gt;0,'Concrete Plant (CP-4)'!$I$13,AJ26*R26),IF(C26="CP-5",IF('Concrete Plant (CP-5)'!$I$13&gt;0,'Concrete Plant (CP-5)'!$I$13,AJ26*R26),IF(C26="CP-6",IF('Concrete Plant (CP-6)'!$I$13&gt;0,'Concrete Plant (CP-6)'!$I$13,AJ26*R26),IF(C26="CP-7",IF('Concrete Plant (CP-7)'!$I$13&gt;0,'Concrete Plant (CP-7)'!$I$13,AJ26*R26),IF(C26="CP-8",IF('Concrete Plant (CP-8)'!$I$13&gt;0,'Concrete Plant (CP-8)'!$I$13,AJ26*R26),IF(C26="CP-9",IF('Concrete Plant (CP-9)'!$I$13&gt;0,'Concrete Plant (CP-9)'!$I$13,AJ26*R26),IF(C26="CP-10",IF('Concrete Plant (CP-10)'!$I$13&gt;0,'Concrete Plant (CP-10)'!$I$13,AJ26*R26))))))))))))</f>
        <v/>
      </c>
      <c r="AL26" s="38" t="str">
        <f t="shared" si="14"/>
        <v/>
      </c>
      <c r="AM26" s="38" t="str">
        <f t="shared" si="15"/>
        <v/>
      </c>
      <c r="AN26" s="38" t="str">
        <f>IF(F26="","",IF(B26="no",'Emission Factors'!$L$33,'Emission Factors'!$L$34))</f>
        <v/>
      </c>
      <c r="AO26" s="38" t="str">
        <f>IF(F26="","",IF(C26="CP-1",IF('Concrete Plant (CP-1)'!$I$14&gt;0,'Concrete Plant (CP-1)'!$I$14,AN26*R26),IF(C26="CP-2",IF('Concrete Plant (CP-2)'!$I$14&gt;0,'Concrete Plant (CP-2)'!$I$14,AN26*R26),IF(C26="CP-3",IF('Concrete Plant (CP-3)'!$I$14&gt;0,'Concrete Plant (CP-3)'!$I$14,AN26*R26),IF(C26="CP-4",IF('Concrete Plant (CP-4)'!$I$14&gt;0,'Concrete Plant (CP-4)'!$I$14,AN26*R26),IF(C26="CP-5",IF('Concrete Plant (CP-5)'!$I$14&gt;0,'Concrete Plant (CP-5)'!$I$14,AN26*R26),IF(C26="CP-6",IF('Concrete Plant (CP-6)'!$I$14&gt;0,'Concrete Plant (CP-6)'!$I$14,AN26*R26),IF(C26="CP-7",IF('Concrete Plant (CP-7)'!$I$14&gt;0,'Concrete Plant (CP-7)'!$I$14,AN26*R26),IF(C26="CP-8",IF('Concrete Plant (CP-8)'!$I$14&gt;0,'Concrete Plant (CP-8)'!$I$14,AN26*R26),IF(C26="CP-9",IF('Concrete Plant (CP-9)'!$I$14&gt;0,'Concrete Plant (CP-9)'!$I$14,AN26*R26),IF(C26="CP-10",IF('Concrete Plant (CP-10)'!$I$14&gt;0,'Concrete Plant (CP-10)'!$I$14,AN26*R26))))))))))))</f>
        <v/>
      </c>
      <c r="AP26" s="38" t="str">
        <f t="shared" si="16"/>
        <v/>
      </c>
      <c r="AQ26" s="38" t="str">
        <f t="shared" si="17"/>
        <v/>
      </c>
      <c r="AR26" s="38" t="str">
        <f>IF(F26="","",IF(B26="no",'Emission Factors'!$N$33,'Emission Factors'!$N$34))</f>
        <v/>
      </c>
      <c r="AS26" s="38" t="str">
        <f>IF(F26="","",IF(C26="CP-1",IF('Concrete Plant (CP-1)'!$I$15&gt;0,'Concrete Plant (CP-1)'!$I$15,AR26*R26),IF(C26="CP-2",IF('Concrete Plant (CP-2)'!$I$15&gt;0,'Concrete Plant (CP-2)'!$I$15,AR26*R26),IF(C26="CP-3",IF('Concrete Plant (CP-3)'!$I$15&gt;0,'Concrete Plant (CP-3)'!$I$15,AR26*R26),IF(C26="CP-4",IF('Concrete Plant (CP-4)'!$I$15&gt;0,'Concrete Plant (CP-4)'!$I$15,AR26*R26),IF(C26="CP-5",IF('Concrete Plant (CP-5)'!$I$15&gt;0,'Concrete Plant (CP-5)'!$I$15,AR26*R26),IF(C26="CP-6",IF('Concrete Plant (CP-6)'!$I$15&gt;0,'Concrete Plant (CP-6)'!$I$15,AR26*R26),IF(C26="CP-7",IF('Concrete Plant (CP-7)'!$I$15&gt;0,'Concrete Plant (CP-7)'!$I$15,AR26*R26),IF(C26="CP-8",IF('Concrete Plant (CP-8)'!$I$15&gt;0,'Concrete Plant (CP-8)'!$I$15,AR26*R26),IF(C26="CP-9",IF('Concrete Plant (CP-9)'!$I$15&gt;0,'Concrete Plant (CP-9)'!$I$15,AR26*R26),IF(C26="CP-10",IF('Concrete Plant (CP-10)'!$I$15&gt;0,'Concrete Plant (CP-10)'!$I$15,AR26*R26))))))))))))</f>
        <v/>
      </c>
      <c r="AT26" s="38" t="str">
        <f t="shared" si="18"/>
        <v/>
      </c>
      <c r="AU26" s="38" t="str">
        <f t="shared" si="19"/>
        <v/>
      </c>
      <c r="AV26" s="38" t="str">
        <f>IF(F26="","",IF(B26="no",'Emission Factors'!$P$33,'Emission Factors'!$P$34))</f>
        <v/>
      </c>
      <c r="AW26" s="38" t="str">
        <f t="shared" si="20"/>
        <v/>
      </c>
      <c r="AX26" s="38" t="str">
        <f t="shared" si="21"/>
        <v/>
      </c>
      <c r="AY26" s="38" t="str">
        <f t="shared" si="22"/>
        <v/>
      </c>
      <c r="AZ26" s="38" t="str">
        <f>IF(F26="","",IF(B26="no",'Emission Factors'!$R$33,'Emission Factors'!$R$34))</f>
        <v/>
      </c>
      <c r="BA26" s="38" t="str">
        <f t="shared" si="23"/>
        <v/>
      </c>
      <c r="BB26" s="38" t="str">
        <f t="shared" si="24"/>
        <v/>
      </c>
      <c r="BC26" s="38" t="str">
        <f t="shared" si="25"/>
        <v/>
      </c>
    </row>
    <row r="27" spans="1:55" ht="12" customHeight="1" x14ac:dyDescent="0.25">
      <c r="B27" s="6" t="str">
        <f>IF(F27="Diesel Generator&gt; 600 bhp","yes","no")</f>
        <v>no</v>
      </c>
      <c r="C27" s="34"/>
      <c r="D27" s="34"/>
      <c r="E27" s="34"/>
      <c r="F27" s="35"/>
      <c r="G27" s="34"/>
      <c r="H27" s="36"/>
      <c r="I27" s="36"/>
      <c r="J27" s="115"/>
      <c r="K27" s="36">
        <f t="shared" si="29"/>
        <v>0.5</v>
      </c>
      <c r="L27" s="36"/>
      <c r="M27" s="36"/>
      <c r="N27" s="36"/>
      <c r="O27" s="36"/>
      <c r="P27" s="36"/>
      <c r="Q27" s="36"/>
      <c r="R27" s="39" t="str">
        <f>IF(Q27="","",Q27*0.14)</f>
        <v/>
      </c>
      <c r="S27" s="36"/>
      <c r="T27" s="38" t="str">
        <f>IF(S27="","",S27*0.14)</f>
        <v/>
      </c>
      <c r="U27" s="129"/>
      <c r="V27" s="129">
        <f t="shared" si="4"/>
        <v>0</v>
      </c>
      <c r="W27" s="129" t="str">
        <f t="shared" si="5"/>
        <v/>
      </c>
      <c r="X27" s="38" t="str">
        <f>IF(F27="","",IF(B27="no",'Emission Factors'!$D$33,'Emission Factors'!$D$34))</f>
        <v/>
      </c>
      <c r="Y27" s="38" t="str">
        <f t="shared" si="6"/>
        <v/>
      </c>
      <c r="Z27" s="38" t="str">
        <f t="shared" si="7"/>
        <v/>
      </c>
      <c r="AA27" s="38" t="str">
        <f t="shared" si="8"/>
        <v/>
      </c>
      <c r="AB27" s="38" t="str">
        <f>IF(F27="","",IF(B27="no",'Emission Factors'!$F$33,'Emission Factors'!$F$34))</f>
        <v/>
      </c>
      <c r="AC27" s="38" t="str">
        <f t="shared" si="9"/>
        <v/>
      </c>
      <c r="AD27" s="38" t="str">
        <f t="shared" si="10"/>
        <v/>
      </c>
      <c r="AE27" s="38" t="str">
        <f t="shared" si="11"/>
        <v/>
      </c>
      <c r="AF27" s="38" t="str">
        <f>IF(F27="","",IF(B27="no",'Emission Factors'!$H$33,'Emission Factors'!$H$34))</f>
        <v/>
      </c>
      <c r="AG27" s="38" t="str">
        <f>IF(F27="","",IF(C27="CP-1",IF('Concrete Plant (CP-1)'!$I$12&gt;0,'Concrete Plant (CP-1)'!$I$12,AF27*R27*K27),IF(C27="CP-2",IF('Concrete Plant (CP-2)'!$I$12&gt;0,'Concrete Plant (CP-2)'!$I$12,AF27*R27*K27),IF(C27="CP-3",IF('Concrete Plant (CP-3)'!$I$12&gt;0,'Concrete Plant (CP-3)'!$I$12,AF27*R27*K27),IF(C27="CP-4",IF('Concrete Plant (CP-4)'!$I$12&gt;0,'Concrete Plant (CP-4)'!$I$12,AF27*R27*K27),IF(C27="CP-5",IF('Concrete Plant (CP-5)'!$I$12&gt;0,'Concrete Plant (CP-5)'!$I$12,AF27*R27*K27),IF(C27="CP-6",IF('Concrete Plant (CP-6)'!$I$12&gt;0,'Concrete Plant (CP-6)'!$I$12,AF27*R27*K27),IF(C27="CP-7",IF('Concrete Plant (CP-7)'!$I$12&gt;0,'Concrete Plant (CP-7)'!$I$12,AF27*R27*K27),IF(C27="CP-8",IF('Concrete Plant (CP-8)'!$I$12&gt;0,'Concrete Plant (CP-8)'!$I$12,AF27*R27*K27),IF(C27="CP-9",IF('Concrete Plant (CP-9)'!$I$12&gt;0,'Concrete Plant (CP-9)'!$I$12,AF27*R27*K27),IF(C27="CP-10",IF('Concrete Plant (CP-10)'!$I$12&gt;0,'Concrete Plant (CP-10)'!$I$12,AF27*R27*K27))))))))))))</f>
        <v/>
      </c>
      <c r="AH27" s="38" t="str">
        <f t="shared" si="12"/>
        <v/>
      </c>
      <c r="AI27" s="38" t="str">
        <f t="shared" si="13"/>
        <v/>
      </c>
      <c r="AJ27" s="38" t="str">
        <f>IF(F27="","",IF(B27="no",'Emission Factors'!$J$33,'Emission Factors'!$J$34))</f>
        <v/>
      </c>
      <c r="AK27" s="38" t="str">
        <f>IF(F27="","",IF(C27="CP-1",IF('Concrete Plant (CP-1)'!$I$13&gt;0,'Concrete Plant (CP-1)'!$I$13,AJ27*R27),IF(C27="CP-2",IF('Concrete Plant (CP-2)'!$I$13&gt;0,'Concrete Plant (CP-2)'!$I$13,AJ27*R27),IF(C27="CP-3",IF('Concrete Plant (CP-3)'!$I$13&gt;0,'Concrete Plant (CP-3)'!$I$13,AJ27*R27),IF(C27="CP-4",IF('Concrete Plant (CP-4)'!$I$13&gt;0,'Concrete Plant (CP-4)'!$I$13,AJ27*R27),IF(C27="CP-5",IF('Concrete Plant (CP-5)'!$I$13&gt;0,'Concrete Plant (CP-5)'!$I$13,AJ27*R27),IF(C27="CP-6",IF('Concrete Plant (CP-6)'!$I$13&gt;0,'Concrete Plant (CP-6)'!$I$13,AJ27*R27),IF(C27="CP-7",IF('Concrete Plant (CP-7)'!$I$13&gt;0,'Concrete Plant (CP-7)'!$I$13,AJ27*R27),IF(C27="CP-8",IF('Concrete Plant (CP-8)'!$I$13&gt;0,'Concrete Plant (CP-8)'!$I$13,AJ27*R27),IF(C27="CP-9",IF('Concrete Plant (CP-9)'!$I$13&gt;0,'Concrete Plant (CP-9)'!$I$13,AJ27*R27),IF(C27="CP-10",IF('Concrete Plant (CP-10)'!$I$13&gt;0,'Concrete Plant (CP-10)'!$I$13,AJ27*R27))))))))))))</f>
        <v/>
      </c>
      <c r="AL27" s="38" t="str">
        <f t="shared" si="14"/>
        <v/>
      </c>
      <c r="AM27" s="38" t="str">
        <f t="shared" si="15"/>
        <v/>
      </c>
      <c r="AN27" s="38" t="str">
        <f>IF(F27="","",IF(B27="no",'Emission Factors'!$L$33,'Emission Factors'!$L$34))</f>
        <v/>
      </c>
      <c r="AO27" s="38" t="str">
        <f>IF(F27="","",IF(C27="CP-1",IF('Concrete Plant (CP-1)'!$I$14&gt;0,'Concrete Plant (CP-1)'!$I$14,AN27*R27),IF(C27="CP-2",IF('Concrete Plant (CP-2)'!$I$14&gt;0,'Concrete Plant (CP-2)'!$I$14,AN27*R27),IF(C27="CP-3",IF('Concrete Plant (CP-3)'!$I$14&gt;0,'Concrete Plant (CP-3)'!$I$14,AN27*R27),IF(C27="CP-4",IF('Concrete Plant (CP-4)'!$I$14&gt;0,'Concrete Plant (CP-4)'!$I$14,AN27*R27),IF(C27="CP-5",IF('Concrete Plant (CP-5)'!$I$14&gt;0,'Concrete Plant (CP-5)'!$I$14,AN27*R27),IF(C27="CP-6",IF('Concrete Plant (CP-6)'!$I$14&gt;0,'Concrete Plant (CP-6)'!$I$14,AN27*R27),IF(C27="CP-7",IF('Concrete Plant (CP-7)'!$I$14&gt;0,'Concrete Plant (CP-7)'!$I$14,AN27*R27),IF(C27="CP-8",IF('Concrete Plant (CP-8)'!$I$14&gt;0,'Concrete Plant (CP-8)'!$I$14,AN27*R27),IF(C27="CP-9",IF('Concrete Plant (CP-9)'!$I$14&gt;0,'Concrete Plant (CP-9)'!$I$14,AN27*R27),IF(C27="CP-10",IF('Concrete Plant (CP-10)'!$I$14&gt;0,'Concrete Plant (CP-10)'!$I$14,AN27*R27))))))))))))</f>
        <v/>
      </c>
      <c r="AP27" s="38" t="str">
        <f t="shared" si="16"/>
        <v/>
      </c>
      <c r="AQ27" s="38" t="str">
        <f t="shared" si="17"/>
        <v/>
      </c>
      <c r="AR27" s="38" t="str">
        <f>IF(F27="","",IF(B27="no",'Emission Factors'!$N$33,'Emission Factors'!$N$34))</f>
        <v/>
      </c>
      <c r="AS27" s="38" t="str">
        <f>IF(F27="","",IF(C27="CP-1",IF('Concrete Plant (CP-1)'!$I$15&gt;0,'Concrete Plant (CP-1)'!$I$15,AR27*R27),IF(C27="CP-2",IF('Concrete Plant (CP-2)'!$I$15&gt;0,'Concrete Plant (CP-2)'!$I$15,AR27*R27),IF(C27="CP-3",IF('Concrete Plant (CP-3)'!$I$15&gt;0,'Concrete Plant (CP-3)'!$I$15,AR27*R27),IF(C27="CP-4",IF('Concrete Plant (CP-4)'!$I$15&gt;0,'Concrete Plant (CP-4)'!$I$15,AR27*R27),IF(C27="CP-5",IF('Concrete Plant (CP-5)'!$I$15&gt;0,'Concrete Plant (CP-5)'!$I$15,AR27*R27),IF(C27="CP-6",IF('Concrete Plant (CP-6)'!$I$15&gt;0,'Concrete Plant (CP-6)'!$I$15,AR27*R27),IF(C27="CP-7",IF('Concrete Plant (CP-7)'!$I$15&gt;0,'Concrete Plant (CP-7)'!$I$15,AR27*R27),IF(C27="CP-8",IF('Concrete Plant (CP-8)'!$I$15&gt;0,'Concrete Plant (CP-8)'!$I$15,AR27*R27),IF(C27="CP-9",IF('Concrete Plant (CP-9)'!$I$15&gt;0,'Concrete Plant (CP-9)'!$I$15,AR27*R27),IF(C27="CP-10",IF('Concrete Plant (CP-10)'!$I$15&gt;0,'Concrete Plant (CP-10)'!$I$15,AR27*R27))))))))))))</f>
        <v/>
      </c>
      <c r="AT27" s="38" t="str">
        <f t="shared" si="18"/>
        <v/>
      </c>
      <c r="AU27" s="38"/>
      <c r="AV27" s="38" t="str">
        <f>IF(F27="","",IF(B27="no",'Emission Factors'!$P$33,'Emission Factors'!$P$34))</f>
        <v/>
      </c>
      <c r="AW27" s="38" t="str">
        <f t="shared" si="20"/>
        <v/>
      </c>
      <c r="AX27" s="38" t="str">
        <f t="shared" si="21"/>
        <v/>
      </c>
      <c r="AY27" s="38" t="str">
        <f t="shared" si="22"/>
        <v/>
      </c>
      <c r="AZ27" s="38" t="str">
        <f>IF(F27="","",IF(B27="no",'Emission Factors'!$R$33,'Emission Factors'!$R$34))</f>
        <v/>
      </c>
      <c r="BA27" s="38" t="str">
        <f t="shared" si="23"/>
        <v/>
      </c>
      <c r="BB27" s="38" t="str">
        <f t="shared" si="24"/>
        <v/>
      </c>
      <c r="BC27" s="38" t="str">
        <f t="shared" si="25"/>
        <v/>
      </c>
    </row>
    <row r="28" spans="1:55" ht="12" customHeight="1" x14ac:dyDescent="0.25">
      <c r="B28" s="6" t="str">
        <f t="shared" ref="B28:B43" si="30">IF(F28="Diesel Generator&gt; 600 bhp","yes","no")</f>
        <v>no</v>
      </c>
      <c r="C28" s="34"/>
      <c r="D28" s="34"/>
      <c r="E28" s="34"/>
      <c r="F28" s="35"/>
      <c r="G28" s="34"/>
      <c r="H28" s="36"/>
      <c r="I28" s="36"/>
      <c r="J28" s="115"/>
      <c r="K28" s="36">
        <f t="shared" si="29"/>
        <v>0.5</v>
      </c>
      <c r="L28" s="36"/>
      <c r="M28" s="36"/>
      <c r="N28" s="36"/>
      <c r="O28" s="36"/>
      <c r="P28" s="36"/>
      <c r="Q28" s="36"/>
      <c r="R28" s="39" t="str">
        <f t="shared" ref="R28:R43" si="31">IF(Q28="","",Q28*0.14)</f>
        <v/>
      </c>
      <c r="S28" s="36"/>
      <c r="T28" s="38" t="str">
        <f t="shared" ref="T28:T43" si="32">IF(S28="","",S28*0.14)</f>
        <v/>
      </c>
      <c r="U28" s="129"/>
      <c r="V28" s="129">
        <f t="shared" ref="V28:V48" si="33">IF(B28="no",H28*Q28*0.14,"")</f>
        <v>0</v>
      </c>
      <c r="W28" s="129" t="str">
        <f t="shared" ref="W28:W48" si="34">IF(B28="yes",H28*Q28*0.14,"")</f>
        <v/>
      </c>
      <c r="X28" s="38" t="str">
        <f>IF(F28="","",IF(B28="no",'Emission Factors'!$D$33,'Emission Factors'!$D$34))</f>
        <v/>
      </c>
      <c r="Y28" s="38" t="str">
        <f>IF(F28="","",X28*R28)</f>
        <v/>
      </c>
      <c r="Z28" s="38" t="str">
        <f>IF(F28="","",IF(I28&gt;0,I28*0.14*X28/2000,IF(H28&gt;0,X28*R28*H28/2000,Y28*8760/2000)))</f>
        <v/>
      </c>
      <c r="AA28" s="38" t="str">
        <f>IF(F28="","",T28*X28/2000)</f>
        <v/>
      </c>
      <c r="AB28" s="38" t="str">
        <f>IF(F28="","",IF(B28="no",'Emission Factors'!$F$33,'Emission Factors'!$F$34))</f>
        <v/>
      </c>
      <c r="AC28" s="38" t="str">
        <f>IF(F28="","",AB28*R28)</f>
        <v/>
      </c>
      <c r="AD28" s="38" t="str">
        <f>IF(F28="","",IF(I28&gt;0,I28*0.14*AB28/2000,IF(H28&gt;0,AB28*R28*H28/2000,AC28*8760/2000)))</f>
        <v/>
      </c>
      <c r="AE28" s="38" t="str">
        <f>IF(F28="","",T28*AB28/2000)</f>
        <v/>
      </c>
      <c r="AF28" s="38" t="str">
        <f>IF(F28="","",IF(B28="no",'Emission Factors'!$H$33,'Emission Factors'!$H$34))</f>
        <v/>
      </c>
      <c r="AG28" s="38" t="str">
        <f>IF(F28="","",IF(C28="CP-1",IF('Concrete Plant (CP-1)'!$I$12&gt;0,'Concrete Plant (CP-1)'!$I$12,AF28*R28*K28),IF(C28="CP-2",IF('Concrete Plant (CP-2)'!$I$12&gt;0,'Concrete Plant (CP-2)'!$I$12,AF28*R28*K28),IF(C28="CP-3",IF('Concrete Plant (CP-3)'!$I$12&gt;0,'Concrete Plant (CP-3)'!$I$12,AF28*R28*K28),IF(C28="CP-4",IF('Concrete Plant (CP-4)'!$I$12&gt;0,'Concrete Plant (CP-4)'!$I$12,AF28*R28*K28),IF(C28="CP-5",IF('Concrete Plant (CP-5)'!$I$12&gt;0,'Concrete Plant (CP-5)'!$I$12,AF28*R28*K28),IF(C28="CP-6",IF('Concrete Plant (CP-6)'!$I$12&gt;0,'Concrete Plant (CP-6)'!$I$12,AF28*R28*K28),IF(C28="CP-7",IF('Concrete Plant (CP-7)'!$I$12&gt;0,'Concrete Plant (CP-7)'!$I$12,AF28*R28*K28),IF(C28="CP-8",IF('Concrete Plant (CP-8)'!$I$12&gt;0,'Concrete Plant (CP-8)'!$I$12,AF28*R28*K28),IF(C28="CP-9",IF('Concrete Plant (CP-9)'!$I$12&gt;0,'Concrete Plant (CP-9)'!$I$12,AF28*R28*K28),IF(C28="CP-10",IF('Concrete Plant (CP-10)'!$I$12&gt;0,'Concrete Plant (CP-10)'!$I$12,AF28*R28*K28))))))))))))</f>
        <v/>
      </c>
      <c r="AH28" s="38" t="str">
        <f t="shared" si="12"/>
        <v/>
      </c>
      <c r="AI28" s="38" t="str">
        <f t="shared" si="13"/>
        <v/>
      </c>
      <c r="AJ28" s="38" t="str">
        <f>IF(F28="","",IF(B28="no",'Emission Factors'!$J$33,'Emission Factors'!$J$34))</f>
        <v/>
      </c>
      <c r="AK28" s="38" t="str">
        <f>IF(F28="","",IF(C28="CP-1",IF('Concrete Plant (CP-1)'!$I$13&gt;0,'Concrete Plant (CP-1)'!$I$13,AJ28*R28),IF(C28="CP-2",IF('Concrete Plant (CP-2)'!$I$13&gt;0,'Concrete Plant (CP-2)'!$I$13,AJ28*R28),IF(C28="CP-3",IF('Concrete Plant (CP-3)'!$I$13&gt;0,'Concrete Plant (CP-3)'!$I$13,AJ28*R28),IF(C28="CP-4",IF('Concrete Plant (CP-4)'!$I$13&gt;0,'Concrete Plant (CP-4)'!$I$13,AJ28*R28),IF(C28="CP-5",IF('Concrete Plant (CP-5)'!$I$13&gt;0,'Concrete Plant (CP-5)'!$I$13,AJ28*R28),IF(C28="CP-6",IF('Concrete Plant (CP-6)'!$I$13&gt;0,'Concrete Plant (CP-6)'!$I$13,AJ28*R28),IF(C28="CP-7",IF('Concrete Plant (CP-7)'!$I$13&gt;0,'Concrete Plant (CP-7)'!$I$13,AJ28*R28),IF(C28="CP-8",IF('Concrete Plant (CP-8)'!$I$13&gt;0,'Concrete Plant (CP-8)'!$I$13,AJ28*R28),IF(C28="CP-9",IF('Concrete Plant (CP-9)'!$I$13&gt;0,'Concrete Plant (CP-9)'!$I$13,AJ28*R28),IF(C28="CP-10",IF('Concrete Plant (CP-10)'!$I$13&gt;0,'Concrete Plant (CP-10)'!$I$13,AJ28*R28))))))))))))</f>
        <v/>
      </c>
      <c r="AL28" s="38" t="str">
        <f>IF(F28="","",IF(I28&gt;0,I28*0.14*AJ28/2000,IF(H28&gt;0,AJ28*R28*H28/2000,AK28*8760/2000)))</f>
        <v/>
      </c>
      <c r="AM28" s="38" t="str">
        <f>IF(F28="","",T28*AJ28/2000)</f>
        <v/>
      </c>
      <c r="AN28" s="38" t="str">
        <f>IF(F28="","",IF(B28="no",'Emission Factors'!$L$33,'Emission Factors'!$L$34))</f>
        <v/>
      </c>
      <c r="AO28" s="38" t="str">
        <f>IF(F28="","",IF(C28="CP-1",IF('Concrete Plant (CP-1)'!$I$14&gt;0,'Concrete Plant (CP-1)'!$I$14,AN28*R28),IF(C28="CP-2",IF('Concrete Plant (CP-2)'!$I$14&gt;0,'Concrete Plant (CP-2)'!$I$14,AN28*R28),IF(C28="CP-3",IF('Concrete Plant (CP-3)'!$I$14&gt;0,'Concrete Plant (CP-3)'!$I$14,AN28*R28),IF(C28="CP-4",IF('Concrete Plant (CP-4)'!$I$14&gt;0,'Concrete Plant (CP-4)'!$I$14,AN28*R28),IF(C28="CP-5",IF('Concrete Plant (CP-5)'!$I$14&gt;0,'Concrete Plant (CP-5)'!$I$14,AN28*R28),IF(C28="CP-6",IF('Concrete Plant (CP-6)'!$I$14&gt;0,'Concrete Plant (CP-6)'!$I$14,AN28*R28),IF(C28="CP-7",IF('Concrete Plant (CP-7)'!$I$14&gt;0,'Concrete Plant (CP-7)'!$I$14,AN28*R28),IF(C28="CP-8",IF('Concrete Plant (CP-8)'!$I$14&gt;0,'Concrete Plant (CP-8)'!$I$14,AN28*R28),IF(C28="CP-9",IF('Concrete Plant (CP-9)'!$I$14&gt;0,'Concrete Plant (CP-9)'!$I$14,AN28*R28),IF(C28="CP-10",IF('Concrete Plant (CP-10)'!$I$14&gt;0,'Concrete Plant (CP-10)'!$I$14,AN28*R28))))))))))))</f>
        <v/>
      </c>
      <c r="AP28" s="38" t="str">
        <f>IF(F28="","",IF(I28&gt;0,I28*0.14*AN28/2000,IF(H28&gt;0,AN28*R28*H28/2000,AO28*8760/2000)))</f>
        <v/>
      </c>
      <c r="AQ28" s="38" t="str">
        <f>IF(F28="","",T28*AN28/2000)</f>
        <v/>
      </c>
      <c r="AR28" s="38" t="str">
        <f>IF(F28="","",IF(B28="no",'Emission Factors'!$N$33,'Emission Factors'!$N$34))</f>
        <v/>
      </c>
      <c r="AS28" s="38" t="str">
        <f>IF(F28="","",IF(C28="CP-1",IF('Concrete Plant (CP-1)'!$I$15&gt;0,'Concrete Plant (CP-1)'!$I$15,AR28*R28),IF(C28="CP-2",IF('Concrete Plant (CP-2)'!$I$15&gt;0,'Concrete Plant (CP-2)'!$I$15,AR28*R28),IF(C28="CP-3",IF('Concrete Plant (CP-3)'!$I$15&gt;0,'Concrete Plant (CP-3)'!$I$15,AR28*R28),IF(C28="CP-4",IF('Concrete Plant (CP-4)'!$I$15&gt;0,'Concrete Plant (CP-4)'!$I$15,AR28*R28),IF(C28="CP-5",IF('Concrete Plant (CP-5)'!$I$15&gt;0,'Concrete Plant (CP-5)'!$I$15,AR28*R28),IF(C28="CP-6",IF('Concrete Plant (CP-6)'!$I$15&gt;0,'Concrete Plant (CP-6)'!$I$15,AR28*R28),IF(C28="CP-7",IF('Concrete Plant (CP-7)'!$I$15&gt;0,'Concrete Plant (CP-7)'!$I$15,AR28*R28),IF(C28="CP-8",IF('Concrete Plant (CP-8)'!$I$15&gt;0,'Concrete Plant (CP-8)'!$I$15,AR28*R28),IF(C28="CP-9",IF('Concrete Plant (CP-9)'!$I$15&gt;0,'Concrete Plant (CP-9)'!$I$15,AR28*R28),IF(C28="CP-10",IF('Concrete Plant (CP-10)'!$I$15&gt;0,'Concrete Plant (CP-10)'!$I$15,AR28*R28))))))))))))</f>
        <v/>
      </c>
      <c r="AT28" s="38" t="str">
        <f>IF(F28="","",IF(I28&gt;0,I28*0.14*AR28/2000,IF(H28&gt;0,AR28*R28*H28/2000,AS28*8760/2000)))</f>
        <v/>
      </c>
      <c r="AU28" s="38" t="str">
        <f>IF(F28="","",T28*AR28/2000)</f>
        <v/>
      </c>
      <c r="AV28" s="38" t="str">
        <f>IF(F28="","",IF(B28="no",'Emission Factors'!$P$33,'Emission Factors'!$P$34))</f>
        <v/>
      </c>
      <c r="AW28" s="38" t="str">
        <f>IF(F28="","",AV28*R28)</f>
        <v/>
      </c>
      <c r="AX28" s="38" t="str">
        <f>IF(F28="","",IF(I28&gt;0,I28*0.14*AV28/2000,IF(H28&gt;0,AV28*R28*H28/2000,AW28*8760/2000)))</f>
        <v/>
      </c>
      <c r="AY28" s="38" t="str">
        <f>IF(F28="","",T28*AV28/2000)</f>
        <v/>
      </c>
      <c r="AZ28" s="38" t="str">
        <f>IF(F28="","",IF(B28="no",'Emission Factors'!$R$33,'Emission Factors'!$R$34))</f>
        <v/>
      </c>
      <c r="BA28" s="38" t="str">
        <f>IF(F28="","",AZ28*R28)</f>
        <v/>
      </c>
      <c r="BB28" s="38" t="str">
        <f>IF(F28="","",IF(I28&gt;0,I28*0.14*AZ28/2000,IF(H28&gt;0,AZ28*R28*H28/2000,BA28*8760/2000)))</f>
        <v/>
      </c>
      <c r="BC28" s="38" t="str">
        <f>IF(F28="","",T28*AZ28/2000)</f>
        <v/>
      </c>
    </row>
    <row r="29" spans="1:55" ht="12" customHeight="1" x14ac:dyDescent="0.25">
      <c r="B29" s="6" t="str">
        <f t="shared" si="30"/>
        <v>no</v>
      </c>
      <c r="C29" s="34"/>
      <c r="D29" s="34"/>
      <c r="E29" s="34"/>
      <c r="F29" s="35"/>
      <c r="G29" s="34"/>
      <c r="H29" s="36"/>
      <c r="I29" s="36"/>
      <c r="J29" s="115"/>
      <c r="K29" s="36">
        <f t="shared" si="29"/>
        <v>0.5</v>
      </c>
      <c r="L29" s="36"/>
      <c r="M29" s="36"/>
      <c r="N29" s="36"/>
      <c r="O29" s="36"/>
      <c r="P29" s="36"/>
      <c r="Q29" s="36"/>
      <c r="R29" s="39" t="str">
        <f t="shared" si="31"/>
        <v/>
      </c>
      <c r="S29" s="36"/>
      <c r="T29" s="38" t="str">
        <f t="shared" si="32"/>
        <v/>
      </c>
      <c r="U29" s="129"/>
      <c r="V29" s="129">
        <f t="shared" si="33"/>
        <v>0</v>
      </c>
      <c r="W29" s="129" t="str">
        <f t="shared" si="34"/>
        <v/>
      </c>
      <c r="X29" s="38" t="str">
        <f>IF(F29="","",IF(B29="no",'Emission Factors'!$D$33,'Emission Factors'!$D$34))</f>
        <v/>
      </c>
      <c r="Y29" s="38" t="str">
        <f t="shared" ref="Y29:Y48" si="35">IF(F29="","",X29*R29)</f>
        <v/>
      </c>
      <c r="Z29" s="38" t="str">
        <f t="shared" ref="Z29:Z48" si="36">IF(F29="","",IF(I29&gt;0,I29*0.14*X29/2000,IF(H29&gt;0,X29*R29*H29/2000,Y29*8760/2000)))</f>
        <v/>
      </c>
      <c r="AA29" s="38" t="str">
        <f t="shared" ref="AA29:AA48" si="37">IF(F29="","",T29*X29/2000)</f>
        <v/>
      </c>
      <c r="AB29" s="38" t="str">
        <f>IF(F29="","",IF(B29="no",'Emission Factors'!$F$33,'Emission Factors'!$F$34))</f>
        <v/>
      </c>
      <c r="AC29" s="38" t="str">
        <f t="shared" ref="AC29:AC48" si="38">IF(F29="","",AB29*R29)</f>
        <v/>
      </c>
      <c r="AD29" s="38" t="str">
        <f t="shared" ref="AD29:AD48" si="39">IF(F29="","",IF(I29&gt;0,I29*0.14*AB29/2000,IF(H29&gt;0,AB29*R29*H29/2000,AC29*8760/2000)))</f>
        <v/>
      </c>
      <c r="AE29" s="38" t="str">
        <f t="shared" ref="AE29:AE48" si="40">IF(F29="","",T29*AB29/2000)</f>
        <v/>
      </c>
      <c r="AF29" s="38" t="str">
        <f>IF(F29="","",IF(B29="no",'Emission Factors'!$H$33,'Emission Factors'!$H$34))</f>
        <v/>
      </c>
      <c r="AG29" s="38" t="str">
        <f>IF(F29="","",IF(C29="CP-1",IF('Concrete Plant (CP-1)'!$I$12&gt;0,'Concrete Plant (CP-1)'!$I$12,AF29*R29*K29),IF(C29="CP-2",IF('Concrete Plant (CP-2)'!$I$12&gt;0,'Concrete Plant (CP-2)'!$I$12,AF29*R29*K29),IF(C29="CP-3",IF('Concrete Plant (CP-3)'!$I$12&gt;0,'Concrete Plant (CP-3)'!$I$12,AF29*R29*K29),IF(C29="CP-4",IF('Concrete Plant (CP-4)'!$I$12&gt;0,'Concrete Plant (CP-4)'!$I$12,AF29*R29*K29),IF(C29="CP-5",IF('Concrete Plant (CP-5)'!$I$12&gt;0,'Concrete Plant (CP-5)'!$I$12,AF29*R29*K29),IF(C29="CP-6",IF('Concrete Plant (CP-6)'!$I$12&gt;0,'Concrete Plant (CP-6)'!$I$12,AF29*R29*K29),IF(C29="CP-7",IF('Concrete Plant (CP-7)'!$I$12&gt;0,'Concrete Plant (CP-7)'!$I$12,AF29*R29*K29),IF(C29="CP-8",IF('Concrete Plant (CP-8)'!$I$12&gt;0,'Concrete Plant (CP-8)'!$I$12,AF29*R29*K29),IF(C29="CP-9",IF('Concrete Plant (CP-9)'!$I$12&gt;0,'Concrete Plant (CP-9)'!$I$12,AF29*R29*K29),IF(C29="CP-10",IF('Concrete Plant (CP-10)'!$I$12&gt;0,'Concrete Plant (CP-10)'!$I$12,AF29*R29*K29))))))))))))</f>
        <v/>
      </c>
      <c r="AH29" s="38" t="str">
        <f t="shared" si="12"/>
        <v/>
      </c>
      <c r="AI29" s="38" t="str">
        <f t="shared" si="13"/>
        <v/>
      </c>
      <c r="AJ29" s="38" t="str">
        <f>IF(F29="","",IF(B29="no",'Emission Factors'!$J$33,'Emission Factors'!$J$34))</f>
        <v/>
      </c>
      <c r="AK29" s="38" t="str">
        <f>IF(F29="","",IF(C29="CP-1",IF('Concrete Plant (CP-1)'!$I$13&gt;0,'Concrete Plant (CP-1)'!$I$13,AJ29*R29),IF(C29="CP-2",IF('Concrete Plant (CP-2)'!$I$13&gt;0,'Concrete Plant (CP-2)'!$I$13,AJ29*R29),IF(C29="CP-3",IF('Concrete Plant (CP-3)'!$I$13&gt;0,'Concrete Plant (CP-3)'!$I$13,AJ29*R29),IF(C29="CP-4",IF('Concrete Plant (CP-4)'!$I$13&gt;0,'Concrete Plant (CP-4)'!$I$13,AJ29*R29),IF(C29="CP-5",IF('Concrete Plant (CP-5)'!$I$13&gt;0,'Concrete Plant (CP-5)'!$I$13,AJ29*R29),IF(C29="CP-6",IF('Concrete Plant (CP-6)'!$I$13&gt;0,'Concrete Plant (CP-6)'!$I$13,AJ29*R29),IF(C29="CP-7",IF('Concrete Plant (CP-7)'!$I$13&gt;0,'Concrete Plant (CP-7)'!$I$13,AJ29*R29),IF(C29="CP-8",IF('Concrete Plant (CP-8)'!$I$13&gt;0,'Concrete Plant (CP-8)'!$I$13,AJ29*R29),IF(C29="CP-9",IF('Concrete Plant (CP-9)'!$I$13&gt;0,'Concrete Plant (CP-9)'!$I$13,AJ29*R29),IF(C29="CP-10",IF('Concrete Plant (CP-10)'!$I$13&gt;0,'Concrete Plant (CP-10)'!$I$13,AJ29*R29))))))))))))</f>
        <v/>
      </c>
      <c r="AL29" s="38" t="str">
        <f t="shared" ref="AL29:AL48" si="41">IF(F29="","",IF(I29&gt;0,I29*0.14*AJ29/2000,IF(H29&gt;0,AJ29*R29*H29/2000,AK29*8760/2000)))</f>
        <v/>
      </c>
      <c r="AM29" s="38" t="str">
        <f t="shared" ref="AM29:AM48" si="42">IF(F29="","",T29*AJ29/2000)</f>
        <v/>
      </c>
      <c r="AN29" s="38" t="str">
        <f>IF(F29="","",IF(B29="no",'Emission Factors'!$L$33,'Emission Factors'!$L$34))</f>
        <v/>
      </c>
      <c r="AO29" s="38" t="str">
        <f>IF(F29="","",IF(C29="CP-1",IF('Concrete Plant (CP-1)'!$I$14&gt;0,'Concrete Plant (CP-1)'!$I$14,AN29*R29),IF(C29="CP-2",IF('Concrete Plant (CP-2)'!$I$14&gt;0,'Concrete Plant (CP-2)'!$I$14,AN29*R29),IF(C29="CP-3",IF('Concrete Plant (CP-3)'!$I$14&gt;0,'Concrete Plant (CP-3)'!$I$14,AN29*R29),IF(C29="CP-4",IF('Concrete Plant (CP-4)'!$I$14&gt;0,'Concrete Plant (CP-4)'!$I$14,AN29*R29),IF(C29="CP-5",IF('Concrete Plant (CP-5)'!$I$14&gt;0,'Concrete Plant (CP-5)'!$I$14,AN29*R29),IF(C29="CP-6",IF('Concrete Plant (CP-6)'!$I$14&gt;0,'Concrete Plant (CP-6)'!$I$14,AN29*R29),IF(C29="CP-7",IF('Concrete Plant (CP-7)'!$I$14&gt;0,'Concrete Plant (CP-7)'!$I$14,AN29*R29),IF(C29="CP-8",IF('Concrete Plant (CP-8)'!$I$14&gt;0,'Concrete Plant (CP-8)'!$I$14,AN29*R29),IF(C29="CP-9",IF('Concrete Plant (CP-9)'!$I$14&gt;0,'Concrete Plant (CP-9)'!$I$14,AN29*R29),IF(C29="CP-10",IF('Concrete Plant (CP-10)'!$I$14&gt;0,'Concrete Plant (CP-10)'!$I$14,AN29*R29))))))))))))</f>
        <v/>
      </c>
      <c r="AP29" s="38" t="str">
        <f t="shared" ref="AP29:AP48" si="43">IF(F29="","",IF(I29&gt;0,I29*0.14*AN29/2000,IF(H29&gt;0,AN29*R29*H29/2000,AO29*8760/2000)))</f>
        <v/>
      </c>
      <c r="AQ29" s="38" t="str">
        <f t="shared" ref="AQ29:AQ48" si="44">IF(F29="","",T29*AN29/2000)</f>
        <v/>
      </c>
      <c r="AR29" s="38" t="str">
        <f>IF(F29="","",IF(B29="no",'Emission Factors'!$N$33,'Emission Factors'!$N$34))</f>
        <v/>
      </c>
      <c r="AS29" s="38" t="str">
        <f>IF(F29="","",IF(C29="CP-1",IF('Concrete Plant (CP-1)'!$I$15&gt;0,'Concrete Plant (CP-1)'!$I$15,AR29*R29),IF(C29="CP-2",IF('Concrete Plant (CP-2)'!$I$15&gt;0,'Concrete Plant (CP-2)'!$I$15,AR29*R29),IF(C29="CP-3",IF('Concrete Plant (CP-3)'!$I$15&gt;0,'Concrete Plant (CP-3)'!$I$15,AR29*R29),IF(C29="CP-4",IF('Concrete Plant (CP-4)'!$I$15&gt;0,'Concrete Plant (CP-4)'!$I$15,AR29*R29),IF(C29="CP-5",IF('Concrete Plant (CP-5)'!$I$15&gt;0,'Concrete Plant (CP-5)'!$I$15,AR29*R29),IF(C29="CP-6",IF('Concrete Plant (CP-6)'!$I$15&gt;0,'Concrete Plant (CP-6)'!$I$15,AR29*R29),IF(C29="CP-7",IF('Concrete Plant (CP-7)'!$I$15&gt;0,'Concrete Plant (CP-7)'!$I$15,AR29*R29),IF(C29="CP-8",IF('Concrete Plant (CP-8)'!$I$15&gt;0,'Concrete Plant (CP-8)'!$I$15,AR29*R29),IF(C29="CP-9",IF('Concrete Plant (CP-9)'!$I$15&gt;0,'Concrete Plant (CP-9)'!$I$15,AR29*R29),IF(C29="CP-10",IF('Concrete Plant (CP-10)'!$I$15&gt;0,'Concrete Plant (CP-10)'!$I$15,AR29*R29))))))))))))</f>
        <v/>
      </c>
      <c r="AT29" s="38" t="str">
        <f t="shared" ref="AT29:AT48" si="45">IF(F29="","",IF(I29&gt;0,I29*0.14*AR29/2000,IF(H29&gt;0,AR29*R29*H29/2000,AS29*8760/2000)))</f>
        <v/>
      </c>
      <c r="AU29" s="38" t="str">
        <f t="shared" ref="AU29:AU47" si="46">IF(F29="","",T29*AR29/2000)</f>
        <v/>
      </c>
      <c r="AV29" s="38" t="str">
        <f>IF(F29="","",IF(B29="no",'Emission Factors'!$P$33,'Emission Factors'!$P$34))</f>
        <v/>
      </c>
      <c r="AW29" s="38" t="str">
        <f t="shared" ref="AW29:AW48" si="47">IF(F29="","",AV29*R29)</f>
        <v/>
      </c>
      <c r="AX29" s="38" t="str">
        <f t="shared" ref="AX29:AX48" si="48">IF(F29="","",IF(I29&gt;0,I29*0.14*AV29/2000,IF(H29&gt;0,AV29*R29*H29/2000,AW29*8760/2000)))</f>
        <v/>
      </c>
      <c r="AY29" s="38" t="str">
        <f t="shared" ref="AY29:AY48" si="49">IF(F29="","",T29*AV29/2000)</f>
        <v/>
      </c>
      <c r="AZ29" s="38" t="str">
        <f>IF(F29="","",IF(B29="no",'Emission Factors'!$R$33,'Emission Factors'!$R$34))</f>
        <v/>
      </c>
      <c r="BA29" s="38" t="str">
        <f t="shared" ref="BA29:BA48" si="50">IF(F29="","",AZ29*R29)</f>
        <v/>
      </c>
      <c r="BB29" s="38" t="str">
        <f t="shared" ref="BB29:BB48" si="51">IF(F29="","",IF(I29&gt;0,I29*0.14*AZ29/2000,IF(H29&gt;0,AZ29*R29*H29/2000,BA29*8760/2000)))</f>
        <v/>
      </c>
      <c r="BC29" s="38" t="str">
        <f t="shared" ref="BC29:BC48" si="52">IF(F29="","",T29*AZ29/2000)</f>
        <v/>
      </c>
    </row>
    <row r="30" spans="1:55" ht="12" customHeight="1" x14ac:dyDescent="0.25">
      <c r="B30" s="6" t="str">
        <f t="shared" si="30"/>
        <v>no</v>
      </c>
      <c r="C30" s="34"/>
      <c r="D30" s="34"/>
      <c r="E30" s="34"/>
      <c r="F30" s="35"/>
      <c r="G30" s="34"/>
      <c r="H30" s="36"/>
      <c r="I30" s="36"/>
      <c r="J30" s="115"/>
      <c r="K30" s="36">
        <f t="shared" si="29"/>
        <v>0.5</v>
      </c>
      <c r="L30" s="36"/>
      <c r="M30" s="36"/>
      <c r="N30" s="36"/>
      <c r="O30" s="36"/>
      <c r="P30" s="36"/>
      <c r="Q30" s="36"/>
      <c r="R30" s="39" t="str">
        <f t="shared" si="31"/>
        <v/>
      </c>
      <c r="S30" s="36"/>
      <c r="T30" s="38" t="str">
        <f t="shared" si="32"/>
        <v/>
      </c>
      <c r="U30" s="129"/>
      <c r="V30" s="129">
        <f t="shared" si="33"/>
        <v>0</v>
      </c>
      <c r="W30" s="129" t="str">
        <f t="shared" si="34"/>
        <v/>
      </c>
      <c r="X30" s="38" t="str">
        <f>IF(F30="","",IF(B30="no",'Emission Factors'!$D$33,'Emission Factors'!$D$34))</f>
        <v/>
      </c>
      <c r="Y30" s="38" t="str">
        <f t="shared" si="35"/>
        <v/>
      </c>
      <c r="Z30" s="38" t="str">
        <f t="shared" si="36"/>
        <v/>
      </c>
      <c r="AA30" s="38" t="str">
        <f t="shared" si="37"/>
        <v/>
      </c>
      <c r="AB30" s="38" t="str">
        <f>IF(F30="","",IF(B30="no",'Emission Factors'!$F$33,'Emission Factors'!$F$34))</f>
        <v/>
      </c>
      <c r="AC30" s="38" t="str">
        <f t="shared" si="38"/>
        <v/>
      </c>
      <c r="AD30" s="38" t="str">
        <f t="shared" si="39"/>
        <v/>
      </c>
      <c r="AE30" s="38" t="str">
        <f t="shared" si="40"/>
        <v/>
      </c>
      <c r="AF30" s="38" t="str">
        <f>IF(F30="","",IF(B30="no",'Emission Factors'!$H$33,'Emission Factors'!$H$34))</f>
        <v/>
      </c>
      <c r="AG30" s="38" t="str">
        <f>IF(F30="","",IF(C30="CP-1",IF('Concrete Plant (CP-1)'!$I$12&gt;0,'Concrete Plant (CP-1)'!$I$12,AF30*R30*K30),IF(C30="CP-2",IF('Concrete Plant (CP-2)'!$I$12&gt;0,'Concrete Plant (CP-2)'!$I$12,AF30*R30*K30),IF(C30="CP-3",IF('Concrete Plant (CP-3)'!$I$12&gt;0,'Concrete Plant (CP-3)'!$I$12,AF30*R30*K30),IF(C30="CP-4",IF('Concrete Plant (CP-4)'!$I$12&gt;0,'Concrete Plant (CP-4)'!$I$12,AF30*R30*K30),IF(C30="CP-5",IF('Concrete Plant (CP-5)'!$I$12&gt;0,'Concrete Plant (CP-5)'!$I$12,AF30*R30*K30),IF(C30="CP-6",IF('Concrete Plant (CP-6)'!$I$12&gt;0,'Concrete Plant (CP-6)'!$I$12,AF30*R30*K30),IF(C30="CP-7",IF('Concrete Plant (CP-7)'!$I$12&gt;0,'Concrete Plant (CP-7)'!$I$12,AF30*R30*K30),IF(C30="CP-8",IF('Concrete Plant (CP-8)'!$I$12&gt;0,'Concrete Plant (CP-8)'!$I$12,AF30*R30*K30),IF(C30="CP-9",IF('Concrete Plant (CP-9)'!$I$12&gt;0,'Concrete Plant (CP-9)'!$I$12,AF30*R30*K30),IF(C30="CP-10",IF('Concrete Plant (CP-10)'!$I$12&gt;0,'Concrete Plant (CP-10)'!$I$12,AF30*R30*K30))))))))))))</f>
        <v/>
      </c>
      <c r="AH30" s="38" t="str">
        <f t="shared" si="12"/>
        <v/>
      </c>
      <c r="AI30" s="38" t="str">
        <f t="shared" si="13"/>
        <v/>
      </c>
      <c r="AJ30" s="38" t="str">
        <f>IF(F30="","",IF(B30="no",'Emission Factors'!$J$33,'Emission Factors'!$J$34))</f>
        <v/>
      </c>
      <c r="AK30" s="38" t="str">
        <f>IF(F30="","",IF(C30="CP-1",IF('Concrete Plant (CP-1)'!$I$13&gt;0,'Concrete Plant (CP-1)'!$I$13,AJ30*R30),IF(C30="CP-2",IF('Concrete Plant (CP-2)'!$I$13&gt;0,'Concrete Plant (CP-2)'!$I$13,AJ30*R30),IF(C30="CP-3",IF('Concrete Plant (CP-3)'!$I$13&gt;0,'Concrete Plant (CP-3)'!$I$13,AJ30*R30),IF(C30="CP-4",IF('Concrete Plant (CP-4)'!$I$13&gt;0,'Concrete Plant (CP-4)'!$I$13,AJ30*R30),IF(C30="CP-5",IF('Concrete Plant (CP-5)'!$I$13&gt;0,'Concrete Plant (CP-5)'!$I$13,AJ30*R30),IF(C30="CP-6",IF('Concrete Plant (CP-6)'!$I$13&gt;0,'Concrete Plant (CP-6)'!$I$13,AJ30*R30),IF(C30="CP-7",IF('Concrete Plant (CP-7)'!$I$13&gt;0,'Concrete Plant (CP-7)'!$I$13,AJ30*R30),IF(C30="CP-8",IF('Concrete Plant (CP-8)'!$I$13&gt;0,'Concrete Plant (CP-8)'!$I$13,AJ30*R30),IF(C30="CP-9",IF('Concrete Plant (CP-9)'!$I$13&gt;0,'Concrete Plant (CP-9)'!$I$13,AJ30*R30),IF(C30="CP-10",IF('Concrete Plant (CP-10)'!$I$13&gt;0,'Concrete Plant (CP-10)'!$I$13,AJ30*R30))))))))))))</f>
        <v/>
      </c>
      <c r="AL30" s="38" t="str">
        <f t="shared" si="41"/>
        <v/>
      </c>
      <c r="AM30" s="38" t="str">
        <f t="shared" si="42"/>
        <v/>
      </c>
      <c r="AN30" s="38" t="str">
        <f>IF(F30="","",IF(B30="no",'Emission Factors'!$L$33,'Emission Factors'!$L$34))</f>
        <v/>
      </c>
      <c r="AO30" s="38" t="str">
        <f>IF(F30="","",IF(C30="CP-1",IF('Concrete Plant (CP-1)'!$I$14&gt;0,'Concrete Plant (CP-1)'!$I$14,AN30*R30),IF(C30="CP-2",IF('Concrete Plant (CP-2)'!$I$14&gt;0,'Concrete Plant (CP-2)'!$I$14,AN30*R30),IF(C30="CP-3",IF('Concrete Plant (CP-3)'!$I$14&gt;0,'Concrete Plant (CP-3)'!$I$14,AN30*R30),IF(C30="CP-4",IF('Concrete Plant (CP-4)'!$I$14&gt;0,'Concrete Plant (CP-4)'!$I$14,AN30*R30),IF(C30="CP-5",IF('Concrete Plant (CP-5)'!$I$14&gt;0,'Concrete Plant (CP-5)'!$I$14,AN30*R30),IF(C30="CP-6",IF('Concrete Plant (CP-6)'!$I$14&gt;0,'Concrete Plant (CP-6)'!$I$14,AN30*R30),IF(C30="CP-7",IF('Concrete Plant (CP-7)'!$I$14&gt;0,'Concrete Plant (CP-7)'!$I$14,AN30*R30),IF(C30="CP-8",IF('Concrete Plant (CP-8)'!$I$14&gt;0,'Concrete Plant (CP-8)'!$I$14,AN30*R30),IF(C30="CP-9",IF('Concrete Plant (CP-9)'!$I$14&gt;0,'Concrete Plant (CP-9)'!$I$14,AN30*R30),IF(C30="CP-10",IF('Concrete Plant (CP-10)'!$I$14&gt;0,'Concrete Plant (CP-10)'!$I$14,AN30*R30))))))))))))</f>
        <v/>
      </c>
      <c r="AP30" s="38" t="str">
        <f t="shared" si="43"/>
        <v/>
      </c>
      <c r="AQ30" s="38" t="str">
        <f t="shared" si="44"/>
        <v/>
      </c>
      <c r="AR30" s="38" t="str">
        <f>IF(F30="","",IF(B30="no",'Emission Factors'!$N$33,'Emission Factors'!$N$34))</f>
        <v/>
      </c>
      <c r="AS30" s="38" t="str">
        <f>IF(F30="","",IF(C30="CP-1",IF('Concrete Plant (CP-1)'!$I$15&gt;0,'Concrete Plant (CP-1)'!$I$15,AR30*R30),IF(C30="CP-2",IF('Concrete Plant (CP-2)'!$I$15&gt;0,'Concrete Plant (CP-2)'!$I$15,AR30*R30),IF(C30="CP-3",IF('Concrete Plant (CP-3)'!$I$15&gt;0,'Concrete Plant (CP-3)'!$I$15,AR30*R30),IF(C30="CP-4",IF('Concrete Plant (CP-4)'!$I$15&gt;0,'Concrete Plant (CP-4)'!$I$15,AR30*R30),IF(C30="CP-5",IF('Concrete Plant (CP-5)'!$I$15&gt;0,'Concrete Plant (CP-5)'!$I$15,AR30*R30),IF(C30="CP-6",IF('Concrete Plant (CP-6)'!$I$15&gt;0,'Concrete Plant (CP-6)'!$I$15,AR30*R30),IF(C30="CP-7",IF('Concrete Plant (CP-7)'!$I$15&gt;0,'Concrete Plant (CP-7)'!$I$15,AR30*R30),IF(C30="CP-8",IF('Concrete Plant (CP-8)'!$I$15&gt;0,'Concrete Plant (CP-8)'!$I$15,AR30*R30),IF(C30="CP-9",IF('Concrete Plant (CP-9)'!$I$15&gt;0,'Concrete Plant (CP-9)'!$I$15,AR30*R30),IF(C30="CP-10",IF('Concrete Plant (CP-10)'!$I$15&gt;0,'Concrete Plant (CP-10)'!$I$15,AR30*R30))))))))))))</f>
        <v/>
      </c>
      <c r="AT30" s="38" t="str">
        <f t="shared" si="45"/>
        <v/>
      </c>
      <c r="AU30" s="38" t="str">
        <f t="shared" si="46"/>
        <v/>
      </c>
      <c r="AV30" s="38" t="str">
        <f>IF(F30="","",IF(B30="no",'Emission Factors'!$P$33,'Emission Factors'!$P$34))</f>
        <v/>
      </c>
      <c r="AW30" s="38" t="str">
        <f t="shared" si="47"/>
        <v/>
      </c>
      <c r="AX30" s="38" t="str">
        <f t="shared" si="48"/>
        <v/>
      </c>
      <c r="AY30" s="38" t="str">
        <f t="shared" si="49"/>
        <v/>
      </c>
      <c r="AZ30" s="38" t="str">
        <f>IF(F30="","",IF(B30="no",'Emission Factors'!$R$33,'Emission Factors'!$R$34))</f>
        <v/>
      </c>
      <c r="BA30" s="38" t="str">
        <f t="shared" si="50"/>
        <v/>
      </c>
      <c r="BB30" s="38" t="str">
        <f t="shared" si="51"/>
        <v/>
      </c>
      <c r="BC30" s="38" t="str">
        <f t="shared" si="52"/>
        <v/>
      </c>
    </row>
    <row r="31" spans="1:55" ht="12" customHeight="1" x14ac:dyDescent="0.25">
      <c r="B31" s="6" t="str">
        <f t="shared" si="30"/>
        <v>no</v>
      </c>
      <c r="C31" s="34"/>
      <c r="D31" s="34"/>
      <c r="E31" s="34"/>
      <c r="F31" s="35"/>
      <c r="G31" s="34"/>
      <c r="H31" s="36"/>
      <c r="I31" s="36"/>
      <c r="J31" s="115"/>
      <c r="K31" s="36">
        <f t="shared" si="29"/>
        <v>0.5</v>
      </c>
      <c r="L31" s="36"/>
      <c r="M31" s="36"/>
      <c r="N31" s="36"/>
      <c r="O31" s="36"/>
      <c r="P31" s="36"/>
      <c r="Q31" s="36"/>
      <c r="R31" s="39" t="str">
        <f t="shared" si="31"/>
        <v/>
      </c>
      <c r="S31" s="36"/>
      <c r="T31" s="38" t="str">
        <f t="shared" si="32"/>
        <v/>
      </c>
      <c r="U31" s="129"/>
      <c r="V31" s="129">
        <f t="shared" si="33"/>
        <v>0</v>
      </c>
      <c r="W31" s="129" t="str">
        <f t="shared" si="34"/>
        <v/>
      </c>
      <c r="X31" s="38" t="str">
        <f>IF(F31="","",IF(B31="no",'Emission Factors'!$D$33,'Emission Factors'!$D$34))</f>
        <v/>
      </c>
      <c r="Y31" s="38" t="str">
        <f t="shared" si="35"/>
        <v/>
      </c>
      <c r="Z31" s="38" t="str">
        <f t="shared" si="36"/>
        <v/>
      </c>
      <c r="AA31" s="38" t="str">
        <f t="shared" si="37"/>
        <v/>
      </c>
      <c r="AB31" s="38" t="str">
        <f>IF(F31="","",IF(B31="no",'Emission Factors'!$F$33,'Emission Factors'!$F$34))</f>
        <v/>
      </c>
      <c r="AC31" s="38" t="str">
        <f t="shared" si="38"/>
        <v/>
      </c>
      <c r="AD31" s="38" t="str">
        <f t="shared" si="39"/>
        <v/>
      </c>
      <c r="AE31" s="38" t="str">
        <f t="shared" si="40"/>
        <v/>
      </c>
      <c r="AF31" s="38" t="str">
        <f>IF(F31="","",IF(B31="no",'Emission Factors'!$H$33,'Emission Factors'!$H$34))</f>
        <v/>
      </c>
      <c r="AG31" s="38" t="str">
        <f>IF(F31="","",IF(C31="CP-1",IF('Concrete Plant (CP-1)'!$I$12&gt;0,'Concrete Plant (CP-1)'!$I$12,AF31*R31*K31),IF(C31="CP-2",IF('Concrete Plant (CP-2)'!$I$12&gt;0,'Concrete Plant (CP-2)'!$I$12,AF31*R31*K31),IF(C31="CP-3",IF('Concrete Plant (CP-3)'!$I$12&gt;0,'Concrete Plant (CP-3)'!$I$12,AF31*R31*K31),IF(C31="CP-4",IF('Concrete Plant (CP-4)'!$I$12&gt;0,'Concrete Plant (CP-4)'!$I$12,AF31*R31*K31),IF(C31="CP-5",IF('Concrete Plant (CP-5)'!$I$12&gt;0,'Concrete Plant (CP-5)'!$I$12,AF31*R31*K31),IF(C31="CP-6",IF('Concrete Plant (CP-6)'!$I$12&gt;0,'Concrete Plant (CP-6)'!$I$12,AF31*R31*K31),IF(C31="CP-7",IF('Concrete Plant (CP-7)'!$I$12&gt;0,'Concrete Plant (CP-7)'!$I$12,AF31*R31*K31),IF(C31="CP-8",IF('Concrete Plant (CP-8)'!$I$12&gt;0,'Concrete Plant (CP-8)'!$I$12,AF31*R31*K31),IF(C31="CP-9",IF('Concrete Plant (CP-9)'!$I$12&gt;0,'Concrete Plant (CP-9)'!$I$12,AF31*R31*K31),IF(C31="CP-10",IF('Concrete Plant (CP-10)'!$I$12&gt;0,'Concrete Plant (CP-10)'!$I$12,AF31*R31*K31))))))))))))</f>
        <v/>
      </c>
      <c r="AH31" s="38" t="str">
        <f t="shared" si="12"/>
        <v/>
      </c>
      <c r="AI31" s="38" t="str">
        <f t="shared" si="13"/>
        <v/>
      </c>
      <c r="AJ31" s="38" t="str">
        <f>IF(F31="","",IF(B31="no",'Emission Factors'!$J$33,'Emission Factors'!$J$34))</f>
        <v/>
      </c>
      <c r="AK31" s="38" t="str">
        <f>IF(F31="","",IF(C31="CP-1",IF('Concrete Plant (CP-1)'!$I$13&gt;0,'Concrete Plant (CP-1)'!$I$13,AJ31*R31),IF(C31="CP-2",IF('Concrete Plant (CP-2)'!$I$13&gt;0,'Concrete Plant (CP-2)'!$I$13,AJ31*R31),IF(C31="CP-3",IF('Concrete Plant (CP-3)'!$I$13&gt;0,'Concrete Plant (CP-3)'!$I$13,AJ31*R31),IF(C31="CP-4",IF('Concrete Plant (CP-4)'!$I$13&gt;0,'Concrete Plant (CP-4)'!$I$13,AJ31*R31),IF(C31="CP-5",IF('Concrete Plant (CP-5)'!$I$13&gt;0,'Concrete Plant (CP-5)'!$I$13,AJ31*R31),IF(C31="CP-6",IF('Concrete Plant (CP-6)'!$I$13&gt;0,'Concrete Plant (CP-6)'!$I$13,AJ31*R31),IF(C31="CP-7",IF('Concrete Plant (CP-7)'!$I$13&gt;0,'Concrete Plant (CP-7)'!$I$13,AJ31*R31),IF(C31="CP-8",IF('Concrete Plant (CP-8)'!$I$13&gt;0,'Concrete Plant (CP-8)'!$I$13,AJ31*R31),IF(C31="CP-9",IF('Concrete Plant (CP-9)'!$I$13&gt;0,'Concrete Plant (CP-9)'!$I$13,AJ31*R31),IF(C31="CP-10",IF('Concrete Plant (CP-10)'!$I$13&gt;0,'Concrete Plant (CP-10)'!$I$13,AJ31*R31))))))))))))</f>
        <v/>
      </c>
      <c r="AL31" s="38" t="str">
        <f t="shared" si="41"/>
        <v/>
      </c>
      <c r="AM31" s="38" t="str">
        <f t="shared" si="42"/>
        <v/>
      </c>
      <c r="AN31" s="38" t="str">
        <f>IF(F31="","",IF(B31="no",'Emission Factors'!$L$33,'Emission Factors'!$L$34))</f>
        <v/>
      </c>
      <c r="AO31" s="38" t="str">
        <f>IF(F31="","",IF(C31="CP-1",IF('Concrete Plant (CP-1)'!$I$14&gt;0,'Concrete Plant (CP-1)'!$I$14,AN31*R31),IF(C31="CP-2",IF('Concrete Plant (CP-2)'!$I$14&gt;0,'Concrete Plant (CP-2)'!$I$14,AN31*R31),IF(C31="CP-3",IF('Concrete Plant (CP-3)'!$I$14&gt;0,'Concrete Plant (CP-3)'!$I$14,AN31*R31),IF(C31="CP-4",IF('Concrete Plant (CP-4)'!$I$14&gt;0,'Concrete Plant (CP-4)'!$I$14,AN31*R31),IF(C31="CP-5",IF('Concrete Plant (CP-5)'!$I$14&gt;0,'Concrete Plant (CP-5)'!$I$14,AN31*R31),IF(C31="CP-6",IF('Concrete Plant (CP-6)'!$I$14&gt;0,'Concrete Plant (CP-6)'!$I$14,AN31*R31),IF(C31="CP-7",IF('Concrete Plant (CP-7)'!$I$14&gt;0,'Concrete Plant (CP-7)'!$I$14,AN31*R31),IF(C31="CP-8",IF('Concrete Plant (CP-8)'!$I$14&gt;0,'Concrete Plant (CP-8)'!$I$14,AN31*R31),IF(C31="CP-9",IF('Concrete Plant (CP-9)'!$I$14&gt;0,'Concrete Plant (CP-9)'!$I$14,AN31*R31),IF(C31="CP-10",IF('Concrete Plant (CP-10)'!$I$14&gt;0,'Concrete Plant (CP-10)'!$I$14,AN31*R31))))))))))))</f>
        <v/>
      </c>
      <c r="AP31" s="38" t="str">
        <f t="shared" si="43"/>
        <v/>
      </c>
      <c r="AQ31" s="38" t="str">
        <f t="shared" si="44"/>
        <v/>
      </c>
      <c r="AR31" s="38" t="str">
        <f>IF(F31="","",IF(B31="no",'Emission Factors'!$N$33,'Emission Factors'!$N$34))</f>
        <v/>
      </c>
      <c r="AS31" s="38" t="str">
        <f>IF(F31="","",IF(C31="CP-1",IF('Concrete Plant (CP-1)'!$I$15&gt;0,'Concrete Plant (CP-1)'!$I$15,AR31*R31),IF(C31="CP-2",IF('Concrete Plant (CP-2)'!$I$15&gt;0,'Concrete Plant (CP-2)'!$I$15,AR31*R31),IF(C31="CP-3",IF('Concrete Plant (CP-3)'!$I$15&gt;0,'Concrete Plant (CP-3)'!$I$15,AR31*R31),IF(C31="CP-4",IF('Concrete Plant (CP-4)'!$I$15&gt;0,'Concrete Plant (CP-4)'!$I$15,AR31*R31),IF(C31="CP-5",IF('Concrete Plant (CP-5)'!$I$15&gt;0,'Concrete Plant (CP-5)'!$I$15,AR31*R31),IF(C31="CP-6",IF('Concrete Plant (CP-6)'!$I$15&gt;0,'Concrete Plant (CP-6)'!$I$15,AR31*R31),IF(C31="CP-7",IF('Concrete Plant (CP-7)'!$I$15&gt;0,'Concrete Plant (CP-7)'!$I$15,AR31*R31),IF(C31="CP-8",IF('Concrete Plant (CP-8)'!$I$15&gt;0,'Concrete Plant (CP-8)'!$I$15,AR31*R31),IF(C31="CP-9",IF('Concrete Plant (CP-9)'!$I$15&gt;0,'Concrete Plant (CP-9)'!$I$15,AR31*R31),IF(C31="CP-10",IF('Concrete Plant (CP-10)'!$I$15&gt;0,'Concrete Plant (CP-10)'!$I$15,AR31*R31))))))))))))</f>
        <v/>
      </c>
      <c r="AT31" s="38" t="str">
        <f t="shared" si="45"/>
        <v/>
      </c>
      <c r="AU31" s="38" t="str">
        <f t="shared" si="46"/>
        <v/>
      </c>
      <c r="AV31" s="38" t="str">
        <f>IF(F31="","",IF(B31="no",'Emission Factors'!$P$33,'Emission Factors'!$P$34))</f>
        <v/>
      </c>
      <c r="AW31" s="38" t="str">
        <f t="shared" si="47"/>
        <v/>
      </c>
      <c r="AX31" s="38" t="str">
        <f t="shared" si="48"/>
        <v/>
      </c>
      <c r="AY31" s="38" t="str">
        <f t="shared" si="49"/>
        <v/>
      </c>
      <c r="AZ31" s="38" t="str">
        <f>IF(F31="","",IF(B31="no",'Emission Factors'!$R$33,'Emission Factors'!$R$34))</f>
        <v/>
      </c>
      <c r="BA31" s="38" t="str">
        <f t="shared" si="50"/>
        <v/>
      </c>
      <c r="BB31" s="38" t="str">
        <f t="shared" si="51"/>
        <v/>
      </c>
      <c r="BC31" s="38" t="str">
        <f t="shared" si="52"/>
        <v/>
      </c>
    </row>
    <row r="32" spans="1:55" ht="12" customHeight="1" x14ac:dyDescent="0.25">
      <c r="B32" s="6" t="str">
        <f t="shared" si="30"/>
        <v>no</v>
      </c>
      <c r="C32" s="34"/>
      <c r="D32" s="34"/>
      <c r="E32" s="34"/>
      <c r="F32" s="35"/>
      <c r="G32" s="34"/>
      <c r="H32" s="36"/>
      <c r="I32" s="36"/>
      <c r="J32" s="115"/>
      <c r="K32" s="36">
        <f t="shared" si="29"/>
        <v>0.5</v>
      </c>
      <c r="L32" s="36"/>
      <c r="M32" s="36"/>
      <c r="N32" s="36"/>
      <c r="O32" s="36"/>
      <c r="P32" s="36"/>
      <c r="Q32" s="36"/>
      <c r="R32" s="39" t="str">
        <f t="shared" si="31"/>
        <v/>
      </c>
      <c r="S32" s="36"/>
      <c r="T32" s="38" t="str">
        <f t="shared" si="32"/>
        <v/>
      </c>
      <c r="U32" s="129"/>
      <c r="V32" s="129">
        <f t="shared" si="33"/>
        <v>0</v>
      </c>
      <c r="W32" s="129" t="str">
        <f t="shared" si="34"/>
        <v/>
      </c>
      <c r="X32" s="38" t="str">
        <f>IF(F32="","",IF(B32="no",'Emission Factors'!$D$33,'Emission Factors'!$D$34))</f>
        <v/>
      </c>
      <c r="Y32" s="38" t="str">
        <f t="shared" si="35"/>
        <v/>
      </c>
      <c r="Z32" s="38" t="str">
        <f t="shared" si="36"/>
        <v/>
      </c>
      <c r="AA32" s="38" t="str">
        <f t="shared" si="37"/>
        <v/>
      </c>
      <c r="AB32" s="38" t="str">
        <f>IF(F32="","",IF(B32="no",'Emission Factors'!$F$33,'Emission Factors'!$F$34))</f>
        <v/>
      </c>
      <c r="AC32" s="38" t="str">
        <f t="shared" si="38"/>
        <v/>
      </c>
      <c r="AD32" s="38" t="str">
        <f t="shared" si="39"/>
        <v/>
      </c>
      <c r="AE32" s="38" t="str">
        <f t="shared" si="40"/>
        <v/>
      </c>
      <c r="AF32" s="38" t="str">
        <f>IF(F32="","",IF(B32="no",'Emission Factors'!$H$33,'Emission Factors'!$H$34))</f>
        <v/>
      </c>
      <c r="AG32" s="38" t="str">
        <f>IF(F32="","",IF(C32="CP-1",IF('Concrete Plant (CP-1)'!$I$12&gt;0,'Concrete Plant (CP-1)'!$I$12,AF32*R32*K32),IF(C32="CP-2",IF('Concrete Plant (CP-2)'!$I$12&gt;0,'Concrete Plant (CP-2)'!$I$12,AF32*R32*K32),IF(C32="CP-3",IF('Concrete Plant (CP-3)'!$I$12&gt;0,'Concrete Plant (CP-3)'!$I$12,AF32*R32*K32),IF(C32="CP-4",IF('Concrete Plant (CP-4)'!$I$12&gt;0,'Concrete Plant (CP-4)'!$I$12,AF32*R32*K32),IF(C32="CP-5",IF('Concrete Plant (CP-5)'!$I$12&gt;0,'Concrete Plant (CP-5)'!$I$12,AF32*R32*K32),IF(C32="CP-6",IF('Concrete Plant (CP-6)'!$I$12&gt;0,'Concrete Plant (CP-6)'!$I$12,AF32*R32*K32),IF(C32="CP-7",IF('Concrete Plant (CP-7)'!$I$12&gt;0,'Concrete Plant (CP-7)'!$I$12,AF32*R32*K32),IF(C32="CP-8",IF('Concrete Plant (CP-8)'!$I$12&gt;0,'Concrete Plant (CP-8)'!$I$12,AF32*R32*K32),IF(C32="CP-9",IF('Concrete Plant (CP-9)'!$I$12&gt;0,'Concrete Plant (CP-9)'!$I$12,AF32*R32*K32),IF(C32="CP-10",IF('Concrete Plant (CP-10)'!$I$12&gt;0,'Concrete Plant (CP-10)'!$I$12,AF32*R32*K32))))))))))))</f>
        <v/>
      </c>
      <c r="AH32" s="38" t="str">
        <f t="shared" si="12"/>
        <v/>
      </c>
      <c r="AI32" s="38" t="str">
        <f t="shared" si="13"/>
        <v/>
      </c>
      <c r="AJ32" s="38" t="str">
        <f>IF(F32="","",IF(B32="no",'Emission Factors'!$J$33,'Emission Factors'!$J$34))</f>
        <v/>
      </c>
      <c r="AK32" s="38" t="str">
        <f>IF(F32="","",IF(C32="CP-1",IF('Concrete Plant (CP-1)'!$I$13&gt;0,'Concrete Plant (CP-1)'!$I$13,AJ32*R32),IF(C32="CP-2",IF('Concrete Plant (CP-2)'!$I$13&gt;0,'Concrete Plant (CP-2)'!$I$13,AJ32*R32),IF(C32="CP-3",IF('Concrete Plant (CP-3)'!$I$13&gt;0,'Concrete Plant (CP-3)'!$I$13,AJ32*R32),IF(C32="CP-4",IF('Concrete Plant (CP-4)'!$I$13&gt;0,'Concrete Plant (CP-4)'!$I$13,AJ32*R32),IF(C32="CP-5",IF('Concrete Plant (CP-5)'!$I$13&gt;0,'Concrete Plant (CP-5)'!$I$13,AJ32*R32),IF(C32="CP-6",IF('Concrete Plant (CP-6)'!$I$13&gt;0,'Concrete Plant (CP-6)'!$I$13,AJ32*R32),IF(C32="CP-7",IF('Concrete Plant (CP-7)'!$I$13&gt;0,'Concrete Plant (CP-7)'!$I$13,AJ32*R32),IF(C32="CP-8",IF('Concrete Plant (CP-8)'!$I$13&gt;0,'Concrete Plant (CP-8)'!$I$13,AJ32*R32),IF(C32="CP-9",IF('Concrete Plant (CP-9)'!$I$13&gt;0,'Concrete Plant (CP-9)'!$I$13,AJ32*R32),IF(C32="CP-10",IF('Concrete Plant (CP-10)'!$I$13&gt;0,'Concrete Plant (CP-10)'!$I$13,AJ32*R32))))))))))))</f>
        <v/>
      </c>
      <c r="AL32" s="38" t="str">
        <f t="shared" si="41"/>
        <v/>
      </c>
      <c r="AM32" s="38" t="str">
        <f t="shared" si="42"/>
        <v/>
      </c>
      <c r="AN32" s="38" t="str">
        <f>IF(F32="","",IF(B32="no",'Emission Factors'!$L$33,'Emission Factors'!$L$34))</f>
        <v/>
      </c>
      <c r="AO32" s="38" t="str">
        <f>IF(F32="","",IF(C32="CP-1",IF('Concrete Plant (CP-1)'!$I$14&gt;0,'Concrete Plant (CP-1)'!$I$14,AN32*R32),IF(C32="CP-2",IF('Concrete Plant (CP-2)'!$I$14&gt;0,'Concrete Plant (CP-2)'!$I$14,AN32*R32),IF(C32="CP-3",IF('Concrete Plant (CP-3)'!$I$14&gt;0,'Concrete Plant (CP-3)'!$I$14,AN32*R32),IF(C32="CP-4",IF('Concrete Plant (CP-4)'!$I$14&gt;0,'Concrete Plant (CP-4)'!$I$14,AN32*R32),IF(C32="CP-5",IF('Concrete Plant (CP-5)'!$I$14&gt;0,'Concrete Plant (CP-5)'!$I$14,AN32*R32),IF(C32="CP-6",IF('Concrete Plant (CP-6)'!$I$14&gt;0,'Concrete Plant (CP-6)'!$I$14,AN32*R32),IF(C32="CP-7",IF('Concrete Plant (CP-7)'!$I$14&gt;0,'Concrete Plant (CP-7)'!$I$14,AN32*R32),IF(C32="CP-8",IF('Concrete Plant (CP-8)'!$I$14&gt;0,'Concrete Plant (CP-8)'!$I$14,AN32*R32),IF(C32="CP-9",IF('Concrete Plant (CP-9)'!$I$14&gt;0,'Concrete Plant (CP-9)'!$I$14,AN32*R32),IF(C32="CP-10",IF('Concrete Plant (CP-10)'!$I$14&gt;0,'Concrete Plant (CP-10)'!$I$14,AN32*R32))))))))))))</f>
        <v/>
      </c>
      <c r="AP32" s="38" t="str">
        <f t="shared" si="43"/>
        <v/>
      </c>
      <c r="AQ32" s="38" t="str">
        <f t="shared" si="44"/>
        <v/>
      </c>
      <c r="AR32" s="38" t="str">
        <f>IF(F32="","",IF(B32="no",'Emission Factors'!$N$33,'Emission Factors'!$N$34))</f>
        <v/>
      </c>
      <c r="AS32" s="38" t="str">
        <f>IF(F32="","",IF(C32="CP-1",IF('Concrete Plant (CP-1)'!$I$15&gt;0,'Concrete Plant (CP-1)'!$I$15,AR32*R32),IF(C32="CP-2",IF('Concrete Plant (CP-2)'!$I$15&gt;0,'Concrete Plant (CP-2)'!$I$15,AR32*R32),IF(C32="CP-3",IF('Concrete Plant (CP-3)'!$I$15&gt;0,'Concrete Plant (CP-3)'!$I$15,AR32*R32),IF(C32="CP-4",IF('Concrete Plant (CP-4)'!$I$15&gt;0,'Concrete Plant (CP-4)'!$I$15,AR32*R32),IF(C32="CP-5",IF('Concrete Plant (CP-5)'!$I$15&gt;0,'Concrete Plant (CP-5)'!$I$15,AR32*R32),IF(C32="CP-6",IF('Concrete Plant (CP-6)'!$I$15&gt;0,'Concrete Plant (CP-6)'!$I$15,AR32*R32),IF(C32="CP-7",IF('Concrete Plant (CP-7)'!$I$15&gt;0,'Concrete Plant (CP-7)'!$I$15,AR32*R32),IF(C32="CP-8",IF('Concrete Plant (CP-8)'!$I$15&gt;0,'Concrete Plant (CP-8)'!$I$15,AR32*R32),IF(C32="CP-9",IF('Concrete Plant (CP-9)'!$I$15&gt;0,'Concrete Plant (CP-9)'!$I$15,AR32*R32),IF(C32="CP-10",IF('Concrete Plant (CP-10)'!$I$15&gt;0,'Concrete Plant (CP-10)'!$I$15,AR32*R32))))))))))))</f>
        <v/>
      </c>
      <c r="AT32" s="38" t="str">
        <f t="shared" si="45"/>
        <v/>
      </c>
      <c r="AU32" s="38" t="str">
        <f t="shared" si="46"/>
        <v/>
      </c>
      <c r="AV32" s="38" t="str">
        <f>IF(F32="","",IF(B32="no",'Emission Factors'!$P$33,'Emission Factors'!$P$34))</f>
        <v/>
      </c>
      <c r="AW32" s="38" t="str">
        <f t="shared" si="47"/>
        <v/>
      </c>
      <c r="AX32" s="38" t="str">
        <f t="shared" si="48"/>
        <v/>
      </c>
      <c r="AY32" s="38" t="str">
        <f t="shared" si="49"/>
        <v/>
      </c>
      <c r="AZ32" s="38" t="str">
        <f>IF(F32="","",IF(B32="no",'Emission Factors'!$R$33,'Emission Factors'!$R$34))</f>
        <v/>
      </c>
      <c r="BA32" s="38" t="str">
        <f t="shared" si="50"/>
        <v/>
      </c>
      <c r="BB32" s="38" t="str">
        <f t="shared" si="51"/>
        <v/>
      </c>
      <c r="BC32" s="38" t="str">
        <f t="shared" si="52"/>
        <v/>
      </c>
    </row>
    <row r="33" spans="2:55" ht="12" customHeight="1" x14ac:dyDescent="0.25">
      <c r="B33" s="6" t="str">
        <f t="shared" si="30"/>
        <v>no</v>
      </c>
      <c r="C33" s="34"/>
      <c r="D33" s="34"/>
      <c r="E33" s="34"/>
      <c r="F33" s="35"/>
      <c r="G33" s="34"/>
      <c r="H33" s="36"/>
      <c r="I33" s="36"/>
      <c r="J33" s="115"/>
      <c r="K33" s="36">
        <f t="shared" si="29"/>
        <v>0.5</v>
      </c>
      <c r="L33" s="36"/>
      <c r="M33" s="36"/>
      <c r="N33" s="36"/>
      <c r="O33" s="36"/>
      <c r="P33" s="36"/>
      <c r="Q33" s="36"/>
      <c r="R33" s="39" t="str">
        <f t="shared" si="31"/>
        <v/>
      </c>
      <c r="S33" s="36"/>
      <c r="T33" s="38" t="str">
        <f t="shared" si="32"/>
        <v/>
      </c>
      <c r="U33" s="129"/>
      <c r="V33" s="129">
        <f t="shared" si="33"/>
        <v>0</v>
      </c>
      <c r="W33" s="129" t="str">
        <f t="shared" si="34"/>
        <v/>
      </c>
      <c r="X33" s="38" t="str">
        <f>IF(F33="","",IF(B33="no",'Emission Factors'!$D$33,'Emission Factors'!$D$34))</f>
        <v/>
      </c>
      <c r="Y33" s="38" t="str">
        <f t="shared" si="35"/>
        <v/>
      </c>
      <c r="Z33" s="38" t="str">
        <f t="shared" si="36"/>
        <v/>
      </c>
      <c r="AA33" s="38" t="str">
        <f t="shared" si="37"/>
        <v/>
      </c>
      <c r="AB33" s="38" t="str">
        <f>IF(F33="","",IF(B33="no",'Emission Factors'!$F$33,'Emission Factors'!$F$34))</f>
        <v/>
      </c>
      <c r="AC33" s="38" t="str">
        <f t="shared" si="38"/>
        <v/>
      </c>
      <c r="AD33" s="38" t="str">
        <f t="shared" si="39"/>
        <v/>
      </c>
      <c r="AE33" s="38" t="str">
        <f t="shared" si="40"/>
        <v/>
      </c>
      <c r="AF33" s="38" t="str">
        <f>IF(F33="","",IF(B33="no",'Emission Factors'!$H$33,'Emission Factors'!$H$34))</f>
        <v/>
      </c>
      <c r="AG33" s="38" t="str">
        <f>IF(F33="","",IF(C33="CP-1",IF('Concrete Plant (CP-1)'!$I$12&gt;0,'Concrete Plant (CP-1)'!$I$12,AF33*R33*K33),IF(C33="CP-2",IF('Concrete Plant (CP-2)'!$I$12&gt;0,'Concrete Plant (CP-2)'!$I$12,AF33*R33*K33),IF(C33="CP-3",IF('Concrete Plant (CP-3)'!$I$12&gt;0,'Concrete Plant (CP-3)'!$I$12,AF33*R33*K33),IF(C33="CP-4",IF('Concrete Plant (CP-4)'!$I$12&gt;0,'Concrete Plant (CP-4)'!$I$12,AF33*R33*K33),IF(C33="CP-5",IF('Concrete Plant (CP-5)'!$I$12&gt;0,'Concrete Plant (CP-5)'!$I$12,AF33*R33*K33),IF(C33="CP-6",IF('Concrete Plant (CP-6)'!$I$12&gt;0,'Concrete Plant (CP-6)'!$I$12,AF33*R33*K33),IF(C33="CP-7",IF('Concrete Plant (CP-7)'!$I$12&gt;0,'Concrete Plant (CP-7)'!$I$12,AF33*R33*K33),IF(C33="CP-8",IF('Concrete Plant (CP-8)'!$I$12&gt;0,'Concrete Plant (CP-8)'!$I$12,AF33*R33*K33),IF(C33="CP-9",IF('Concrete Plant (CP-9)'!$I$12&gt;0,'Concrete Plant (CP-9)'!$I$12,AF33*R33*K33),IF(C33="CP-10",IF('Concrete Plant (CP-10)'!$I$12&gt;0,'Concrete Plant (CP-10)'!$I$12,AF33*R33*K33))))))))))))</f>
        <v/>
      </c>
      <c r="AH33" s="38" t="str">
        <f t="shared" si="12"/>
        <v/>
      </c>
      <c r="AI33" s="38" t="str">
        <f t="shared" si="13"/>
        <v/>
      </c>
      <c r="AJ33" s="38" t="str">
        <f>IF(F33="","",IF(B33="no",'Emission Factors'!$J$33,'Emission Factors'!$J$34))</f>
        <v/>
      </c>
      <c r="AK33" s="38" t="str">
        <f>IF(F33="","",IF(C33="CP-1",IF('Concrete Plant (CP-1)'!$I$13&gt;0,'Concrete Plant (CP-1)'!$I$13,AJ33*R33),IF(C33="CP-2",IF('Concrete Plant (CP-2)'!$I$13&gt;0,'Concrete Plant (CP-2)'!$I$13,AJ33*R33),IF(C33="CP-3",IF('Concrete Plant (CP-3)'!$I$13&gt;0,'Concrete Plant (CP-3)'!$I$13,AJ33*R33),IF(C33="CP-4",IF('Concrete Plant (CP-4)'!$I$13&gt;0,'Concrete Plant (CP-4)'!$I$13,AJ33*R33),IF(C33="CP-5",IF('Concrete Plant (CP-5)'!$I$13&gt;0,'Concrete Plant (CP-5)'!$I$13,AJ33*R33),IF(C33="CP-6",IF('Concrete Plant (CP-6)'!$I$13&gt;0,'Concrete Plant (CP-6)'!$I$13,AJ33*R33),IF(C33="CP-7",IF('Concrete Plant (CP-7)'!$I$13&gt;0,'Concrete Plant (CP-7)'!$I$13,AJ33*R33),IF(C33="CP-8",IF('Concrete Plant (CP-8)'!$I$13&gt;0,'Concrete Plant (CP-8)'!$I$13,AJ33*R33),IF(C33="CP-9",IF('Concrete Plant (CP-9)'!$I$13&gt;0,'Concrete Plant (CP-9)'!$I$13,AJ33*R33),IF(C33="CP-10",IF('Concrete Plant (CP-10)'!$I$13&gt;0,'Concrete Plant (CP-10)'!$I$13,AJ33*R33))))))))))))</f>
        <v/>
      </c>
      <c r="AL33" s="38" t="str">
        <f t="shared" si="41"/>
        <v/>
      </c>
      <c r="AM33" s="38" t="str">
        <f t="shared" si="42"/>
        <v/>
      </c>
      <c r="AN33" s="38" t="str">
        <f>IF(F33="","",IF(B33="no",'Emission Factors'!$L$33,'Emission Factors'!$L$34))</f>
        <v/>
      </c>
      <c r="AO33" s="38" t="str">
        <f>IF(F33="","",IF(C33="CP-1",IF('Concrete Plant (CP-1)'!$I$14&gt;0,'Concrete Plant (CP-1)'!$I$14,AN33*R33),IF(C33="CP-2",IF('Concrete Plant (CP-2)'!$I$14&gt;0,'Concrete Plant (CP-2)'!$I$14,AN33*R33),IF(C33="CP-3",IF('Concrete Plant (CP-3)'!$I$14&gt;0,'Concrete Plant (CP-3)'!$I$14,AN33*R33),IF(C33="CP-4",IF('Concrete Plant (CP-4)'!$I$14&gt;0,'Concrete Plant (CP-4)'!$I$14,AN33*R33),IF(C33="CP-5",IF('Concrete Plant (CP-5)'!$I$14&gt;0,'Concrete Plant (CP-5)'!$I$14,AN33*R33),IF(C33="CP-6",IF('Concrete Plant (CP-6)'!$I$14&gt;0,'Concrete Plant (CP-6)'!$I$14,AN33*R33),IF(C33="CP-7",IF('Concrete Plant (CP-7)'!$I$14&gt;0,'Concrete Plant (CP-7)'!$I$14,AN33*R33),IF(C33="CP-8",IF('Concrete Plant (CP-8)'!$I$14&gt;0,'Concrete Plant (CP-8)'!$I$14,AN33*R33),IF(C33="CP-9",IF('Concrete Plant (CP-9)'!$I$14&gt;0,'Concrete Plant (CP-9)'!$I$14,AN33*R33),IF(C33="CP-10",IF('Concrete Plant (CP-10)'!$I$14&gt;0,'Concrete Plant (CP-10)'!$I$14,AN33*R33))))))))))))</f>
        <v/>
      </c>
      <c r="AP33" s="38" t="str">
        <f t="shared" si="43"/>
        <v/>
      </c>
      <c r="AQ33" s="38" t="str">
        <f t="shared" si="44"/>
        <v/>
      </c>
      <c r="AR33" s="38" t="str">
        <f>IF(F33="","",IF(B33="no",'Emission Factors'!$N$33,'Emission Factors'!$N$34))</f>
        <v/>
      </c>
      <c r="AS33" s="38" t="str">
        <f>IF(F33="","",IF(C33="CP-1",IF('Concrete Plant (CP-1)'!$I$15&gt;0,'Concrete Plant (CP-1)'!$I$15,AR33*R33),IF(C33="CP-2",IF('Concrete Plant (CP-2)'!$I$15&gt;0,'Concrete Plant (CP-2)'!$I$15,AR33*R33),IF(C33="CP-3",IF('Concrete Plant (CP-3)'!$I$15&gt;0,'Concrete Plant (CP-3)'!$I$15,AR33*R33),IF(C33="CP-4",IF('Concrete Plant (CP-4)'!$I$15&gt;0,'Concrete Plant (CP-4)'!$I$15,AR33*R33),IF(C33="CP-5",IF('Concrete Plant (CP-5)'!$I$15&gt;0,'Concrete Plant (CP-5)'!$I$15,AR33*R33),IF(C33="CP-6",IF('Concrete Plant (CP-6)'!$I$15&gt;0,'Concrete Plant (CP-6)'!$I$15,AR33*R33),IF(C33="CP-7",IF('Concrete Plant (CP-7)'!$I$15&gt;0,'Concrete Plant (CP-7)'!$I$15,AR33*R33),IF(C33="CP-8",IF('Concrete Plant (CP-8)'!$I$15&gt;0,'Concrete Plant (CP-8)'!$I$15,AR33*R33),IF(C33="CP-9",IF('Concrete Plant (CP-9)'!$I$15&gt;0,'Concrete Plant (CP-9)'!$I$15,AR33*R33),IF(C33="CP-10",IF('Concrete Plant (CP-10)'!$I$15&gt;0,'Concrete Plant (CP-10)'!$I$15,AR33*R33))))))))))))</f>
        <v/>
      </c>
      <c r="AT33" s="38" t="str">
        <f t="shared" si="45"/>
        <v/>
      </c>
      <c r="AU33" s="38" t="str">
        <f t="shared" si="46"/>
        <v/>
      </c>
      <c r="AV33" s="38" t="str">
        <f>IF(F33="","",IF(B33="no",'Emission Factors'!$P$33,'Emission Factors'!$P$34))</f>
        <v/>
      </c>
      <c r="AW33" s="38" t="str">
        <f t="shared" si="47"/>
        <v/>
      </c>
      <c r="AX33" s="38" t="str">
        <f t="shared" si="48"/>
        <v/>
      </c>
      <c r="AY33" s="38" t="str">
        <f t="shared" si="49"/>
        <v/>
      </c>
      <c r="AZ33" s="38" t="str">
        <f>IF(F33="","",IF(B33="no",'Emission Factors'!$R$33,'Emission Factors'!$R$34))</f>
        <v/>
      </c>
      <c r="BA33" s="38" t="str">
        <f t="shared" si="50"/>
        <v/>
      </c>
      <c r="BB33" s="38" t="str">
        <f t="shared" si="51"/>
        <v/>
      </c>
      <c r="BC33" s="38" t="str">
        <f t="shared" si="52"/>
        <v/>
      </c>
    </row>
    <row r="34" spans="2:55" ht="12" customHeight="1" x14ac:dyDescent="0.25">
      <c r="B34" s="6" t="str">
        <f t="shared" si="30"/>
        <v>no</v>
      </c>
      <c r="C34" s="34"/>
      <c r="D34" s="34"/>
      <c r="E34" s="34"/>
      <c r="F34" s="35"/>
      <c r="G34" s="34"/>
      <c r="H34" s="36"/>
      <c r="I34" s="36"/>
      <c r="J34" s="115"/>
      <c r="K34" s="36">
        <f t="shared" si="29"/>
        <v>0.5</v>
      </c>
      <c r="L34" s="36"/>
      <c r="M34" s="36"/>
      <c r="N34" s="36"/>
      <c r="O34" s="36"/>
      <c r="P34" s="36"/>
      <c r="Q34" s="36"/>
      <c r="R34" s="39" t="str">
        <f t="shared" si="31"/>
        <v/>
      </c>
      <c r="S34" s="36"/>
      <c r="T34" s="38" t="str">
        <f t="shared" si="32"/>
        <v/>
      </c>
      <c r="U34" s="129"/>
      <c r="V34" s="129">
        <f t="shared" si="33"/>
        <v>0</v>
      </c>
      <c r="W34" s="129" t="str">
        <f t="shared" si="34"/>
        <v/>
      </c>
      <c r="X34" s="38" t="str">
        <f>IF(F34="","",IF(B34="no",'Emission Factors'!$D$33,'Emission Factors'!$D$34))</f>
        <v/>
      </c>
      <c r="Y34" s="38" t="str">
        <f t="shared" si="35"/>
        <v/>
      </c>
      <c r="Z34" s="38" t="str">
        <f t="shared" si="36"/>
        <v/>
      </c>
      <c r="AA34" s="38" t="str">
        <f t="shared" si="37"/>
        <v/>
      </c>
      <c r="AB34" s="38" t="str">
        <f>IF(F34="","",IF(B34="no",'Emission Factors'!$F$33,'Emission Factors'!$F$34))</f>
        <v/>
      </c>
      <c r="AC34" s="38" t="str">
        <f t="shared" si="38"/>
        <v/>
      </c>
      <c r="AD34" s="38" t="str">
        <f t="shared" si="39"/>
        <v/>
      </c>
      <c r="AE34" s="38" t="str">
        <f t="shared" si="40"/>
        <v/>
      </c>
      <c r="AF34" s="38" t="str">
        <f>IF(F34="","",IF(B34="no",'Emission Factors'!$H$33,'Emission Factors'!$H$34))</f>
        <v/>
      </c>
      <c r="AG34" s="38" t="str">
        <f>IF(F34="","",IF(C34="CP-1",IF('Concrete Plant (CP-1)'!$I$12&gt;0,'Concrete Plant (CP-1)'!$I$12,AF34*R34*K34),IF(C34="CP-2",IF('Concrete Plant (CP-2)'!$I$12&gt;0,'Concrete Plant (CP-2)'!$I$12,AF34*R34*K34),IF(C34="CP-3",IF('Concrete Plant (CP-3)'!$I$12&gt;0,'Concrete Plant (CP-3)'!$I$12,AF34*R34*K34),IF(C34="CP-4",IF('Concrete Plant (CP-4)'!$I$12&gt;0,'Concrete Plant (CP-4)'!$I$12,AF34*R34*K34),IF(C34="CP-5",IF('Concrete Plant (CP-5)'!$I$12&gt;0,'Concrete Plant (CP-5)'!$I$12,AF34*R34*K34),IF(C34="CP-6",IF('Concrete Plant (CP-6)'!$I$12&gt;0,'Concrete Plant (CP-6)'!$I$12,AF34*R34*K34),IF(C34="CP-7",IF('Concrete Plant (CP-7)'!$I$12&gt;0,'Concrete Plant (CP-7)'!$I$12,AF34*R34*K34),IF(C34="CP-8",IF('Concrete Plant (CP-8)'!$I$12&gt;0,'Concrete Plant (CP-8)'!$I$12,AF34*R34*K34),IF(C34="CP-9",IF('Concrete Plant (CP-9)'!$I$12&gt;0,'Concrete Plant (CP-9)'!$I$12,AF34*R34*K34),IF(C34="CP-10",IF('Concrete Plant (CP-10)'!$I$12&gt;0,'Concrete Plant (CP-10)'!$I$12,AF34*R34*K34))))))))))))</f>
        <v/>
      </c>
      <c r="AH34" s="38" t="str">
        <f t="shared" si="12"/>
        <v/>
      </c>
      <c r="AI34" s="38" t="str">
        <f t="shared" si="13"/>
        <v/>
      </c>
      <c r="AJ34" s="38" t="str">
        <f>IF(F34="","",IF(B34="no",'Emission Factors'!$J$33,'Emission Factors'!$J$34))</f>
        <v/>
      </c>
      <c r="AK34" s="38" t="str">
        <f>IF(F34="","",IF(C34="CP-1",IF('Concrete Plant (CP-1)'!$I$13&gt;0,'Concrete Plant (CP-1)'!$I$13,AJ34*R34),IF(C34="CP-2",IF('Concrete Plant (CP-2)'!$I$13&gt;0,'Concrete Plant (CP-2)'!$I$13,AJ34*R34),IF(C34="CP-3",IF('Concrete Plant (CP-3)'!$I$13&gt;0,'Concrete Plant (CP-3)'!$I$13,AJ34*R34),IF(C34="CP-4",IF('Concrete Plant (CP-4)'!$I$13&gt;0,'Concrete Plant (CP-4)'!$I$13,AJ34*R34),IF(C34="CP-5",IF('Concrete Plant (CP-5)'!$I$13&gt;0,'Concrete Plant (CP-5)'!$I$13,AJ34*R34),IF(C34="CP-6",IF('Concrete Plant (CP-6)'!$I$13&gt;0,'Concrete Plant (CP-6)'!$I$13,AJ34*R34),IF(C34="CP-7",IF('Concrete Plant (CP-7)'!$I$13&gt;0,'Concrete Plant (CP-7)'!$I$13,AJ34*R34),IF(C34="CP-8",IF('Concrete Plant (CP-8)'!$I$13&gt;0,'Concrete Plant (CP-8)'!$I$13,AJ34*R34),IF(C34="CP-9",IF('Concrete Plant (CP-9)'!$I$13&gt;0,'Concrete Plant (CP-9)'!$I$13,AJ34*R34),IF(C34="CP-10",IF('Concrete Plant (CP-10)'!$I$13&gt;0,'Concrete Plant (CP-10)'!$I$13,AJ34*R34))))))))))))</f>
        <v/>
      </c>
      <c r="AL34" s="38" t="str">
        <f t="shared" si="41"/>
        <v/>
      </c>
      <c r="AM34" s="38" t="str">
        <f t="shared" si="42"/>
        <v/>
      </c>
      <c r="AN34" s="38" t="str">
        <f>IF(F34="","",IF(B34="no",'Emission Factors'!$L$33,'Emission Factors'!$L$34))</f>
        <v/>
      </c>
      <c r="AO34" s="38" t="str">
        <f>IF(F34="","",IF(C34="CP-1",IF('Concrete Plant (CP-1)'!$I$14&gt;0,'Concrete Plant (CP-1)'!$I$14,AN34*R34),IF(C34="CP-2",IF('Concrete Plant (CP-2)'!$I$14&gt;0,'Concrete Plant (CP-2)'!$I$14,AN34*R34),IF(C34="CP-3",IF('Concrete Plant (CP-3)'!$I$14&gt;0,'Concrete Plant (CP-3)'!$I$14,AN34*R34),IF(C34="CP-4",IF('Concrete Plant (CP-4)'!$I$14&gt;0,'Concrete Plant (CP-4)'!$I$14,AN34*R34),IF(C34="CP-5",IF('Concrete Plant (CP-5)'!$I$14&gt;0,'Concrete Plant (CP-5)'!$I$14,AN34*R34),IF(C34="CP-6",IF('Concrete Plant (CP-6)'!$I$14&gt;0,'Concrete Plant (CP-6)'!$I$14,AN34*R34),IF(C34="CP-7",IF('Concrete Plant (CP-7)'!$I$14&gt;0,'Concrete Plant (CP-7)'!$I$14,AN34*R34),IF(C34="CP-8",IF('Concrete Plant (CP-8)'!$I$14&gt;0,'Concrete Plant (CP-8)'!$I$14,AN34*R34),IF(C34="CP-9",IF('Concrete Plant (CP-9)'!$I$14&gt;0,'Concrete Plant (CP-9)'!$I$14,AN34*R34),IF(C34="CP-10",IF('Concrete Plant (CP-10)'!$I$14&gt;0,'Concrete Plant (CP-10)'!$I$14,AN34*R34))))))))))))</f>
        <v/>
      </c>
      <c r="AP34" s="38" t="str">
        <f t="shared" si="43"/>
        <v/>
      </c>
      <c r="AQ34" s="38" t="str">
        <f t="shared" si="44"/>
        <v/>
      </c>
      <c r="AR34" s="38" t="str">
        <f>IF(F34="","",IF(B34="no",'Emission Factors'!$N$33,'Emission Factors'!$N$34))</f>
        <v/>
      </c>
      <c r="AS34" s="38" t="str">
        <f>IF(F34="","",IF(C34="CP-1",IF('Concrete Plant (CP-1)'!$I$15&gt;0,'Concrete Plant (CP-1)'!$I$15,AR34*R34),IF(C34="CP-2",IF('Concrete Plant (CP-2)'!$I$15&gt;0,'Concrete Plant (CP-2)'!$I$15,AR34*R34),IF(C34="CP-3",IF('Concrete Plant (CP-3)'!$I$15&gt;0,'Concrete Plant (CP-3)'!$I$15,AR34*R34),IF(C34="CP-4",IF('Concrete Plant (CP-4)'!$I$15&gt;0,'Concrete Plant (CP-4)'!$I$15,AR34*R34),IF(C34="CP-5",IF('Concrete Plant (CP-5)'!$I$15&gt;0,'Concrete Plant (CP-5)'!$I$15,AR34*R34),IF(C34="CP-6",IF('Concrete Plant (CP-6)'!$I$15&gt;0,'Concrete Plant (CP-6)'!$I$15,AR34*R34),IF(C34="CP-7",IF('Concrete Plant (CP-7)'!$I$15&gt;0,'Concrete Plant (CP-7)'!$I$15,AR34*R34),IF(C34="CP-8",IF('Concrete Plant (CP-8)'!$I$15&gt;0,'Concrete Plant (CP-8)'!$I$15,AR34*R34),IF(C34="CP-9",IF('Concrete Plant (CP-9)'!$I$15&gt;0,'Concrete Plant (CP-9)'!$I$15,AR34*R34),IF(C34="CP-10",IF('Concrete Plant (CP-10)'!$I$15&gt;0,'Concrete Plant (CP-10)'!$I$15,AR34*R34))))))))))))</f>
        <v/>
      </c>
      <c r="AT34" s="38" t="str">
        <f t="shared" si="45"/>
        <v/>
      </c>
      <c r="AU34" s="38" t="str">
        <f t="shared" si="46"/>
        <v/>
      </c>
      <c r="AV34" s="38" t="str">
        <f>IF(F34="","",IF(B34="no",'Emission Factors'!$P$33,'Emission Factors'!$P$34))</f>
        <v/>
      </c>
      <c r="AW34" s="38" t="str">
        <f t="shared" si="47"/>
        <v/>
      </c>
      <c r="AX34" s="38" t="str">
        <f t="shared" si="48"/>
        <v/>
      </c>
      <c r="AY34" s="38" t="str">
        <f t="shared" si="49"/>
        <v/>
      </c>
      <c r="AZ34" s="38" t="str">
        <f>IF(F34="","",IF(B34="no",'Emission Factors'!$R$33,'Emission Factors'!$R$34))</f>
        <v/>
      </c>
      <c r="BA34" s="38" t="str">
        <f t="shared" si="50"/>
        <v/>
      </c>
      <c r="BB34" s="38" t="str">
        <f t="shared" si="51"/>
        <v/>
      </c>
      <c r="BC34" s="38" t="str">
        <f t="shared" si="52"/>
        <v/>
      </c>
    </row>
    <row r="35" spans="2:55" ht="12" customHeight="1" x14ac:dyDescent="0.25">
      <c r="B35" s="6" t="str">
        <f t="shared" si="30"/>
        <v>no</v>
      </c>
      <c r="C35" s="34"/>
      <c r="D35" s="34"/>
      <c r="E35" s="34"/>
      <c r="F35" s="35"/>
      <c r="G35" s="34"/>
      <c r="H35" s="36"/>
      <c r="I35" s="36"/>
      <c r="J35" s="115"/>
      <c r="K35" s="36">
        <f t="shared" si="29"/>
        <v>0.5</v>
      </c>
      <c r="L35" s="36"/>
      <c r="M35" s="36"/>
      <c r="N35" s="36"/>
      <c r="O35" s="36"/>
      <c r="P35" s="36"/>
      <c r="Q35" s="36"/>
      <c r="R35" s="39" t="str">
        <f t="shared" si="31"/>
        <v/>
      </c>
      <c r="S35" s="36"/>
      <c r="T35" s="38" t="str">
        <f t="shared" si="32"/>
        <v/>
      </c>
      <c r="U35" s="129"/>
      <c r="V35" s="129">
        <f t="shared" si="33"/>
        <v>0</v>
      </c>
      <c r="W35" s="129" t="str">
        <f t="shared" si="34"/>
        <v/>
      </c>
      <c r="X35" s="38" t="str">
        <f>IF(F35="","",IF(B35="no",'Emission Factors'!$D$33,'Emission Factors'!$D$34))</f>
        <v/>
      </c>
      <c r="Y35" s="38" t="str">
        <f t="shared" si="35"/>
        <v/>
      </c>
      <c r="Z35" s="38" t="str">
        <f t="shared" si="36"/>
        <v/>
      </c>
      <c r="AA35" s="38" t="str">
        <f t="shared" si="37"/>
        <v/>
      </c>
      <c r="AB35" s="38" t="str">
        <f>IF(F35="","",IF(B35="no",'Emission Factors'!$F$33,'Emission Factors'!$F$34))</f>
        <v/>
      </c>
      <c r="AC35" s="38" t="str">
        <f t="shared" si="38"/>
        <v/>
      </c>
      <c r="AD35" s="38" t="str">
        <f t="shared" si="39"/>
        <v/>
      </c>
      <c r="AE35" s="38" t="str">
        <f t="shared" si="40"/>
        <v/>
      </c>
      <c r="AF35" s="38" t="str">
        <f>IF(F35="","",IF(B35="no",'Emission Factors'!$H$33,'Emission Factors'!$H$34))</f>
        <v/>
      </c>
      <c r="AG35" s="38" t="str">
        <f>IF(F35="","",IF(C35="CP-1",IF('Concrete Plant (CP-1)'!$I$12&gt;0,'Concrete Plant (CP-1)'!$I$12,AF35*R35*K35),IF(C35="CP-2",IF('Concrete Plant (CP-2)'!$I$12&gt;0,'Concrete Plant (CP-2)'!$I$12,AF35*R35*K35),IF(C35="CP-3",IF('Concrete Plant (CP-3)'!$I$12&gt;0,'Concrete Plant (CP-3)'!$I$12,AF35*R35*K35),IF(C35="CP-4",IF('Concrete Plant (CP-4)'!$I$12&gt;0,'Concrete Plant (CP-4)'!$I$12,AF35*R35*K35),IF(C35="CP-5",IF('Concrete Plant (CP-5)'!$I$12&gt;0,'Concrete Plant (CP-5)'!$I$12,AF35*R35*K35),IF(C35="CP-6",IF('Concrete Plant (CP-6)'!$I$12&gt;0,'Concrete Plant (CP-6)'!$I$12,AF35*R35*K35),IF(C35="CP-7",IF('Concrete Plant (CP-7)'!$I$12&gt;0,'Concrete Plant (CP-7)'!$I$12,AF35*R35*K35),IF(C35="CP-8",IF('Concrete Plant (CP-8)'!$I$12&gt;0,'Concrete Plant (CP-8)'!$I$12,AF35*R35*K35),IF(C35="CP-9",IF('Concrete Plant (CP-9)'!$I$12&gt;0,'Concrete Plant (CP-9)'!$I$12,AF35*R35*K35),IF(C35="CP-10",IF('Concrete Plant (CP-10)'!$I$12&gt;0,'Concrete Plant (CP-10)'!$I$12,AF35*R35*K35))))))))))))</f>
        <v/>
      </c>
      <c r="AH35" s="38" t="str">
        <f t="shared" si="12"/>
        <v/>
      </c>
      <c r="AI35" s="38" t="str">
        <f t="shared" si="13"/>
        <v/>
      </c>
      <c r="AJ35" s="38" t="str">
        <f>IF(F35="","",IF(B35="no",'Emission Factors'!$J$33,'Emission Factors'!$J$34))</f>
        <v/>
      </c>
      <c r="AK35" s="38" t="str">
        <f>IF(F35="","",IF(C35="CP-1",IF('Concrete Plant (CP-1)'!$I$13&gt;0,'Concrete Plant (CP-1)'!$I$13,AJ35*R35),IF(C35="CP-2",IF('Concrete Plant (CP-2)'!$I$13&gt;0,'Concrete Plant (CP-2)'!$I$13,AJ35*R35),IF(C35="CP-3",IF('Concrete Plant (CP-3)'!$I$13&gt;0,'Concrete Plant (CP-3)'!$I$13,AJ35*R35),IF(C35="CP-4",IF('Concrete Plant (CP-4)'!$I$13&gt;0,'Concrete Plant (CP-4)'!$I$13,AJ35*R35),IF(C35="CP-5",IF('Concrete Plant (CP-5)'!$I$13&gt;0,'Concrete Plant (CP-5)'!$I$13,AJ35*R35),IF(C35="CP-6",IF('Concrete Plant (CP-6)'!$I$13&gt;0,'Concrete Plant (CP-6)'!$I$13,AJ35*R35),IF(C35="CP-7",IF('Concrete Plant (CP-7)'!$I$13&gt;0,'Concrete Plant (CP-7)'!$I$13,AJ35*R35),IF(C35="CP-8",IF('Concrete Plant (CP-8)'!$I$13&gt;0,'Concrete Plant (CP-8)'!$I$13,AJ35*R35),IF(C35="CP-9",IF('Concrete Plant (CP-9)'!$I$13&gt;0,'Concrete Plant (CP-9)'!$I$13,AJ35*R35),IF(C35="CP-10",IF('Concrete Plant (CP-10)'!$I$13&gt;0,'Concrete Plant (CP-10)'!$I$13,AJ35*R35))))))))))))</f>
        <v/>
      </c>
      <c r="AL35" s="38" t="str">
        <f t="shared" si="41"/>
        <v/>
      </c>
      <c r="AM35" s="38" t="str">
        <f t="shared" si="42"/>
        <v/>
      </c>
      <c r="AN35" s="38" t="str">
        <f>IF(F35="","",IF(B35="no",'Emission Factors'!$L$33,'Emission Factors'!$L$34))</f>
        <v/>
      </c>
      <c r="AO35" s="38" t="str">
        <f>IF(F35="","",IF(C35="CP-1",IF('Concrete Plant (CP-1)'!$I$14&gt;0,'Concrete Plant (CP-1)'!$I$14,AN35*R35),IF(C35="CP-2",IF('Concrete Plant (CP-2)'!$I$14&gt;0,'Concrete Plant (CP-2)'!$I$14,AN35*R35),IF(C35="CP-3",IF('Concrete Plant (CP-3)'!$I$14&gt;0,'Concrete Plant (CP-3)'!$I$14,AN35*R35),IF(C35="CP-4",IF('Concrete Plant (CP-4)'!$I$14&gt;0,'Concrete Plant (CP-4)'!$I$14,AN35*R35),IF(C35="CP-5",IF('Concrete Plant (CP-5)'!$I$14&gt;0,'Concrete Plant (CP-5)'!$I$14,AN35*R35),IF(C35="CP-6",IF('Concrete Plant (CP-6)'!$I$14&gt;0,'Concrete Plant (CP-6)'!$I$14,AN35*R35),IF(C35="CP-7",IF('Concrete Plant (CP-7)'!$I$14&gt;0,'Concrete Plant (CP-7)'!$I$14,AN35*R35),IF(C35="CP-8",IF('Concrete Plant (CP-8)'!$I$14&gt;0,'Concrete Plant (CP-8)'!$I$14,AN35*R35),IF(C35="CP-9",IF('Concrete Plant (CP-9)'!$I$14&gt;0,'Concrete Plant (CP-9)'!$I$14,AN35*R35),IF(C35="CP-10",IF('Concrete Plant (CP-10)'!$I$14&gt;0,'Concrete Plant (CP-10)'!$I$14,AN35*R35))))))))))))</f>
        <v/>
      </c>
      <c r="AP35" s="38" t="str">
        <f t="shared" si="43"/>
        <v/>
      </c>
      <c r="AQ35" s="38" t="str">
        <f t="shared" si="44"/>
        <v/>
      </c>
      <c r="AR35" s="38" t="str">
        <f>IF(F35="","",IF(B35="no",'Emission Factors'!$N$33,'Emission Factors'!$N$34))</f>
        <v/>
      </c>
      <c r="AS35" s="38" t="str">
        <f>IF(F35="","",IF(C35="CP-1",IF('Concrete Plant (CP-1)'!$I$15&gt;0,'Concrete Plant (CP-1)'!$I$15,AR35*R35),IF(C35="CP-2",IF('Concrete Plant (CP-2)'!$I$15&gt;0,'Concrete Plant (CP-2)'!$I$15,AR35*R35),IF(C35="CP-3",IF('Concrete Plant (CP-3)'!$I$15&gt;0,'Concrete Plant (CP-3)'!$I$15,AR35*R35),IF(C35="CP-4",IF('Concrete Plant (CP-4)'!$I$15&gt;0,'Concrete Plant (CP-4)'!$I$15,AR35*R35),IF(C35="CP-5",IF('Concrete Plant (CP-5)'!$I$15&gt;0,'Concrete Plant (CP-5)'!$I$15,AR35*R35),IF(C35="CP-6",IF('Concrete Plant (CP-6)'!$I$15&gt;0,'Concrete Plant (CP-6)'!$I$15,AR35*R35),IF(C35="CP-7",IF('Concrete Plant (CP-7)'!$I$15&gt;0,'Concrete Plant (CP-7)'!$I$15,AR35*R35),IF(C35="CP-8",IF('Concrete Plant (CP-8)'!$I$15&gt;0,'Concrete Plant (CP-8)'!$I$15,AR35*R35),IF(C35="CP-9",IF('Concrete Plant (CP-9)'!$I$15&gt;0,'Concrete Plant (CP-9)'!$I$15,AR35*R35),IF(C35="CP-10",IF('Concrete Plant (CP-10)'!$I$15&gt;0,'Concrete Plant (CP-10)'!$I$15,AR35*R35))))))))))))</f>
        <v/>
      </c>
      <c r="AT35" s="38" t="str">
        <f t="shared" si="45"/>
        <v/>
      </c>
      <c r="AU35" s="38" t="str">
        <f t="shared" si="46"/>
        <v/>
      </c>
      <c r="AV35" s="38" t="str">
        <f>IF(F35="","",IF(B35="no",'Emission Factors'!$P$33,'Emission Factors'!$P$34))</f>
        <v/>
      </c>
      <c r="AW35" s="38" t="str">
        <f t="shared" si="47"/>
        <v/>
      </c>
      <c r="AX35" s="38" t="str">
        <f t="shared" si="48"/>
        <v/>
      </c>
      <c r="AY35" s="38" t="str">
        <f t="shared" si="49"/>
        <v/>
      </c>
      <c r="AZ35" s="38" t="str">
        <f>IF(F35="","",IF(B35="no",'Emission Factors'!$R$33,'Emission Factors'!$R$34))</f>
        <v/>
      </c>
      <c r="BA35" s="38" t="str">
        <f t="shared" si="50"/>
        <v/>
      </c>
      <c r="BB35" s="38" t="str">
        <f t="shared" si="51"/>
        <v/>
      </c>
      <c r="BC35" s="38" t="str">
        <f t="shared" si="52"/>
        <v/>
      </c>
    </row>
    <row r="36" spans="2:55" ht="12" customHeight="1" x14ac:dyDescent="0.25">
      <c r="B36" s="6" t="str">
        <f t="shared" si="30"/>
        <v>no</v>
      </c>
      <c r="C36" s="34"/>
      <c r="D36" s="34"/>
      <c r="E36" s="34"/>
      <c r="F36" s="35"/>
      <c r="G36" s="34"/>
      <c r="H36" s="36"/>
      <c r="I36" s="36"/>
      <c r="J36" s="115"/>
      <c r="K36" s="36">
        <f t="shared" si="29"/>
        <v>0.5</v>
      </c>
      <c r="L36" s="36"/>
      <c r="M36" s="36"/>
      <c r="N36" s="36"/>
      <c r="O36" s="36"/>
      <c r="P36" s="36"/>
      <c r="Q36" s="36"/>
      <c r="R36" s="39" t="str">
        <f t="shared" si="31"/>
        <v/>
      </c>
      <c r="S36" s="36"/>
      <c r="T36" s="38" t="str">
        <f t="shared" si="32"/>
        <v/>
      </c>
      <c r="U36" s="129"/>
      <c r="V36" s="129">
        <f t="shared" si="33"/>
        <v>0</v>
      </c>
      <c r="W36" s="129" t="str">
        <f t="shared" si="34"/>
        <v/>
      </c>
      <c r="X36" s="38" t="str">
        <f>IF(F36="","",IF(B36="no",'Emission Factors'!$D$33,'Emission Factors'!$D$34))</f>
        <v/>
      </c>
      <c r="Y36" s="38" t="str">
        <f t="shared" si="35"/>
        <v/>
      </c>
      <c r="Z36" s="38" t="str">
        <f t="shared" si="36"/>
        <v/>
      </c>
      <c r="AA36" s="38" t="str">
        <f t="shared" si="37"/>
        <v/>
      </c>
      <c r="AB36" s="38" t="str">
        <f>IF(F36="","",IF(B36="no",'Emission Factors'!$F$33,'Emission Factors'!$F$34))</f>
        <v/>
      </c>
      <c r="AC36" s="38" t="str">
        <f t="shared" si="38"/>
        <v/>
      </c>
      <c r="AD36" s="38" t="str">
        <f t="shared" si="39"/>
        <v/>
      </c>
      <c r="AE36" s="38" t="str">
        <f t="shared" si="40"/>
        <v/>
      </c>
      <c r="AF36" s="38" t="str">
        <f>IF(F36="","",IF(B36="no",'Emission Factors'!$H$33,'Emission Factors'!$H$34))</f>
        <v/>
      </c>
      <c r="AG36" s="38" t="str">
        <f>IF(F36="","",IF(C36="CP-1",IF('Concrete Plant (CP-1)'!$I$12&gt;0,'Concrete Plant (CP-1)'!$I$12,AF36*R36*K36),IF(C36="CP-2",IF('Concrete Plant (CP-2)'!$I$12&gt;0,'Concrete Plant (CP-2)'!$I$12,AF36*R36*K36),IF(C36="CP-3",IF('Concrete Plant (CP-3)'!$I$12&gt;0,'Concrete Plant (CP-3)'!$I$12,AF36*R36*K36),IF(C36="CP-4",IF('Concrete Plant (CP-4)'!$I$12&gt;0,'Concrete Plant (CP-4)'!$I$12,AF36*R36*K36),IF(C36="CP-5",IF('Concrete Plant (CP-5)'!$I$12&gt;0,'Concrete Plant (CP-5)'!$I$12,AF36*R36*K36),IF(C36="CP-6",IF('Concrete Plant (CP-6)'!$I$12&gt;0,'Concrete Plant (CP-6)'!$I$12,AF36*R36*K36),IF(C36="CP-7",IF('Concrete Plant (CP-7)'!$I$12&gt;0,'Concrete Plant (CP-7)'!$I$12,AF36*R36*K36),IF(C36="CP-8",IF('Concrete Plant (CP-8)'!$I$12&gt;0,'Concrete Plant (CP-8)'!$I$12,AF36*R36*K36),IF(C36="CP-9",IF('Concrete Plant (CP-9)'!$I$12&gt;0,'Concrete Plant (CP-9)'!$I$12,AF36*R36*K36),IF(C36="CP-10",IF('Concrete Plant (CP-10)'!$I$12&gt;0,'Concrete Plant (CP-10)'!$I$12,AF36*R36*K36))))))))))))</f>
        <v/>
      </c>
      <c r="AH36" s="38" t="str">
        <f t="shared" si="12"/>
        <v/>
      </c>
      <c r="AI36" s="38" t="str">
        <f t="shared" si="13"/>
        <v/>
      </c>
      <c r="AJ36" s="38" t="str">
        <f>IF(F36="","",IF(B36="no",'Emission Factors'!$J$33,'Emission Factors'!$J$34))</f>
        <v/>
      </c>
      <c r="AK36" s="38" t="str">
        <f>IF(F36="","",IF(C36="CP-1",IF('Concrete Plant (CP-1)'!$I$13&gt;0,'Concrete Plant (CP-1)'!$I$13,AJ36*R36),IF(C36="CP-2",IF('Concrete Plant (CP-2)'!$I$13&gt;0,'Concrete Plant (CP-2)'!$I$13,AJ36*R36),IF(C36="CP-3",IF('Concrete Plant (CP-3)'!$I$13&gt;0,'Concrete Plant (CP-3)'!$I$13,AJ36*R36),IF(C36="CP-4",IF('Concrete Plant (CP-4)'!$I$13&gt;0,'Concrete Plant (CP-4)'!$I$13,AJ36*R36),IF(C36="CP-5",IF('Concrete Plant (CP-5)'!$I$13&gt;0,'Concrete Plant (CP-5)'!$I$13,AJ36*R36),IF(C36="CP-6",IF('Concrete Plant (CP-6)'!$I$13&gt;0,'Concrete Plant (CP-6)'!$I$13,AJ36*R36),IF(C36="CP-7",IF('Concrete Plant (CP-7)'!$I$13&gt;0,'Concrete Plant (CP-7)'!$I$13,AJ36*R36),IF(C36="CP-8",IF('Concrete Plant (CP-8)'!$I$13&gt;0,'Concrete Plant (CP-8)'!$I$13,AJ36*R36),IF(C36="CP-9",IF('Concrete Plant (CP-9)'!$I$13&gt;0,'Concrete Plant (CP-9)'!$I$13,AJ36*R36),IF(C36="CP-10",IF('Concrete Plant (CP-10)'!$I$13&gt;0,'Concrete Plant (CP-10)'!$I$13,AJ36*R36))))))))))))</f>
        <v/>
      </c>
      <c r="AL36" s="38" t="str">
        <f t="shared" si="41"/>
        <v/>
      </c>
      <c r="AM36" s="38" t="str">
        <f t="shared" si="42"/>
        <v/>
      </c>
      <c r="AN36" s="38" t="str">
        <f>IF(F36="","",IF(B36="no",'Emission Factors'!$L$33,'Emission Factors'!$L$34))</f>
        <v/>
      </c>
      <c r="AO36" s="38" t="str">
        <f>IF(F36="","",IF(C36="CP-1",IF('Concrete Plant (CP-1)'!$I$14&gt;0,'Concrete Plant (CP-1)'!$I$14,AN36*R36),IF(C36="CP-2",IF('Concrete Plant (CP-2)'!$I$14&gt;0,'Concrete Plant (CP-2)'!$I$14,AN36*R36),IF(C36="CP-3",IF('Concrete Plant (CP-3)'!$I$14&gt;0,'Concrete Plant (CP-3)'!$I$14,AN36*R36),IF(C36="CP-4",IF('Concrete Plant (CP-4)'!$I$14&gt;0,'Concrete Plant (CP-4)'!$I$14,AN36*R36),IF(C36="CP-5",IF('Concrete Plant (CP-5)'!$I$14&gt;0,'Concrete Plant (CP-5)'!$I$14,AN36*R36),IF(C36="CP-6",IF('Concrete Plant (CP-6)'!$I$14&gt;0,'Concrete Plant (CP-6)'!$I$14,AN36*R36),IF(C36="CP-7",IF('Concrete Plant (CP-7)'!$I$14&gt;0,'Concrete Plant (CP-7)'!$I$14,AN36*R36),IF(C36="CP-8",IF('Concrete Plant (CP-8)'!$I$14&gt;0,'Concrete Plant (CP-8)'!$I$14,AN36*R36),IF(C36="CP-9",IF('Concrete Plant (CP-9)'!$I$14&gt;0,'Concrete Plant (CP-9)'!$I$14,AN36*R36),IF(C36="CP-10",IF('Concrete Plant (CP-10)'!$I$14&gt;0,'Concrete Plant (CP-10)'!$I$14,AN36*R36))))))))))))</f>
        <v/>
      </c>
      <c r="AP36" s="38" t="str">
        <f t="shared" si="43"/>
        <v/>
      </c>
      <c r="AQ36" s="38" t="str">
        <f t="shared" si="44"/>
        <v/>
      </c>
      <c r="AR36" s="38" t="str">
        <f>IF(F36="","",IF(B36="no",'Emission Factors'!$N$33,'Emission Factors'!$N$34))</f>
        <v/>
      </c>
      <c r="AS36" s="38" t="str">
        <f>IF(F36="","",IF(C36="CP-1",IF('Concrete Plant (CP-1)'!$I$15&gt;0,'Concrete Plant (CP-1)'!$I$15,AR36*R36),IF(C36="CP-2",IF('Concrete Plant (CP-2)'!$I$15&gt;0,'Concrete Plant (CP-2)'!$I$15,AR36*R36),IF(C36="CP-3",IF('Concrete Plant (CP-3)'!$I$15&gt;0,'Concrete Plant (CP-3)'!$I$15,AR36*R36),IF(C36="CP-4",IF('Concrete Plant (CP-4)'!$I$15&gt;0,'Concrete Plant (CP-4)'!$I$15,AR36*R36),IF(C36="CP-5",IF('Concrete Plant (CP-5)'!$I$15&gt;0,'Concrete Plant (CP-5)'!$I$15,AR36*R36),IF(C36="CP-6",IF('Concrete Plant (CP-6)'!$I$15&gt;0,'Concrete Plant (CP-6)'!$I$15,AR36*R36),IF(C36="CP-7",IF('Concrete Plant (CP-7)'!$I$15&gt;0,'Concrete Plant (CP-7)'!$I$15,AR36*R36),IF(C36="CP-8",IF('Concrete Plant (CP-8)'!$I$15&gt;0,'Concrete Plant (CP-8)'!$I$15,AR36*R36),IF(C36="CP-9",IF('Concrete Plant (CP-9)'!$I$15&gt;0,'Concrete Plant (CP-9)'!$I$15,AR36*R36),IF(C36="CP-10",IF('Concrete Plant (CP-10)'!$I$15&gt;0,'Concrete Plant (CP-10)'!$I$15,AR36*R36))))))))))))</f>
        <v/>
      </c>
      <c r="AT36" s="38" t="str">
        <f t="shared" si="45"/>
        <v/>
      </c>
      <c r="AU36" s="38" t="str">
        <f t="shared" si="46"/>
        <v/>
      </c>
      <c r="AV36" s="38" t="str">
        <f>IF(F36="","",IF(B36="no",'Emission Factors'!$P$33,'Emission Factors'!$P$34))</f>
        <v/>
      </c>
      <c r="AW36" s="38" t="str">
        <f t="shared" si="47"/>
        <v/>
      </c>
      <c r="AX36" s="38" t="str">
        <f t="shared" si="48"/>
        <v/>
      </c>
      <c r="AY36" s="38" t="str">
        <f t="shared" si="49"/>
        <v/>
      </c>
      <c r="AZ36" s="38" t="str">
        <f>IF(F36="","",IF(B36="no",'Emission Factors'!$R$33,'Emission Factors'!$R$34))</f>
        <v/>
      </c>
      <c r="BA36" s="38" t="str">
        <f t="shared" si="50"/>
        <v/>
      </c>
      <c r="BB36" s="38" t="str">
        <f t="shared" si="51"/>
        <v/>
      </c>
      <c r="BC36" s="38" t="str">
        <f t="shared" si="52"/>
        <v/>
      </c>
    </row>
    <row r="37" spans="2:55" ht="12" customHeight="1" x14ac:dyDescent="0.25">
      <c r="B37" s="6" t="str">
        <f t="shared" si="30"/>
        <v>no</v>
      </c>
      <c r="C37" s="34"/>
      <c r="D37" s="34"/>
      <c r="E37" s="34"/>
      <c r="F37" s="35"/>
      <c r="G37" s="34"/>
      <c r="H37" s="36"/>
      <c r="I37" s="36"/>
      <c r="J37" s="115"/>
      <c r="K37" s="36">
        <f t="shared" si="29"/>
        <v>0.5</v>
      </c>
      <c r="L37" s="36"/>
      <c r="M37" s="36"/>
      <c r="N37" s="36"/>
      <c r="O37" s="36"/>
      <c r="P37" s="36"/>
      <c r="Q37" s="36"/>
      <c r="R37" s="39" t="str">
        <f t="shared" si="31"/>
        <v/>
      </c>
      <c r="S37" s="36"/>
      <c r="T37" s="38" t="str">
        <f t="shared" si="32"/>
        <v/>
      </c>
      <c r="U37" s="129"/>
      <c r="V37" s="129">
        <f t="shared" si="33"/>
        <v>0</v>
      </c>
      <c r="W37" s="129" t="str">
        <f t="shared" si="34"/>
        <v/>
      </c>
      <c r="X37" s="38" t="str">
        <f>IF(F37="","",IF(B37="no",'Emission Factors'!$D$33,'Emission Factors'!$D$34))</f>
        <v/>
      </c>
      <c r="Y37" s="38" t="str">
        <f t="shared" si="35"/>
        <v/>
      </c>
      <c r="Z37" s="38" t="str">
        <f t="shared" si="36"/>
        <v/>
      </c>
      <c r="AA37" s="38" t="str">
        <f t="shared" si="37"/>
        <v/>
      </c>
      <c r="AB37" s="38" t="str">
        <f>IF(F37="","",IF(B37="no",'Emission Factors'!$F$33,'Emission Factors'!$F$34))</f>
        <v/>
      </c>
      <c r="AC37" s="38" t="str">
        <f t="shared" si="38"/>
        <v/>
      </c>
      <c r="AD37" s="38" t="str">
        <f t="shared" si="39"/>
        <v/>
      </c>
      <c r="AE37" s="38" t="str">
        <f t="shared" si="40"/>
        <v/>
      </c>
      <c r="AF37" s="38" t="str">
        <f>IF(F37="","",IF(B37="no",'Emission Factors'!$H$33,'Emission Factors'!$H$34))</f>
        <v/>
      </c>
      <c r="AG37" s="38" t="str">
        <f>IF(F37="","",IF(C37="CP-1",IF('Concrete Plant (CP-1)'!$I$12&gt;0,'Concrete Plant (CP-1)'!$I$12,AF37*R37*K37),IF(C37="CP-2",IF('Concrete Plant (CP-2)'!$I$12&gt;0,'Concrete Plant (CP-2)'!$I$12,AF37*R37*K37),IF(C37="CP-3",IF('Concrete Plant (CP-3)'!$I$12&gt;0,'Concrete Plant (CP-3)'!$I$12,AF37*R37*K37),IF(C37="CP-4",IF('Concrete Plant (CP-4)'!$I$12&gt;0,'Concrete Plant (CP-4)'!$I$12,AF37*R37*K37),IF(C37="CP-5",IF('Concrete Plant (CP-5)'!$I$12&gt;0,'Concrete Plant (CP-5)'!$I$12,AF37*R37*K37),IF(C37="CP-6",IF('Concrete Plant (CP-6)'!$I$12&gt;0,'Concrete Plant (CP-6)'!$I$12,AF37*R37*K37),IF(C37="CP-7",IF('Concrete Plant (CP-7)'!$I$12&gt;0,'Concrete Plant (CP-7)'!$I$12,AF37*R37*K37),IF(C37="CP-8",IF('Concrete Plant (CP-8)'!$I$12&gt;0,'Concrete Plant (CP-8)'!$I$12,AF37*R37*K37),IF(C37="CP-9",IF('Concrete Plant (CP-9)'!$I$12&gt;0,'Concrete Plant (CP-9)'!$I$12,AF37*R37*K37),IF(C37="CP-10",IF('Concrete Plant (CP-10)'!$I$12&gt;0,'Concrete Plant (CP-10)'!$I$12,AF37*R37*K37))))))))))))</f>
        <v/>
      </c>
      <c r="AH37" s="38" t="str">
        <f t="shared" si="12"/>
        <v/>
      </c>
      <c r="AI37" s="38" t="str">
        <f t="shared" si="13"/>
        <v/>
      </c>
      <c r="AJ37" s="38" t="str">
        <f>IF(F37="","",IF(B37="no",'Emission Factors'!$J$33,'Emission Factors'!$J$34))</f>
        <v/>
      </c>
      <c r="AK37" s="38" t="str">
        <f>IF(F37="","",IF(C37="CP-1",IF('Concrete Plant (CP-1)'!$I$13&gt;0,'Concrete Plant (CP-1)'!$I$13,AJ37*R37),IF(C37="CP-2",IF('Concrete Plant (CP-2)'!$I$13&gt;0,'Concrete Plant (CP-2)'!$I$13,AJ37*R37),IF(C37="CP-3",IF('Concrete Plant (CP-3)'!$I$13&gt;0,'Concrete Plant (CP-3)'!$I$13,AJ37*R37),IF(C37="CP-4",IF('Concrete Plant (CP-4)'!$I$13&gt;0,'Concrete Plant (CP-4)'!$I$13,AJ37*R37),IF(C37="CP-5",IF('Concrete Plant (CP-5)'!$I$13&gt;0,'Concrete Plant (CP-5)'!$I$13,AJ37*R37),IF(C37="CP-6",IF('Concrete Plant (CP-6)'!$I$13&gt;0,'Concrete Plant (CP-6)'!$I$13,AJ37*R37),IF(C37="CP-7",IF('Concrete Plant (CP-7)'!$I$13&gt;0,'Concrete Plant (CP-7)'!$I$13,AJ37*R37),IF(C37="CP-8",IF('Concrete Plant (CP-8)'!$I$13&gt;0,'Concrete Plant (CP-8)'!$I$13,AJ37*R37),IF(C37="CP-9",IF('Concrete Plant (CP-9)'!$I$13&gt;0,'Concrete Plant (CP-9)'!$I$13,AJ37*R37),IF(C37="CP-10",IF('Concrete Plant (CP-10)'!$I$13&gt;0,'Concrete Plant (CP-10)'!$I$13,AJ37*R37))))))))))))</f>
        <v/>
      </c>
      <c r="AL37" s="38" t="str">
        <f t="shared" si="41"/>
        <v/>
      </c>
      <c r="AM37" s="38" t="str">
        <f t="shared" si="42"/>
        <v/>
      </c>
      <c r="AN37" s="38" t="str">
        <f>IF(F37="","",IF(B37="no",'Emission Factors'!$L$33,'Emission Factors'!$L$34))</f>
        <v/>
      </c>
      <c r="AO37" s="38" t="str">
        <f>IF(F37="","",IF(C37="CP-1",IF('Concrete Plant (CP-1)'!$I$14&gt;0,'Concrete Plant (CP-1)'!$I$14,AN37*R37),IF(C37="CP-2",IF('Concrete Plant (CP-2)'!$I$14&gt;0,'Concrete Plant (CP-2)'!$I$14,AN37*R37),IF(C37="CP-3",IF('Concrete Plant (CP-3)'!$I$14&gt;0,'Concrete Plant (CP-3)'!$I$14,AN37*R37),IF(C37="CP-4",IF('Concrete Plant (CP-4)'!$I$14&gt;0,'Concrete Plant (CP-4)'!$I$14,AN37*R37),IF(C37="CP-5",IF('Concrete Plant (CP-5)'!$I$14&gt;0,'Concrete Plant (CP-5)'!$I$14,AN37*R37),IF(C37="CP-6",IF('Concrete Plant (CP-6)'!$I$14&gt;0,'Concrete Plant (CP-6)'!$I$14,AN37*R37),IF(C37="CP-7",IF('Concrete Plant (CP-7)'!$I$14&gt;0,'Concrete Plant (CP-7)'!$I$14,AN37*R37),IF(C37="CP-8",IF('Concrete Plant (CP-8)'!$I$14&gt;0,'Concrete Plant (CP-8)'!$I$14,AN37*R37),IF(C37="CP-9",IF('Concrete Plant (CP-9)'!$I$14&gt;0,'Concrete Plant (CP-9)'!$I$14,AN37*R37),IF(C37="CP-10",IF('Concrete Plant (CP-10)'!$I$14&gt;0,'Concrete Plant (CP-10)'!$I$14,AN37*R37))))))))))))</f>
        <v/>
      </c>
      <c r="AP37" s="38" t="str">
        <f t="shared" si="43"/>
        <v/>
      </c>
      <c r="AQ37" s="38" t="str">
        <f t="shared" si="44"/>
        <v/>
      </c>
      <c r="AR37" s="38" t="str">
        <f>IF(F37="","",IF(B37="no",'Emission Factors'!$N$33,'Emission Factors'!$N$34))</f>
        <v/>
      </c>
      <c r="AS37" s="38" t="str">
        <f>IF(F37="","",IF(C37="CP-1",IF('Concrete Plant (CP-1)'!$I$15&gt;0,'Concrete Plant (CP-1)'!$I$15,AR37*R37),IF(C37="CP-2",IF('Concrete Plant (CP-2)'!$I$15&gt;0,'Concrete Plant (CP-2)'!$I$15,AR37*R37),IF(C37="CP-3",IF('Concrete Plant (CP-3)'!$I$15&gt;0,'Concrete Plant (CP-3)'!$I$15,AR37*R37),IF(C37="CP-4",IF('Concrete Plant (CP-4)'!$I$15&gt;0,'Concrete Plant (CP-4)'!$I$15,AR37*R37),IF(C37="CP-5",IF('Concrete Plant (CP-5)'!$I$15&gt;0,'Concrete Plant (CP-5)'!$I$15,AR37*R37),IF(C37="CP-6",IF('Concrete Plant (CP-6)'!$I$15&gt;0,'Concrete Plant (CP-6)'!$I$15,AR37*R37),IF(C37="CP-7",IF('Concrete Plant (CP-7)'!$I$15&gt;0,'Concrete Plant (CP-7)'!$I$15,AR37*R37),IF(C37="CP-8",IF('Concrete Plant (CP-8)'!$I$15&gt;0,'Concrete Plant (CP-8)'!$I$15,AR37*R37),IF(C37="CP-9",IF('Concrete Plant (CP-9)'!$I$15&gt;0,'Concrete Plant (CP-9)'!$I$15,AR37*R37),IF(C37="CP-10",IF('Concrete Plant (CP-10)'!$I$15&gt;0,'Concrete Plant (CP-10)'!$I$15,AR37*R37))))))))))))</f>
        <v/>
      </c>
      <c r="AT37" s="38" t="str">
        <f t="shared" si="45"/>
        <v/>
      </c>
      <c r="AU37" s="38" t="str">
        <f t="shared" si="46"/>
        <v/>
      </c>
      <c r="AV37" s="38" t="str">
        <f>IF(F37="","",IF(B37="no",'Emission Factors'!$P$33,'Emission Factors'!$P$34))</f>
        <v/>
      </c>
      <c r="AW37" s="38" t="str">
        <f t="shared" si="47"/>
        <v/>
      </c>
      <c r="AX37" s="38" t="str">
        <f t="shared" si="48"/>
        <v/>
      </c>
      <c r="AY37" s="38" t="str">
        <f t="shared" si="49"/>
        <v/>
      </c>
      <c r="AZ37" s="38" t="str">
        <f>IF(F37="","",IF(B37="no",'Emission Factors'!$R$33,'Emission Factors'!$R$34))</f>
        <v/>
      </c>
      <c r="BA37" s="38" t="str">
        <f t="shared" si="50"/>
        <v/>
      </c>
      <c r="BB37" s="38" t="str">
        <f t="shared" si="51"/>
        <v/>
      </c>
      <c r="BC37" s="38" t="str">
        <f t="shared" si="52"/>
        <v/>
      </c>
    </row>
    <row r="38" spans="2:55" ht="12" customHeight="1" x14ac:dyDescent="0.25">
      <c r="B38" s="6" t="str">
        <f t="shared" si="30"/>
        <v>no</v>
      </c>
      <c r="C38" s="34"/>
      <c r="D38" s="34"/>
      <c r="E38" s="34"/>
      <c r="F38" s="35"/>
      <c r="G38" s="34"/>
      <c r="H38" s="36"/>
      <c r="I38" s="36"/>
      <c r="J38" s="115"/>
      <c r="K38" s="36">
        <f t="shared" ref="K38:K48" si="53">IF(J38="",0.5,J38)</f>
        <v>0.5</v>
      </c>
      <c r="L38" s="36"/>
      <c r="M38" s="36"/>
      <c r="N38" s="36"/>
      <c r="O38" s="36"/>
      <c r="P38" s="36"/>
      <c r="Q38" s="36"/>
      <c r="R38" s="39" t="str">
        <f t="shared" si="31"/>
        <v/>
      </c>
      <c r="S38" s="36"/>
      <c r="T38" s="38" t="str">
        <f t="shared" si="32"/>
        <v/>
      </c>
      <c r="U38" s="129"/>
      <c r="V38" s="129">
        <f t="shared" si="33"/>
        <v>0</v>
      </c>
      <c r="W38" s="129" t="str">
        <f t="shared" si="34"/>
        <v/>
      </c>
      <c r="X38" s="38" t="str">
        <f>IF(F38="","",IF(B38="no",'Emission Factors'!$D$33,'Emission Factors'!$D$34))</f>
        <v/>
      </c>
      <c r="Y38" s="38" t="str">
        <f t="shared" si="35"/>
        <v/>
      </c>
      <c r="Z38" s="38" t="str">
        <f t="shared" si="36"/>
        <v/>
      </c>
      <c r="AA38" s="38" t="str">
        <f t="shared" si="37"/>
        <v/>
      </c>
      <c r="AB38" s="38" t="str">
        <f>IF(F38="","",IF(B38="no",'Emission Factors'!$F$33,'Emission Factors'!$F$34))</f>
        <v/>
      </c>
      <c r="AC38" s="38" t="str">
        <f t="shared" si="38"/>
        <v/>
      </c>
      <c r="AD38" s="38" t="str">
        <f t="shared" si="39"/>
        <v/>
      </c>
      <c r="AE38" s="38" t="str">
        <f t="shared" si="40"/>
        <v/>
      </c>
      <c r="AF38" s="38" t="str">
        <f>IF(F38="","",IF(B38="no",'Emission Factors'!$H$33,'Emission Factors'!$H$34))</f>
        <v/>
      </c>
      <c r="AG38" s="38" t="str">
        <f>IF(F38="","",IF(C38="CP-1",IF('Concrete Plant (CP-1)'!$I$12&gt;0,'Concrete Plant (CP-1)'!$I$12,AF38*R38*K38),IF(C38="CP-2",IF('Concrete Plant (CP-2)'!$I$12&gt;0,'Concrete Plant (CP-2)'!$I$12,AF38*R38*K38),IF(C38="CP-3",IF('Concrete Plant (CP-3)'!$I$12&gt;0,'Concrete Plant (CP-3)'!$I$12,AF38*R38*K38),IF(C38="CP-4",IF('Concrete Plant (CP-4)'!$I$12&gt;0,'Concrete Plant (CP-4)'!$I$12,AF38*R38*K38),IF(C38="CP-5",IF('Concrete Plant (CP-5)'!$I$12&gt;0,'Concrete Plant (CP-5)'!$I$12,AF38*R38*K38),IF(C38="CP-6",IF('Concrete Plant (CP-6)'!$I$12&gt;0,'Concrete Plant (CP-6)'!$I$12,AF38*R38*K38),IF(C38="CP-7",IF('Concrete Plant (CP-7)'!$I$12&gt;0,'Concrete Plant (CP-7)'!$I$12,AF38*R38*K38),IF(C38="CP-8",IF('Concrete Plant (CP-8)'!$I$12&gt;0,'Concrete Plant (CP-8)'!$I$12,AF38*R38*K38),IF(C38="CP-9",IF('Concrete Plant (CP-9)'!$I$12&gt;0,'Concrete Plant (CP-9)'!$I$12,AF38*R38*K38),IF(C38="CP-10",IF('Concrete Plant (CP-10)'!$I$12&gt;0,'Concrete Plant (CP-10)'!$I$12,AF38*R38*K38))))))))))))</f>
        <v/>
      </c>
      <c r="AH38" s="38" t="str">
        <f t="shared" si="12"/>
        <v/>
      </c>
      <c r="AI38" s="38" t="str">
        <f t="shared" si="13"/>
        <v/>
      </c>
      <c r="AJ38" s="38" t="str">
        <f>IF(F38="","",IF(B38="no",'Emission Factors'!$J$33,'Emission Factors'!$J$34))</f>
        <v/>
      </c>
      <c r="AK38" s="38" t="str">
        <f>IF(F38="","",IF(C38="CP-1",IF('Concrete Plant (CP-1)'!$I$13&gt;0,'Concrete Plant (CP-1)'!$I$13,AJ38*R38),IF(C38="CP-2",IF('Concrete Plant (CP-2)'!$I$13&gt;0,'Concrete Plant (CP-2)'!$I$13,AJ38*R38),IF(C38="CP-3",IF('Concrete Plant (CP-3)'!$I$13&gt;0,'Concrete Plant (CP-3)'!$I$13,AJ38*R38),IF(C38="CP-4",IF('Concrete Plant (CP-4)'!$I$13&gt;0,'Concrete Plant (CP-4)'!$I$13,AJ38*R38),IF(C38="CP-5",IF('Concrete Plant (CP-5)'!$I$13&gt;0,'Concrete Plant (CP-5)'!$I$13,AJ38*R38),IF(C38="CP-6",IF('Concrete Plant (CP-6)'!$I$13&gt;0,'Concrete Plant (CP-6)'!$I$13,AJ38*R38),IF(C38="CP-7",IF('Concrete Plant (CP-7)'!$I$13&gt;0,'Concrete Plant (CP-7)'!$I$13,AJ38*R38),IF(C38="CP-8",IF('Concrete Plant (CP-8)'!$I$13&gt;0,'Concrete Plant (CP-8)'!$I$13,AJ38*R38),IF(C38="CP-9",IF('Concrete Plant (CP-9)'!$I$13&gt;0,'Concrete Plant (CP-9)'!$I$13,AJ38*R38),IF(C38="CP-10",IF('Concrete Plant (CP-10)'!$I$13&gt;0,'Concrete Plant (CP-10)'!$I$13,AJ38*R38))))))))))))</f>
        <v/>
      </c>
      <c r="AL38" s="38" t="str">
        <f t="shared" si="41"/>
        <v/>
      </c>
      <c r="AM38" s="38" t="str">
        <f t="shared" si="42"/>
        <v/>
      </c>
      <c r="AN38" s="38" t="str">
        <f>IF(F38="","",IF(B38="no",'Emission Factors'!$L$33,'Emission Factors'!$L$34))</f>
        <v/>
      </c>
      <c r="AO38" s="38" t="str">
        <f>IF(F38="","",IF(C38="CP-1",IF('Concrete Plant (CP-1)'!$I$14&gt;0,'Concrete Plant (CP-1)'!$I$14,AN38*R38),IF(C38="CP-2",IF('Concrete Plant (CP-2)'!$I$14&gt;0,'Concrete Plant (CP-2)'!$I$14,AN38*R38),IF(C38="CP-3",IF('Concrete Plant (CP-3)'!$I$14&gt;0,'Concrete Plant (CP-3)'!$I$14,AN38*R38),IF(C38="CP-4",IF('Concrete Plant (CP-4)'!$I$14&gt;0,'Concrete Plant (CP-4)'!$I$14,AN38*R38),IF(C38="CP-5",IF('Concrete Plant (CP-5)'!$I$14&gt;0,'Concrete Plant (CP-5)'!$I$14,AN38*R38),IF(C38="CP-6",IF('Concrete Plant (CP-6)'!$I$14&gt;0,'Concrete Plant (CP-6)'!$I$14,AN38*R38),IF(C38="CP-7",IF('Concrete Plant (CP-7)'!$I$14&gt;0,'Concrete Plant (CP-7)'!$I$14,AN38*R38),IF(C38="CP-8",IF('Concrete Plant (CP-8)'!$I$14&gt;0,'Concrete Plant (CP-8)'!$I$14,AN38*R38),IF(C38="CP-9",IF('Concrete Plant (CP-9)'!$I$14&gt;0,'Concrete Plant (CP-9)'!$I$14,AN38*R38),IF(C38="CP-10",IF('Concrete Plant (CP-10)'!$I$14&gt;0,'Concrete Plant (CP-10)'!$I$14,AN38*R38))))))))))))</f>
        <v/>
      </c>
      <c r="AP38" s="38" t="str">
        <f t="shared" si="43"/>
        <v/>
      </c>
      <c r="AQ38" s="38" t="str">
        <f t="shared" si="44"/>
        <v/>
      </c>
      <c r="AR38" s="38" t="str">
        <f>IF(F38="","",IF(B38="no",'Emission Factors'!$N$33,'Emission Factors'!$N$34))</f>
        <v/>
      </c>
      <c r="AS38" s="38" t="str">
        <f>IF(F38="","",IF(C38="CP-1",IF('Concrete Plant (CP-1)'!$I$15&gt;0,'Concrete Plant (CP-1)'!$I$15,AR38*R38),IF(C38="CP-2",IF('Concrete Plant (CP-2)'!$I$15&gt;0,'Concrete Plant (CP-2)'!$I$15,AR38*R38),IF(C38="CP-3",IF('Concrete Plant (CP-3)'!$I$15&gt;0,'Concrete Plant (CP-3)'!$I$15,AR38*R38),IF(C38="CP-4",IF('Concrete Plant (CP-4)'!$I$15&gt;0,'Concrete Plant (CP-4)'!$I$15,AR38*R38),IF(C38="CP-5",IF('Concrete Plant (CP-5)'!$I$15&gt;0,'Concrete Plant (CP-5)'!$I$15,AR38*R38),IF(C38="CP-6",IF('Concrete Plant (CP-6)'!$I$15&gt;0,'Concrete Plant (CP-6)'!$I$15,AR38*R38),IF(C38="CP-7",IF('Concrete Plant (CP-7)'!$I$15&gt;0,'Concrete Plant (CP-7)'!$I$15,AR38*R38),IF(C38="CP-8",IF('Concrete Plant (CP-8)'!$I$15&gt;0,'Concrete Plant (CP-8)'!$I$15,AR38*R38),IF(C38="CP-9",IF('Concrete Plant (CP-9)'!$I$15&gt;0,'Concrete Plant (CP-9)'!$I$15,AR38*R38),IF(C38="CP-10",IF('Concrete Plant (CP-10)'!$I$15&gt;0,'Concrete Plant (CP-10)'!$I$15,AR38*R38))))))))))))</f>
        <v/>
      </c>
      <c r="AT38" s="38" t="str">
        <f t="shared" si="45"/>
        <v/>
      </c>
      <c r="AU38" s="38" t="str">
        <f t="shared" si="46"/>
        <v/>
      </c>
      <c r="AV38" s="38" t="str">
        <f>IF(F38="","",IF(B38="no",'Emission Factors'!$P$33,'Emission Factors'!$P$34))</f>
        <v/>
      </c>
      <c r="AW38" s="38" t="str">
        <f t="shared" si="47"/>
        <v/>
      </c>
      <c r="AX38" s="38" t="str">
        <f t="shared" si="48"/>
        <v/>
      </c>
      <c r="AY38" s="38" t="str">
        <f t="shared" si="49"/>
        <v/>
      </c>
      <c r="AZ38" s="38" t="str">
        <f>IF(F38="","",IF(B38="no",'Emission Factors'!$R$33,'Emission Factors'!$R$34))</f>
        <v/>
      </c>
      <c r="BA38" s="38" t="str">
        <f t="shared" si="50"/>
        <v/>
      </c>
      <c r="BB38" s="38" t="str">
        <f t="shared" si="51"/>
        <v/>
      </c>
      <c r="BC38" s="38" t="str">
        <f t="shared" si="52"/>
        <v/>
      </c>
    </row>
    <row r="39" spans="2:55" ht="12" customHeight="1" x14ac:dyDescent="0.25">
      <c r="B39" s="6" t="str">
        <f t="shared" si="30"/>
        <v>no</v>
      </c>
      <c r="C39" s="34"/>
      <c r="D39" s="34"/>
      <c r="E39" s="34"/>
      <c r="F39" s="35"/>
      <c r="G39" s="34"/>
      <c r="H39" s="36"/>
      <c r="I39" s="36"/>
      <c r="J39" s="115"/>
      <c r="K39" s="36">
        <f t="shared" si="53"/>
        <v>0.5</v>
      </c>
      <c r="L39" s="36"/>
      <c r="M39" s="36"/>
      <c r="N39" s="36"/>
      <c r="O39" s="36"/>
      <c r="P39" s="36"/>
      <c r="Q39" s="36"/>
      <c r="R39" s="39" t="str">
        <f t="shared" si="31"/>
        <v/>
      </c>
      <c r="S39" s="36"/>
      <c r="T39" s="38" t="str">
        <f t="shared" si="32"/>
        <v/>
      </c>
      <c r="U39" s="129"/>
      <c r="V39" s="129">
        <f t="shared" si="33"/>
        <v>0</v>
      </c>
      <c r="W39" s="129" t="str">
        <f t="shared" si="34"/>
        <v/>
      </c>
      <c r="X39" s="38" t="str">
        <f>IF(F39="","",IF(B39="no",'Emission Factors'!$D$33,'Emission Factors'!$D$34))</f>
        <v/>
      </c>
      <c r="Y39" s="38" t="str">
        <f t="shared" si="35"/>
        <v/>
      </c>
      <c r="Z39" s="38" t="str">
        <f t="shared" si="36"/>
        <v/>
      </c>
      <c r="AA39" s="38" t="str">
        <f t="shared" si="37"/>
        <v/>
      </c>
      <c r="AB39" s="38" t="str">
        <f>IF(F39="","",IF(B39="no",'Emission Factors'!$F$33,'Emission Factors'!$F$34))</f>
        <v/>
      </c>
      <c r="AC39" s="38" t="str">
        <f t="shared" si="38"/>
        <v/>
      </c>
      <c r="AD39" s="38" t="str">
        <f t="shared" si="39"/>
        <v/>
      </c>
      <c r="AE39" s="38" t="str">
        <f t="shared" si="40"/>
        <v/>
      </c>
      <c r="AF39" s="38" t="str">
        <f>IF(F39="","",IF(B39="no",'Emission Factors'!$H$33,'Emission Factors'!$H$34))</f>
        <v/>
      </c>
      <c r="AG39" s="38" t="str">
        <f>IF(F39="","",IF(C39="CP-1",IF('Concrete Plant (CP-1)'!$I$12&gt;0,'Concrete Plant (CP-1)'!$I$12,AF39*R39*K39),IF(C39="CP-2",IF('Concrete Plant (CP-2)'!$I$12&gt;0,'Concrete Plant (CP-2)'!$I$12,AF39*R39*K39),IF(C39="CP-3",IF('Concrete Plant (CP-3)'!$I$12&gt;0,'Concrete Plant (CP-3)'!$I$12,AF39*R39*K39),IF(C39="CP-4",IF('Concrete Plant (CP-4)'!$I$12&gt;0,'Concrete Plant (CP-4)'!$I$12,AF39*R39*K39),IF(C39="CP-5",IF('Concrete Plant (CP-5)'!$I$12&gt;0,'Concrete Plant (CP-5)'!$I$12,AF39*R39*K39),IF(C39="CP-6",IF('Concrete Plant (CP-6)'!$I$12&gt;0,'Concrete Plant (CP-6)'!$I$12,AF39*R39*K39),IF(C39="CP-7",IF('Concrete Plant (CP-7)'!$I$12&gt;0,'Concrete Plant (CP-7)'!$I$12,AF39*R39*K39),IF(C39="CP-8",IF('Concrete Plant (CP-8)'!$I$12&gt;0,'Concrete Plant (CP-8)'!$I$12,AF39*R39*K39),IF(C39="CP-9",IF('Concrete Plant (CP-9)'!$I$12&gt;0,'Concrete Plant (CP-9)'!$I$12,AF39*R39*K39),IF(C39="CP-10",IF('Concrete Plant (CP-10)'!$I$12&gt;0,'Concrete Plant (CP-10)'!$I$12,AF39*R39*K39))))))))))))</f>
        <v/>
      </c>
      <c r="AH39" s="38" t="str">
        <f t="shared" si="12"/>
        <v/>
      </c>
      <c r="AI39" s="38" t="str">
        <f t="shared" si="13"/>
        <v/>
      </c>
      <c r="AJ39" s="38" t="str">
        <f>IF(F39="","",IF(B39="no",'Emission Factors'!$J$33,'Emission Factors'!$J$34))</f>
        <v/>
      </c>
      <c r="AK39" s="38" t="str">
        <f>IF(F39="","",IF(C39="CP-1",IF('Concrete Plant (CP-1)'!$I$13&gt;0,'Concrete Plant (CP-1)'!$I$13,AJ39*R39),IF(C39="CP-2",IF('Concrete Plant (CP-2)'!$I$13&gt;0,'Concrete Plant (CP-2)'!$I$13,AJ39*R39),IF(C39="CP-3",IF('Concrete Plant (CP-3)'!$I$13&gt;0,'Concrete Plant (CP-3)'!$I$13,AJ39*R39),IF(C39="CP-4",IF('Concrete Plant (CP-4)'!$I$13&gt;0,'Concrete Plant (CP-4)'!$I$13,AJ39*R39),IF(C39="CP-5",IF('Concrete Plant (CP-5)'!$I$13&gt;0,'Concrete Plant (CP-5)'!$I$13,AJ39*R39),IF(C39="CP-6",IF('Concrete Plant (CP-6)'!$I$13&gt;0,'Concrete Plant (CP-6)'!$I$13,AJ39*R39),IF(C39="CP-7",IF('Concrete Plant (CP-7)'!$I$13&gt;0,'Concrete Plant (CP-7)'!$I$13,AJ39*R39),IF(C39="CP-8",IF('Concrete Plant (CP-8)'!$I$13&gt;0,'Concrete Plant (CP-8)'!$I$13,AJ39*R39),IF(C39="CP-9",IF('Concrete Plant (CP-9)'!$I$13&gt;0,'Concrete Plant (CP-9)'!$I$13,AJ39*R39),IF(C39="CP-10",IF('Concrete Plant (CP-10)'!$I$13&gt;0,'Concrete Plant (CP-10)'!$I$13,AJ39*R39))))))))))))</f>
        <v/>
      </c>
      <c r="AL39" s="38" t="str">
        <f t="shared" si="41"/>
        <v/>
      </c>
      <c r="AM39" s="38" t="str">
        <f t="shared" si="42"/>
        <v/>
      </c>
      <c r="AN39" s="38" t="str">
        <f>IF(F39="","",IF(B39="no",'Emission Factors'!$L$33,'Emission Factors'!$L$34))</f>
        <v/>
      </c>
      <c r="AO39" s="38" t="str">
        <f>IF(F39="","",IF(C39="CP-1",IF('Concrete Plant (CP-1)'!$I$14&gt;0,'Concrete Plant (CP-1)'!$I$14,AN39*R39),IF(C39="CP-2",IF('Concrete Plant (CP-2)'!$I$14&gt;0,'Concrete Plant (CP-2)'!$I$14,AN39*R39),IF(C39="CP-3",IF('Concrete Plant (CP-3)'!$I$14&gt;0,'Concrete Plant (CP-3)'!$I$14,AN39*R39),IF(C39="CP-4",IF('Concrete Plant (CP-4)'!$I$14&gt;0,'Concrete Plant (CP-4)'!$I$14,AN39*R39),IF(C39="CP-5",IF('Concrete Plant (CP-5)'!$I$14&gt;0,'Concrete Plant (CP-5)'!$I$14,AN39*R39),IF(C39="CP-6",IF('Concrete Plant (CP-6)'!$I$14&gt;0,'Concrete Plant (CP-6)'!$I$14,AN39*R39),IF(C39="CP-7",IF('Concrete Plant (CP-7)'!$I$14&gt;0,'Concrete Plant (CP-7)'!$I$14,AN39*R39),IF(C39="CP-8",IF('Concrete Plant (CP-8)'!$I$14&gt;0,'Concrete Plant (CP-8)'!$I$14,AN39*R39),IF(C39="CP-9",IF('Concrete Plant (CP-9)'!$I$14&gt;0,'Concrete Plant (CP-9)'!$I$14,AN39*R39),IF(C39="CP-10",IF('Concrete Plant (CP-10)'!$I$14&gt;0,'Concrete Plant (CP-10)'!$I$14,AN39*R39))))))))))))</f>
        <v/>
      </c>
      <c r="AP39" s="38" t="str">
        <f t="shared" si="43"/>
        <v/>
      </c>
      <c r="AQ39" s="38" t="str">
        <f t="shared" si="44"/>
        <v/>
      </c>
      <c r="AR39" s="38" t="str">
        <f>IF(F39="","",IF(B39="no",'Emission Factors'!$N$33,'Emission Factors'!$N$34))</f>
        <v/>
      </c>
      <c r="AS39" s="38" t="str">
        <f>IF(F39="","",IF(C39="CP-1",IF('Concrete Plant (CP-1)'!$I$15&gt;0,'Concrete Plant (CP-1)'!$I$15,AR39*R39),IF(C39="CP-2",IF('Concrete Plant (CP-2)'!$I$15&gt;0,'Concrete Plant (CP-2)'!$I$15,AR39*R39),IF(C39="CP-3",IF('Concrete Plant (CP-3)'!$I$15&gt;0,'Concrete Plant (CP-3)'!$I$15,AR39*R39),IF(C39="CP-4",IF('Concrete Plant (CP-4)'!$I$15&gt;0,'Concrete Plant (CP-4)'!$I$15,AR39*R39),IF(C39="CP-5",IF('Concrete Plant (CP-5)'!$I$15&gt;0,'Concrete Plant (CP-5)'!$I$15,AR39*R39),IF(C39="CP-6",IF('Concrete Plant (CP-6)'!$I$15&gt;0,'Concrete Plant (CP-6)'!$I$15,AR39*R39),IF(C39="CP-7",IF('Concrete Plant (CP-7)'!$I$15&gt;0,'Concrete Plant (CP-7)'!$I$15,AR39*R39),IF(C39="CP-8",IF('Concrete Plant (CP-8)'!$I$15&gt;0,'Concrete Plant (CP-8)'!$I$15,AR39*R39),IF(C39="CP-9",IF('Concrete Plant (CP-9)'!$I$15&gt;0,'Concrete Plant (CP-9)'!$I$15,AR39*R39),IF(C39="CP-10",IF('Concrete Plant (CP-10)'!$I$15&gt;0,'Concrete Plant (CP-10)'!$I$15,AR39*R39))))))))))))</f>
        <v/>
      </c>
      <c r="AT39" s="38" t="str">
        <f t="shared" si="45"/>
        <v/>
      </c>
      <c r="AU39" s="38" t="str">
        <f t="shared" si="46"/>
        <v/>
      </c>
      <c r="AV39" s="38" t="str">
        <f>IF(F39="","",IF(B39="no",'Emission Factors'!$P$33,'Emission Factors'!$P$34))</f>
        <v/>
      </c>
      <c r="AW39" s="38" t="str">
        <f t="shared" si="47"/>
        <v/>
      </c>
      <c r="AX39" s="38" t="str">
        <f t="shared" si="48"/>
        <v/>
      </c>
      <c r="AY39" s="38" t="str">
        <f t="shared" si="49"/>
        <v/>
      </c>
      <c r="AZ39" s="38" t="str">
        <f>IF(F39="","",IF(B39="no",'Emission Factors'!$R$33,'Emission Factors'!$R$34))</f>
        <v/>
      </c>
      <c r="BA39" s="38" t="str">
        <f t="shared" si="50"/>
        <v/>
      </c>
      <c r="BB39" s="38" t="str">
        <f t="shared" si="51"/>
        <v/>
      </c>
      <c r="BC39" s="38" t="str">
        <f t="shared" si="52"/>
        <v/>
      </c>
    </row>
    <row r="40" spans="2:55" ht="12" customHeight="1" x14ac:dyDescent="0.25">
      <c r="B40" s="6" t="str">
        <f t="shared" si="30"/>
        <v>no</v>
      </c>
      <c r="C40" s="34"/>
      <c r="D40" s="34"/>
      <c r="E40" s="34"/>
      <c r="F40" s="35"/>
      <c r="G40" s="34"/>
      <c r="H40" s="36"/>
      <c r="I40" s="36"/>
      <c r="J40" s="115"/>
      <c r="K40" s="36">
        <f t="shared" si="53"/>
        <v>0.5</v>
      </c>
      <c r="L40" s="36"/>
      <c r="M40" s="36"/>
      <c r="N40" s="36"/>
      <c r="O40" s="36"/>
      <c r="P40" s="36"/>
      <c r="Q40" s="36"/>
      <c r="R40" s="39" t="str">
        <f t="shared" si="31"/>
        <v/>
      </c>
      <c r="S40" s="36"/>
      <c r="T40" s="38" t="str">
        <f t="shared" si="32"/>
        <v/>
      </c>
      <c r="U40" s="129"/>
      <c r="V40" s="129">
        <f t="shared" si="33"/>
        <v>0</v>
      </c>
      <c r="W40" s="129" t="str">
        <f t="shared" si="34"/>
        <v/>
      </c>
      <c r="X40" s="38" t="str">
        <f>IF(F40="","",IF(B40="no",'Emission Factors'!$D$33,'Emission Factors'!$D$34))</f>
        <v/>
      </c>
      <c r="Y40" s="38" t="str">
        <f t="shared" si="35"/>
        <v/>
      </c>
      <c r="Z40" s="38" t="str">
        <f t="shared" si="36"/>
        <v/>
      </c>
      <c r="AA40" s="38" t="str">
        <f t="shared" si="37"/>
        <v/>
      </c>
      <c r="AB40" s="38" t="str">
        <f>IF(F40="","",IF(B40="no",'Emission Factors'!$F$33,'Emission Factors'!$F$34))</f>
        <v/>
      </c>
      <c r="AC40" s="38" t="str">
        <f t="shared" si="38"/>
        <v/>
      </c>
      <c r="AD40" s="38" t="str">
        <f t="shared" si="39"/>
        <v/>
      </c>
      <c r="AE40" s="38" t="str">
        <f t="shared" si="40"/>
        <v/>
      </c>
      <c r="AF40" s="38" t="str">
        <f>IF(F40="","",IF(B40="no",'Emission Factors'!$H$33,'Emission Factors'!$H$34))</f>
        <v/>
      </c>
      <c r="AG40" s="38" t="str">
        <f>IF(F40="","",IF(C40="CP-1",IF('Concrete Plant (CP-1)'!$I$12&gt;0,'Concrete Plant (CP-1)'!$I$12,AF40*R40*K40),IF(C40="CP-2",IF('Concrete Plant (CP-2)'!$I$12&gt;0,'Concrete Plant (CP-2)'!$I$12,AF40*R40*K40),IF(C40="CP-3",IF('Concrete Plant (CP-3)'!$I$12&gt;0,'Concrete Plant (CP-3)'!$I$12,AF40*R40*K40),IF(C40="CP-4",IF('Concrete Plant (CP-4)'!$I$12&gt;0,'Concrete Plant (CP-4)'!$I$12,AF40*R40*K40),IF(C40="CP-5",IF('Concrete Plant (CP-5)'!$I$12&gt;0,'Concrete Plant (CP-5)'!$I$12,AF40*R40*K40),IF(C40="CP-6",IF('Concrete Plant (CP-6)'!$I$12&gt;0,'Concrete Plant (CP-6)'!$I$12,AF40*R40*K40),IF(C40="CP-7",IF('Concrete Plant (CP-7)'!$I$12&gt;0,'Concrete Plant (CP-7)'!$I$12,AF40*R40*K40),IF(C40="CP-8",IF('Concrete Plant (CP-8)'!$I$12&gt;0,'Concrete Plant (CP-8)'!$I$12,AF40*R40*K40),IF(C40="CP-9",IF('Concrete Plant (CP-9)'!$I$12&gt;0,'Concrete Plant (CP-9)'!$I$12,AF40*R40*K40),IF(C40="CP-10",IF('Concrete Plant (CP-10)'!$I$12&gt;0,'Concrete Plant (CP-10)'!$I$12,AF40*R40*K40))))))))))))</f>
        <v/>
      </c>
      <c r="AH40" s="38" t="str">
        <f t="shared" si="12"/>
        <v/>
      </c>
      <c r="AI40" s="38" t="str">
        <f t="shared" si="13"/>
        <v/>
      </c>
      <c r="AJ40" s="38" t="str">
        <f>IF(F40="","",IF(B40="no",'Emission Factors'!$J$33,'Emission Factors'!$J$34))</f>
        <v/>
      </c>
      <c r="AK40" s="38" t="str">
        <f>IF(F40="","",IF(C40="CP-1",IF('Concrete Plant (CP-1)'!$I$13&gt;0,'Concrete Plant (CP-1)'!$I$13,AJ40*R40),IF(C40="CP-2",IF('Concrete Plant (CP-2)'!$I$13&gt;0,'Concrete Plant (CP-2)'!$I$13,AJ40*R40),IF(C40="CP-3",IF('Concrete Plant (CP-3)'!$I$13&gt;0,'Concrete Plant (CP-3)'!$I$13,AJ40*R40),IF(C40="CP-4",IF('Concrete Plant (CP-4)'!$I$13&gt;0,'Concrete Plant (CP-4)'!$I$13,AJ40*R40),IF(C40="CP-5",IF('Concrete Plant (CP-5)'!$I$13&gt;0,'Concrete Plant (CP-5)'!$I$13,AJ40*R40),IF(C40="CP-6",IF('Concrete Plant (CP-6)'!$I$13&gt;0,'Concrete Plant (CP-6)'!$I$13,AJ40*R40),IF(C40="CP-7",IF('Concrete Plant (CP-7)'!$I$13&gt;0,'Concrete Plant (CP-7)'!$I$13,AJ40*R40),IF(C40="CP-8",IF('Concrete Plant (CP-8)'!$I$13&gt;0,'Concrete Plant (CP-8)'!$I$13,AJ40*R40),IF(C40="CP-9",IF('Concrete Plant (CP-9)'!$I$13&gt;0,'Concrete Plant (CP-9)'!$I$13,AJ40*R40),IF(C40="CP-10",IF('Concrete Plant (CP-10)'!$I$13&gt;0,'Concrete Plant (CP-10)'!$I$13,AJ40*R40))))))))))))</f>
        <v/>
      </c>
      <c r="AL40" s="38" t="str">
        <f t="shared" si="41"/>
        <v/>
      </c>
      <c r="AM40" s="38" t="str">
        <f t="shared" si="42"/>
        <v/>
      </c>
      <c r="AN40" s="38" t="str">
        <f>IF(F40="","",IF(B40="no",'Emission Factors'!$L$33,'Emission Factors'!$L$34))</f>
        <v/>
      </c>
      <c r="AO40" s="38" t="str">
        <f>IF(F40="","",IF(C40="CP-1",IF('Concrete Plant (CP-1)'!$I$14&gt;0,'Concrete Plant (CP-1)'!$I$14,AN40*R40),IF(C40="CP-2",IF('Concrete Plant (CP-2)'!$I$14&gt;0,'Concrete Plant (CP-2)'!$I$14,AN40*R40),IF(C40="CP-3",IF('Concrete Plant (CP-3)'!$I$14&gt;0,'Concrete Plant (CP-3)'!$I$14,AN40*R40),IF(C40="CP-4",IF('Concrete Plant (CP-4)'!$I$14&gt;0,'Concrete Plant (CP-4)'!$I$14,AN40*R40),IF(C40="CP-5",IF('Concrete Plant (CP-5)'!$I$14&gt;0,'Concrete Plant (CP-5)'!$I$14,AN40*R40),IF(C40="CP-6",IF('Concrete Plant (CP-6)'!$I$14&gt;0,'Concrete Plant (CP-6)'!$I$14,AN40*R40),IF(C40="CP-7",IF('Concrete Plant (CP-7)'!$I$14&gt;0,'Concrete Plant (CP-7)'!$I$14,AN40*R40),IF(C40="CP-8",IF('Concrete Plant (CP-8)'!$I$14&gt;0,'Concrete Plant (CP-8)'!$I$14,AN40*R40),IF(C40="CP-9",IF('Concrete Plant (CP-9)'!$I$14&gt;0,'Concrete Plant (CP-9)'!$I$14,AN40*R40),IF(C40="CP-10",IF('Concrete Plant (CP-10)'!$I$14&gt;0,'Concrete Plant (CP-10)'!$I$14,AN40*R40))))))))))))</f>
        <v/>
      </c>
      <c r="AP40" s="38" t="str">
        <f t="shared" si="43"/>
        <v/>
      </c>
      <c r="AQ40" s="38" t="str">
        <f t="shared" si="44"/>
        <v/>
      </c>
      <c r="AR40" s="38" t="str">
        <f>IF(F40="","",IF(B40="no",'Emission Factors'!$N$33,'Emission Factors'!$N$34))</f>
        <v/>
      </c>
      <c r="AS40" s="38" t="str">
        <f>IF(F40="","",IF(C40="CP-1",IF('Concrete Plant (CP-1)'!$I$15&gt;0,'Concrete Plant (CP-1)'!$I$15,AR40*R40),IF(C40="CP-2",IF('Concrete Plant (CP-2)'!$I$15&gt;0,'Concrete Plant (CP-2)'!$I$15,AR40*R40),IF(C40="CP-3",IF('Concrete Plant (CP-3)'!$I$15&gt;0,'Concrete Plant (CP-3)'!$I$15,AR40*R40),IF(C40="CP-4",IF('Concrete Plant (CP-4)'!$I$15&gt;0,'Concrete Plant (CP-4)'!$I$15,AR40*R40),IF(C40="CP-5",IF('Concrete Plant (CP-5)'!$I$15&gt;0,'Concrete Plant (CP-5)'!$I$15,AR40*R40),IF(C40="CP-6",IF('Concrete Plant (CP-6)'!$I$15&gt;0,'Concrete Plant (CP-6)'!$I$15,AR40*R40),IF(C40="CP-7",IF('Concrete Plant (CP-7)'!$I$15&gt;0,'Concrete Plant (CP-7)'!$I$15,AR40*R40),IF(C40="CP-8",IF('Concrete Plant (CP-8)'!$I$15&gt;0,'Concrete Plant (CP-8)'!$I$15,AR40*R40),IF(C40="CP-9",IF('Concrete Plant (CP-9)'!$I$15&gt;0,'Concrete Plant (CP-9)'!$I$15,AR40*R40),IF(C40="CP-10",IF('Concrete Plant (CP-10)'!$I$15&gt;0,'Concrete Plant (CP-10)'!$I$15,AR40*R40))))))))))))</f>
        <v/>
      </c>
      <c r="AT40" s="38" t="str">
        <f t="shared" si="45"/>
        <v/>
      </c>
      <c r="AU40" s="38" t="str">
        <f t="shared" si="46"/>
        <v/>
      </c>
      <c r="AV40" s="38" t="str">
        <f>IF(F40="","",IF(B40="no",'Emission Factors'!$P$33,'Emission Factors'!$P$34))</f>
        <v/>
      </c>
      <c r="AW40" s="38" t="str">
        <f t="shared" si="47"/>
        <v/>
      </c>
      <c r="AX40" s="38" t="str">
        <f t="shared" si="48"/>
        <v/>
      </c>
      <c r="AY40" s="38" t="str">
        <f t="shared" si="49"/>
        <v/>
      </c>
      <c r="AZ40" s="38" t="str">
        <f>IF(F40="","",IF(B40="no",'Emission Factors'!$R$33,'Emission Factors'!$R$34))</f>
        <v/>
      </c>
      <c r="BA40" s="38" t="str">
        <f t="shared" si="50"/>
        <v/>
      </c>
      <c r="BB40" s="38" t="str">
        <f t="shared" si="51"/>
        <v/>
      </c>
      <c r="BC40" s="38" t="str">
        <f t="shared" si="52"/>
        <v/>
      </c>
    </row>
    <row r="41" spans="2:55" ht="12" customHeight="1" x14ac:dyDescent="0.25">
      <c r="B41" s="6" t="str">
        <f t="shared" si="30"/>
        <v>no</v>
      </c>
      <c r="C41" s="34"/>
      <c r="D41" s="34"/>
      <c r="E41" s="34"/>
      <c r="F41" s="35"/>
      <c r="G41" s="34"/>
      <c r="H41" s="36"/>
      <c r="I41" s="36"/>
      <c r="J41" s="115"/>
      <c r="K41" s="36">
        <f t="shared" si="53"/>
        <v>0.5</v>
      </c>
      <c r="L41" s="36"/>
      <c r="M41" s="36"/>
      <c r="N41" s="36"/>
      <c r="O41" s="36"/>
      <c r="P41" s="36"/>
      <c r="Q41" s="36"/>
      <c r="R41" s="39" t="str">
        <f t="shared" si="31"/>
        <v/>
      </c>
      <c r="S41" s="36"/>
      <c r="T41" s="38" t="str">
        <f t="shared" si="32"/>
        <v/>
      </c>
      <c r="U41" s="129"/>
      <c r="V41" s="129">
        <f t="shared" si="33"/>
        <v>0</v>
      </c>
      <c r="W41" s="129" t="str">
        <f t="shared" si="34"/>
        <v/>
      </c>
      <c r="X41" s="38" t="str">
        <f>IF(F41="","",IF(B41="no",'Emission Factors'!$D$33,'Emission Factors'!$D$34))</f>
        <v/>
      </c>
      <c r="Y41" s="38" t="str">
        <f t="shared" si="35"/>
        <v/>
      </c>
      <c r="Z41" s="38" t="str">
        <f t="shared" si="36"/>
        <v/>
      </c>
      <c r="AA41" s="38" t="str">
        <f t="shared" si="37"/>
        <v/>
      </c>
      <c r="AB41" s="38" t="str">
        <f>IF(F41="","",IF(B41="no",'Emission Factors'!$F$33,'Emission Factors'!$F$34))</f>
        <v/>
      </c>
      <c r="AC41" s="38" t="str">
        <f t="shared" si="38"/>
        <v/>
      </c>
      <c r="AD41" s="38" t="str">
        <f t="shared" si="39"/>
        <v/>
      </c>
      <c r="AE41" s="38" t="str">
        <f t="shared" si="40"/>
        <v/>
      </c>
      <c r="AF41" s="38" t="str">
        <f>IF(F41="","",IF(B41="no",'Emission Factors'!$H$33,'Emission Factors'!$H$34))</f>
        <v/>
      </c>
      <c r="AG41" s="38" t="str">
        <f>IF(F41="","",IF(C41="CP-1",IF('Concrete Plant (CP-1)'!$I$12&gt;0,'Concrete Plant (CP-1)'!$I$12,AF41*R41*K41),IF(C41="CP-2",IF('Concrete Plant (CP-2)'!$I$12&gt;0,'Concrete Plant (CP-2)'!$I$12,AF41*R41*K41),IF(C41="CP-3",IF('Concrete Plant (CP-3)'!$I$12&gt;0,'Concrete Plant (CP-3)'!$I$12,AF41*R41*K41),IF(C41="CP-4",IF('Concrete Plant (CP-4)'!$I$12&gt;0,'Concrete Plant (CP-4)'!$I$12,AF41*R41*K41),IF(C41="CP-5",IF('Concrete Plant (CP-5)'!$I$12&gt;0,'Concrete Plant (CP-5)'!$I$12,AF41*R41*K41),IF(C41="CP-6",IF('Concrete Plant (CP-6)'!$I$12&gt;0,'Concrete Plant (CP-6)'!$I$12,AF41*R41*K41),IF(C41="CP-7",IF('Concrete Plant (CP-7)'!$I$12&gt;0,'Concrete Plant (CP-7)'!$I$12,AF41*R41*K41),IF(C41="CP-8",IF('Concrete Plant (CP-8)'!$I$12&gt;0,'Concrete Plant (CP-8)'!$I$12,AF41*R41*K41),IF(C41="CP-9",IF('Concrete Plant (CP-9)'!$I$12&gt;0,'Concrete Plant (CP-9)'!$I$12,AF41*R41*K41),IF(C41="CP-10",IF('Concrete Plant (CP-10)'!$I$12&gt;0,'Concrete Plant (CP-10)'!$I$12,AF41*R41*K41))))))))))))</f>
        <v/>
      </c>
      <c r="AH41" s="38" t="str">
        <f t="shared" si="12"/>
        <v/>
      </c>
      <c r="AI41" s="38" t="str">
        <f t="shared" si="13"/>
        <v/>
      </c>
      <c r="AJ41" s="38" t="str">
        <f>IF(F41="","",IF(B41="no",'Emission Factors'!$J$33,'Emission Factors'!$J$34))</f>
        <v/>
      </c>
      <c r="AK41" s="38" t="str">
        <f>IF(F41="","",IF(C41="CP-1",IF('Concrete Plant (CP-1)'!$I$13&gt;0,'Concrete Plant (CP-1)'!$I$13,AJ41*R41),IF(C41="CP-2",IF('Concrete Plant (CP-2)'!$I$13&gt;0,'Concrete Plant (CP-2)'!$I$13,AJ41*R41),IF(C41="CP-3",IF('Concrete Plant (CP-3)'!$I$13&gt;0,'Concrete Plant (CP-3)'!$I$13,AJ41*R41),IF(C41="CP-4",IF('Concrete Plant (CP-4)'!$I$13&gt;0,'Concrete Plant (CP-4)'!$I$13,AJ41*R41),IF(C41="CP-5",IF('Concrete Plant (CP-5)'!$I$13&gt;0,'Concrete Plant (CP-5)'!$I$13,AJ41*R41),IF(C41="CP-6",IF('Concrete Plant (CP-6)'!$I$13&gt;0,'Concrete Plant (CP-6)'!$I$13,AJ41*R41),IF(C41="CP-7",IF('Concrete Plant (CP-7)'!$I$13&gt;0,'Concrete Plant (CP-7)'!$I$13,AJ41*R41),IF(C41="CP-8",IF('Concrete Plant (CP-8)'!$I$13&gt;0,'Concrete Plant (CP-8)'!$I$13,AJ41*R41),IF(C41="CP-9",IF('Concrete Plant (CP-9)'!$I$13&gt;0,'Concrete Plant (CP-9)'!$I$13,AJ41*R41),IF(C41="CP-10",IF('Concrete Plant (CP-10)'!$I$13&gt;0,'Concrete Plant (CP-10)'!$I$13,AJ41*R41))))))))))))</f>
        <v/>
      </c>
      <c r="AL41" s="38" t="str">
        <f t="shared" si="41"/>
        <v/>
      </c>
      <c r="AM41" s="38" t="str">
        <f t="shared" si="42"/>
        <v/>
      </c>
      <c r="AN41" s="38" t="str">
        <f>IF(F41="","",IF(B41="no",'Emission Factors'!$L$33,'Emission Factors'!$L$34))</f>
        <v/>
      </c>
      <c r="AO41" s="38" t="str">
        <f>IF(F41="","",IF(C41="CP-1",IF('Concrete Plant (CP-1)'!$I$14&gt;0,'Concrete Plant (CP-1)'!$I$14,AN41*R41),IF(C41="CP-2",IF('Concrete Plant (CP-2)'!$I$14&gt;0,'Concrete Plant (CP-2)'!$I$14,AN41*R41),IF(C41="CP-3",IF('Concrete Plant (CP-3)'!$I$14&gt;0,'Concrete Plant (CP-3)'!$I$14,AN41*R41),IF(C41="CP-4",IF('Concrete Plant (CP-4)'!$I$14&gt;0,'Concrete Plant (CP-4)'!$I$14,AN41*R41),IF(C41="CP-5",IF('Concrete Plant (CP-5)'!$I$14&gt;0,'Concrete Plant (CP-5)'!$I$14,AN41*R41),IF(C41="CP-6",IF('Concrete Plant (CP-6)'!$I$14&gt;0,'Concrete Plant (CP-6)'!$I$14,AN41*R41),IF(C41="CP-7",IF('Concrete Plant (CP-7)'!$I$14&gt;0,'Concrete Plant (CP-7)'!$I$14,AN41*R41),IF(C41="CP-8",IF('Concrete Plant (CP-8)'!$I$14&gt;0,'Concrete Plant (CP-8)'!$I$14,AN41*R41),IF(C41="CP-9",IF('Concrete Plant (CP-9)'!$I$14&gt;0,'Concrete Plant (CP-9)'!$I$14,AN41*R41),IF(C41="CP-10",IF('Concrete Plant (CP-10)'!$I$14&gt;0,'Concrete Plant (CP-10)'!$I$14,AN41*R41))))))))))))</f>
        <v/>
      </c>
      <c r="AP41" s="38" t="str">
        <f t="shared" si="43"/>
        <v/>
      </c>
      <c r="AQ41" s="38" t="str">
        <f t="shared" si="44"/>
        <v/>
      </c>
      <c r="AR41" s="38" t="str">
        <f>IF(F41="","",IF(B41="no",'Emission Factors'!$N$33,'Emission Factors'!$N$34))</f>
        <v/>
      </c>
      <c r="AS41" s="38" t="str">
        <f>IF(F41="","",IF(C41="CP-1",IF('Concrete Plant (CP-1)'!$I$15&gt;0,'Concrete Plant (CP-1)'!$I$15,AR41*R41),IF(C41="CP-2",IF('Concrete Plant (CP-2)'!$I$15&gt;0,'Concrete Plant (CP-2)'!$I$15,AR41*R41),IF(C41="CP-3",IF('Concrete Plant (CP-3)'!$I$15&gt;0,'Concrete Plant (CP-3)'!$I$15,AR41*R41),IF(C41="CP-4",IF('Concrete Plant (CP-4)'!$I$15&gt;0,'Concrete Plant (CP-4)'!$I$15,AR41*R41),IF(C41="CP-5",IF('Concrete Plant (CP-5)'!$I$15&gt;0,'Concrete Plant (CP-5)'!$I$15,AR41*R41),IF(C41="CP-6",IF('Concrete Plant (CP-6)'!$I$15&gt;0,'Concrete Plant (CP-6)'!$I$15,AR41*R41),IF(C41="CP-7",IF('Concrete Plant (CP-7)'!$I$15&gt;0,'Concrete Plant (CP-7)'!$I$15,AR41*R41),IF(C41="CP-8",IF('Concrete Plant (CP-8)'!$I$15&gt;0,'Concrete Plant (CP-8)'!$I$15,AR41*R41),IF(C41="CP-9",IF('Concrete Plant (CP-9)'!$I$15&gt;0,'Concrete Plant (CP-9)'!$I$15,AR41*R41),IF(C41="CP-10",IF('Concrete Plant (CP-10)'!$I$15&gt;0,'Concrete Plant (CP-10)'!$I$15,AR41*R41))))))))))))</f>
        <v/>
      </c>
      <c r="AT41" s="38" t="str">
        <f t="shared" si="45"/>
        <v/>
      </c>
      <c r="AU41" s="38" t="str">
        <f t="shared" si="46"/>
        <v/>
      </c>
      <c r="AV41" s="38" t="str">
        <f>IF(F41="","",IF(B41="no",'Emission Factors'!$P$33,'Emission Factors'!$P$34))</f>
        <v/>
      </c>
      <c r="AW41" s="38" t="str">
        <f t="shared" si="47"/>
        <v/>
      </c>
      <c r="AX41" s="38" t="str">
        <f t="shared" si="48"/>
        <v/>
      </c>
      <c r="AY41" s="38" t="str">
        <f t="shared" si="49"/>
        <v/>
      </c>
      <c r="AZ41" s="38" t="str">
        <f>IF(F41="","",IF(B41="no",'Emission Factors'!$R$33,'Emission Factors'!$R$34))</f>
        <v/>
      </c>
      <c r="BA41" s="38" t="str">
        <f t="shared" si="50"/>
        <v/>
      </c>
      <c r="BB41" s="38" t="str">
        <f t="shared" si="51"/>
        <v/>
      </c>
      <c r="BC41" s="38" t="str">
        <f t="shared" si="52"/>
        <v/>
      </c>
    </row>
    <row r="42" spans="2:55" ht="12" customHeight="1" x14ac:dyDescent="0.25">
      <c r="B42" s="6" t="str">
        <f t="shared" si="30"/>
        <v>no</v>
      </c>
      <c r="C42" s="34"/>
      <c r="D42" s="34"/>
      <c r="E42" s="34"/>
      <c r="F42" s="35"/>
      <c r="G42" s="34"/>
      <c r="H42" s="36"/>
      <c r="I42" s="36"/>
      <c r="J42" s="115"/>
      <c r="K42" s="36">
        <f t="shared" si="53"/>
        <v>0.5</v>
      </c>
      <c r="L42" s="36"/>
      <c r="M42" s="36"/>
      <c r="N42" s="36"/>
      <c r="O42" s="36"/>
      <c r="P42" s="36"/>
      <c r="Q42" s="36"/>
      <c r="R42" s="39" t="str">
        <f t="shared" si="31"/>
        <v/>
      </c>
      <c r="S42" s="36"/>
      <c r="T42" s="38" t="str">
        <f t="shared" si="32"/>
        <v/>
      </c>
      <c r="U42" s="129"/>
      <c r="V42" s="129">
        <f t="shared" si="33"/>
        <v>0</v>
      </c>
      <c r="W42" s="129" t="str">
        <f t="shared" si="34"/>
        <v/>
      </c>
      <c r="X42" s="38" t="str">
        <f>IF(F42="","",IF(B42="no",'Emission Factors'!$D$33,'Emission Factors'!$D$34))</f>
        <v/>
      </c>
      <c r="Y42" s="38" t="str">
        <f t="shared" si="35"/>
        <v/>
      </c>
      <c r="Z42" s="38" t="str">
        <f t="shared" si="36"/>
        <v/>
      </c>
      <c r="AA42" s="38" t="str">
        <f t="shared" si="37"/>
        <v/>
      </c>
      <c r="AB42" s="38" t="str">
        <f>IF(F42="","",IF(B42="no",'Emission Factors'!$F$33,'Emission Factors'!$F$34))</f>
        <v/>
      </c>
      <c r="AC42" s="38" t="str">
        <f t="shared" si="38"/>
        <v/>
      </c>
      <c r="AD42" s="38" t="str">
        <f t="shared" si="39"/>
        <v/>
      </c>
      <c r="AE42" s="38" t="str">
        <f t="shared" si="40"/>
        <v/>
      </c>
      <c r="AF42" s="38" t="str">
        <f>IF(F42="","",IF(B42="no",'Emission Factors'!$H$33,'Emission Factors'!$H$34))</f>
        <v/>
      </c>
      <c r="AG42" s="38" t="str">
        <f>IF(F42="","",IF(C42="CP-1",IF('Concrete Plant (CP-1)'!$I$12&gt;0,'Concrete Plant (CP-1)'!$I$12,AF42*R42*K42),IF(C42="CP-2",IF('Concrete Plant (CP-2)'!$I$12&gt;0,'Concrete Plant (CP-2)'!$I$12,AF42*R42*K42),IF(C42="CP-3",IF('Concrete Plant (CP-3)'!$I$12&gt;0,'Concrete Plant (CP-3)'!$I$12,AF42*R42*K42),IF(C42="CP-4",IF('Concrete Plant (CP-4)'!$I$12&gt;0,'Concrete Plant (CP-4)'!$I$12,AF42*R42*K42),IF(C42="CP-5",IF('Concrete Plant (CP-5)'!$I$12&gt;0,'Concrete Plant (CP-5)'!$I$12,AF42*R42*K42),IF(C42="CP-6",IF('Concrete Plant (CP-6)'!$I$12&gt;0,'Concrete Plant (CP-6)'!$I$12,AF42*R42*K42),IF(C42="CP-7",IF('Concrete Plant (CP-7)'!$I$12&gt;0,'Concrete Plant (CP-7)'!$I$12,AF42*R42*K42),IF(C42="CP-8",IF('Concrete Plant (CP-8)'!$I$12&gt;0,'Concrete Plant (CP-8)'!$I$12,AF42*R42*K42),IF(C42="CP-9",IF('Concrete Plant (CP-9)'!$I$12&gt;0,'Concrete Plant (CP-9)'!$I$12,AF42*R42*K42),IF(C42="CP-10",IF('Concrete Plant (CP-10)'!$I$12&gt;0,'Concrete Plant (CP-10)'!$I$12,AF42*R42*K42))))))))))))</f>
        <v/>
      </c>
      <c r="AH42" s="38" t="str">
        <f t="shared" si="12"/>
        <v/>
      </c>
      <c r="AI42" s="38" t="str">
        <f t="shared" si="13"/>
        <v/>
      </c>
      <c r="AJ42" s="38" t="str">
        <f>IF(F42="","",IF(B42="no",'Emission Factors'!$J$33,'Emission Factors'!$J$34))</f>
        <v/>
      </c>
      <c r="AK42" s="38" t="str">
        <f>IF(F42="","",IF(C42="CP-1",IF('Concrete Plant (CP-1)'!$I$13&gt;0,'Concrete Plant (CP-1)'!$I$13,AJ42*R42),IF(C42="CP-2",IF('Concrete Plant (CP-2)'!$I$13&gt;0,'Concrete Plant (CP-2)'!$I$13,AJ42*R42),IF(C42="CP-3",IF('Concrete Plant (CP-3)'!$I$13&gt;0,'Concrete Plant (CP-3)'!$I$13,AJ42*R42),IF(C42="CP-4",IF('Concrete Plant (CP-4)'!$I$13&gt;0,'Concrete Plant (CP-4)'!$I$13,AJ42*R42),IF(C42="CP-5",IF('Concrete Plant (CP-5)'!$I$13&gt;0,'Concrete Plant (CP-5)'!$I$13,AJ42*R42),IF(C42="CP-6",IF('Concrete Plant (CP-6)'!$I$13&gt;0,'Concrete Plant (CP-6)'!$I$13,AJ42*R42),IF(C42="CP-7",IF('Concrete Plant (CP-7)'!$I$13&gt;0,'Concrete Plant (CP-7)'!$I$13,AJ42*R42),IF(C42="CP-8",IF('Concrete Plant (CP-8)'!$I$13&gt;0,'Concrete Plant (CP-8)'!$I$13,AJ42*R42),IF(C42="CP-9",IF('Concrete Plant (CP-9)'!$I$13&gt;0,'Concrete Plant (CP-9)'!$I$13,AJ42*R42),IF(C42="CP-10",IF('Concrete Plant (CP-10)'!$I$13&gt;0,'Concrete Plant (CP-10)'!$I$13,AJ42*R42))))))))))))</f>
        <v/>
      </c>
      <c r="AL42" s="38" t="str">
        <f t="shared" si="41"/>
        <v/>
      </c>
      <c r="AM42" s="38" t="str">
        <f t="shared" si="42"/>
        <v/>
      </c>
      <c r="AN42" s="38" t="str">
        <f>IF(F42="","",IF(B42="no",'Emission Factors'!$L$33,'Emission Factors'!$L$34))</f>
        <v/>
      </c>
      <c r="AO42" s="38" t="str">
        <f>IF(F42="","",IF(C42="CP-1",IF('Concrete Plant (CP-1)'!$I$14&gt;0,'Concrete Plant (CP-1)'!$I$14,AN42*R42),IF(C42="CP-2",IF('Concrete Plant (CP-2)'!$I$14&gt;0,'Concrete Plant (CP-2)'!$I$14,AN42*R42),IF(C42="CP-3",IF('Concrete Plant (CP-3)'!$I$14&gt;0,'Concrete Plant (CP-3)'!$I$14,AN42*R42),IF(C42="CP-4",IF('Concrete Plant (CP-4)'!$I$14&gt;0,'Concrete Plant (CP-4)'!$I$14,AN42*R42),IF(C42="CP-5",IF('Concrete Plant (CP-5)'!$I$14&gt;0,'Concrete Plant (CP-5)'!$I$14,AN42*R42),IF(C42="CP-6",IF('Concrete Plant (CP-6)'!$I$14&gt;0,'Concrete Plant (CP-6)'!$I$14,AN42*R42),IF(C42="CP-7",IF('Concrete Plant (CP-7)'!$I$14&gt;0,'Concrete Plant (CP-7)'!$I$14,AN42*R42),IF(C42="CP-8",IF('Concrete Plant (CP-8)'!$I$14&gt;0,'Concrete Plant (CP-8)'!$I$14,AN42*R42),IF(C42="CP-9",IF('Concrete Plant (CP-9)'!$I$14&gt;0,'Concrete Plant (CP-9)'!$I$14,AN42*R42),IF(C42="CP-10",IF('Concrete Plant (CP-10)'!$I$14&gt;0,'Concrete Plant (CP-10)'!$I$14,AN42*R42))))))))))))</f>
        <v/>
      </c>
      <c r="AP42" s="38" t="str">
        <f t="shared" si="43"/>
        <v/>
      </c>
      <c r="AQ42" s="38" t="str">
        <f t="shared" si="44"/>
        <v/>
      </c>
      <c r="AR42" s="38" t="str">
        <f>IF(F42="","",IF(B42="no",'Emission Factors'!$N$33,'Emission Factors'!$N$34))</f>
        <v/>
      </c>
      <c r="AS42" s="38" t="str">
        <f>IF(F42="","",IF(C42="CP-1",IF('Concrete Plant (CP-1)'!$I$15&gt;0,'Concrete Plant (CP-1)'!$I$15,AR42*R42),IF(C42="CP-2",IF('Concrete Plant (CP-2)'!$I$15&gt;0,'Concrete Plant (CP-2)'!$I$15,AR42*R42),IF(C42="CP-3",IF('Concrete Plant (CP-3)'!$I$15&gt;0,'Concrete Plant (CP-3)'!$I$15,AR42*R42),IF(C42="CP-4",IF('Concrete Plant (CP-4)'!$I$15&gt;0,'Concrete Plant (CP-4)'!$I$15,AR42*R42),IF(C42="CP-5",IF('Concrete Plant (CP-5)'!$I$15&gt;0,'Concrete Plant (CP-5)'!$I$15,AR42*R42),IF(C42="CP-6",IF('Concrete Plant (CP-6)'!$I$15&gt;0,'Concrete Plant (CP-6)'!$I$15,AR42*R42),IF(C42="CP-7",IF('Concrete Plant (CP-7)'!$I$15&gt;0,'Concrete Plant (CP-7)'!$I$15,AR42*R42),IF(C42="CP-8",IF('Concrete Plant (CP-8)'!$I$15&gt;0,'Concrete Plant (CP-8)'!$I$15,AR42*R42),IF(C42="CP-9",IF('Concrete Plant (CP-9)'!$I$15&gt;0,'Concrete Plant (CP-9)'!$I$15,AR42*R42),IF(C42="CP-10",IF('Concrete Plant (CP-10)'!$I$15&gt;0,'Concrete Plant (CP-10)'!$I$15,AR42*R42))))))))))))</f>
        <v/>
      </c>
      <c r="AT42" s="38" t="str">
        <f t="shared" si="45"/>
        <v/>
      </c>
      <c r="AU42" s="38" t="str">
        <f t="shared" si="46"/>
        <v/>
      </c>
      <c r="AV42" s="38" t="str">
        <f>IF(F42="","",IF(B42="no",'Emission Factors'!$P$33,'Emission Factors'!$P$34))</f>
        <v/>
      </c>
      <c r="AW42" s="38" t="str">
        <f t="shared" si="47"/>
        <v/>
      </c>
      <c r="AX42" s="38" t="str">
        <f t="shared" si="48"/>
        <v/>
      </c>
      <c r="AY42" s="38" t="str">
        <f t="shared" si="49"/>
        <v/>
      </c>
      <c r="AZ42" s="38" t="str">
        <f>IF(F42="","",IF(B42="no",'Emission Factors'!$R$33,'Emission Factors'!$R$34))</f>
        <v/>
      </c>
      <c r="BA42" s="38" t="str">
        <f t="shared" si="50"/>
        <v/>
      </c>
      <c r="BB42" s="38" t="str">
        <f t="shared" si="51"/>
        <v/>
      </c>
      <c r="BC42" s="38" t="str">
        <f t="shared" si="52"/>
        <v/>
      </c>
    </row>
    <row r="43" spans="2:55" ht="12" customHeight="1" x14ac:dyDescent="0.25">
      <c r="B43" s="6" t="str">
        <f t="shared" si="30"/>
        <v>no</v>
      </c>
      <c r="C43" s="34"/>
      <c r="D43" s="34"/>
      <c r="E43" s="34"/>
      <c r="F43" s="35"/>
      <c r="G43" s="34"/>
      <c r="H43" s="36"/>
      <c r="I43" s="36"/>
      <c r="J43" s="115"/>
      <c r="K43" s="36">
        <f t="shared" si="53"/>
        <v>0.5</v>
      </c>
      <c r="L43" s="36"/>
      <c r="M43" s="36"/>
      <c r="N43" s="36"/>
      <c r="O43" s="36"/>
      <c r="P43" s="36"/>
      <c r="Q43" s="36"/>
      <c r="R43" s="39" t="str">
        <f t="shared" si="31"/>
        <v/>
      </c>
      <c r="S43" s="36"/>
      <c r="T43" s="38" t="str">
        <f t="shared" si="32"/>
        <v/>
      </c>
      <c r="U43" s="129"/>
      <c r="V43" s="129">
        <f t="shared" si="33"/>
        <v>0</v>
      </c>
      <c r="W43" s="129" t="str">
        <f t="shared" si="34"/>
        <v/>
      </c>
      <c r="X43" s="38" t="str">
        <f>IF(F43="","",IF(B43="no",'Emission Factors'!$D$33,'Emission Factors'!$D$34))</f>
        <v/>
      </c>
      <c r="Y43" s="38" t="str">
        <f t="shared" si="35"/>
        <v/>
      </c>
      <c r="Z43" s="38" t="str">
        <f t="shared" si="36"/>
        <v/>
      </c>
      <c r="AA43" s="38" t="str">
        <f t="shared" si="37"/>
        <v/>
      </c>
      <c r="AB43" s="38" t="str">
        <f>IF(F43="","",IF(B43="no",'Emission Factors'!$F$33,'Emission Factors'!$F$34))</f>
        <v/>
      </c>
      <c r="AC43" s="38" t="str">
        <f t="shared" si="38"/>
        <v/>
      </c>
      <c r="AD43" s="38" t="str">
        <f t="shared" si="39"/>
        <v/>
      </c>
      <c r="AE43" s="38" t="str">
        <f t="shared" si="40"/>
        <v/>
      </c>
      <c r="AF43" s="38" t="str">
        <f>IF(F43="","",IF(B43="no",'Emission Factors'!$H$33,'Emission Factors'!$H$34))</f>
        <v/>
      </c>
      <c r="AG43" s="38" t="str">
        <f>IF(F43="","",IF(C43="CP-1",IF('Concrete Plant (CP-1)'!$I$12&gt;0,'Concrete Plant (CP-1)'!$I$12,AF43*R43*K43),IF(C43="CP-2",IF('Concrete Plant (CP-2)'!$I$12&gt;0,'Concrete Plant (CP-2)'!$I$12,AF43*R43*K43),IF(C43="CP-3",IF('Concrete Plant (CP-3)'!$I$12&gt;0,'Concrete Plant (CP-3)'!$I$12,AF43*R43*K43),IF(C43="CP-4",IF('Concrete Plant (CP-4)'!$I$12&gt;0,'Concrete Plant (CP-4)'!$I$12,AF43*R43*K43),IF(C43="CP-5",IF('Concrete Plant (CP-5)'!$I$12&gt;0,'Concrete Plant (CP-5)'!$I$12,AF43*R43*K43),IF(C43="CP-6",IF('Concrete Plant (CP-6)'!$I$12&gt;0,'Concrete Plant (CP-6)'!$I$12,AF43*R43*K43),IF(C43="CP-7",IF('Concrete Plant (CP-7)'!$I$12&gt;0,'Concrete Plant (CP-7)'!$I$12,AF43*R43*K43),IF(C43="CP-8",IF('Concrete Plant (CP-8)'!$I$12&gt;0,'Concrete Plant (CP-8)'!$I$12,AF43*R43*K43),IF(C43="CP-9",IF('Concrete Plant (CP-9)'!$I$12&gt;0,'Concrete Plant (CP-9)'!$I$12,AF43*R43*K43),IF(C43="CP-10",IF('Concrete Plant (CP-10)'!$I$12&gt;0,'Concrete Plant (CP-10)'!$I$12,AF43*R43*K43))))))))))))</f>
        <v/>
      </c>
      <c r="AH43" s="38" t="str">
        <f t="shared" si="12"/>
        <v/>
      </c>
      <c r="AI43" s="38" t="str">
        <f t="shared" si="13"/>
        <v/>
      </c>
      <c r="AJ43" s="38" t="str">
        <f>IF(F43="","",IF(B43="no",'Emission Factors'!$J$33,'Emission Factors'!$J$34))</f>
        <v/>
      </c>
      <c r="AK43" s="38" t="str">
        <f>IF(F43="","",IF(C43="CP-1",IF('Concrete Plant (CP-1)'!$I$13&gt;0,'Concrete Plant (CP-1)'!$I$13,AJ43*R43),IF(C43="CP-2",IF('Concrete Plant (CP-2)'!$I$13&gt;0,'Concrete Plant (CP-2)'!$I$13,AJ43*R43),IF(C43="CP-3",IF('Concrete Plant (CP-3)'!$I$13&gt;0,'Concrete Plant (CP-3)'!$I$13,AJ43*R43),IF(C43="CP-4",IF('Concrete Plant (CP-4)'!$I$13&gt;0,'Concrete Plant (CP-4)'!$I$13,AJ43*R43),IF(C43="CP-5",IF('Concrete Plant (CP-5)'!$I$13&gt;0,'Concrete Plant (CP-5)'!$I$13,AJ43*R43),IF(C43="CP-6",IF('Concrete Plant (CP-6)'!$I$13&gt;0,'Concrete Plant (CP-6)'!$I$13,AJ43*R43),IF(C43="CP-7",IF('Concrete Plant (CP-7)'!$I$13&gt;0,'Concrete Plant (CP-7)'!$I$13,AJ43*R43),IF(C43="CP-8",IF('Concrete Plant (CP-8)'!$I$13&gt;0,'Concrete Plant (CP-8)'!$I$13,AJ43*R43),IF(C43="CP-9",IF('Concrete Plant (CP-9)'!$I$13&gt;0,'Concrete Plant (CP-9)'!$I$13,AJ43*R43),IF(C43="CP-10",IF('Concrete Plant (CP-10)'!$I$13&gt;0,'Concrete Plant (CP-10)'!$I$13,AJ43*R43))))))))))))</f>
        <v/>
      </c>
      <c r="AL43" s="38" t="str">
        <f t="shared" si="41"/>
        <v/>
      </c>
      <c r="AM43" s="38" t="str">
        <f t="shared" si="42"/>
        <v/>
      </c>
      <c r="AN43" s="38" t="str">
        <f>IF(F43="","",IF(B43="no",'Emission Factors'!$L$33,'Emission Factors'!$L$34))</f>
        <v/>
      </c>
      <c r="AO43" s="38" t="str">
        <f>IF(F43="","",IF(C43="CP-1",IF('Concrete Plant (CP-1)'!$I$14&gt;0,'Concrete Plant (CP-1)'!$I$14,AN43*R43),IF(C43="CP-2",IF('Concrete Plant (CP-2)'!$I$14&gt;0,'Concrete Plant (CP-2)'!$I$14,AN43*R43),IF(C43="CP-3",IF('Concrete Plant (CP-3)'!$I$14&gt;0,'Concrete Plant (CP-3)'!$I$14,AN43*R43),IF(C43="CP-4",IF('Concrete Plant (CP-4)'!$I$14&gt;0,'Concrete Plant (CP-4)'!$I$14,AN43*R43),IF(C43="CP-5",IF('Concrete Plant (CP-5)'!$I$14&gt;0,'Concrete Plant (CP-5)'!$I$14,AN43*R43),IF(C43="CP-6",IF('Concrete Plant (CP-6)'!$I$14&gt;0,'Concrete Plant (CP-6)'!$I$14,AN43*R43),IF(C43="CP-7",IF('Concrete Plant (CP-7)'!$I$14&gt;0,'Concrete Plant (CP-7)'!$I$14,AN43*R43),IF(C43="CP-8",IF('Concrete Plant (CP-8)'!$I$14&gt;0,'Concrete Plant (CP-8)'!$I$14,AN43*R43),IF(C43="CP-9",IF('Concrete Plant (CP-9)'!$I$14&gt;0,'Concrete Plant (CP-9)'!$I$14,AN43*R43),IF(C43="CP-10",IF('Concrete Plant (CP-10)'!$I$14&gt;0,'Concrete Plant (CP-10)'!$I$14,AN43*R43))))))))))))</f>
        <v/>
      </c>
      <c r="AP43" s="38" t="str">
        <f t="shared" si="43"/>
        <v/>
      </c>
      <c r="AQ43" s="38" t="str">
        <f t="shared" si="44"/>
        <v/>
      </c>
      <c r="AR43" s="38" t="str">
        <f>IF(F43="","",IF(B43="no",'Emission Factors'!$N$33,'Emission Factors'!$N$34))</f>
        <v/>
      </c>
      <c r="AS43" s="38" t="str">
        <f>IF(F43="","",IF(C43="CP-1",IF('Concrete Plant (CP-1)'!$I$15&gt;0,'Concrete Plant (CP-1)'!$I$15,AR43*R43),IF(C43="CP-2",IF('Concrete Plant (CP-2)'!$I$15&gt;0,'Concrete Plant (CP-2)'!$I$15,AR43*R43),IF(C43="CP-3",IF('Concrete Plant (CP-3)'!$I$15&gt;0,'Concrete Plant (CP-3)'!$I$15,AR43*R43),IF(C43="CP-4",IF('Concrete Plant (CP-4)'!$I$15&gt;0,'Concrete Plant (CP-4)'!$I$15,AR43*R43),IF(C43="CP-5",IF('Concrete Plant (CP-5)'!$I$15&gt;0,'Concrete Plant (CP-5)'!$I$15,AR43*R43),IF(C43="CP-6",IF('Concrete Plant (CP-6)'!$I$15&gt;0,'Concrete Plant (CP-6)'!$I$15,AR43*R43),IF(C43="CP-7",IF('Concrete Plant (CP-7)'!$I$15&gt;0,'Concrete Plant (CP-7)'!$I$15,AR43*R43),IF(C43="CP-8",IF('Concrete Plant (CP-8)'!$I$15&gt;0,'Concrete Plant (CP-8)'!$I$15,AR43*R43),IF(C43="CP-9",IF('Concrete Plant (CP-9)'!$I$15&gt;0,'Concrete Plant (CP-9)'!$I$15,AR43*R43),IF(C43="CP-10",IF('Concrete Plant (CP-10)'!$I$15&gt;0,'Concrete Plant (CP-10)'!$I$15,AR43*R43))))))))))))</f>
        <v/>
      </c>
      <c r="AT43" s="38" t="str">
        <f t="shared" si="45"/>
        <v/>
      </c>
      <c r="AU43" s="38" t="str">
        <f t="shared" si="46"/>
        <v/>
      </c>
      <c r="AV43" s="38" t="str">
        <f>IF(F43="","",IF(B43="no",'Emission Factors'!$P$33,'Emission Factors'!$P$34))</f>
        <v/>
      </c>
      <c r="AW43" s="38" t="str">
        <f t="shared" si="47"/>
        <v/>
      </c>
      <c r="AX43" s="38" t="str">
        <f t="shared" si="48"/>
        <v/>
      </c>
      <c r="AY43" s="38" t="str">
        <f t="shared" si="49"/>
        <v/>
      </c>
      <c r="AZ43" s="38" t="str">
        <f>IF(F43="","",IF(B43="no",'Emission Factors'!$R$33,'Emission Factors'!$R$34))</f>
        <v/>
      </c>
      <c r="BA43" s="38" t="str">
        <f t="shared" si="50"/>
        <v/>
      </c>
      <c r="BB43" s="38" t="str">
        <f t="shared" si="51"/>
        <v/>
      </c>
      <c r="BC43" s="38" t="str">
        <f t="shared" si="52"/>
        <v/>
      </c>
    </row>
    <row r="44" spans="2:55" ht="12" customHeight="1" x14ac:dyDescent="0.25">
      <c r="B44" s="6" t="str">
        <f>IF(F44="Diesel Generator&gt; 600 bhp","yes","no")</f>
        <v>no</v>
      </c>
      <c r="C44" s="34"/>
      <c r="D44" s="34"/>
      <c r="E44" s="34"/>
      <c r="F44" s="35"/>
      <c r="G44" s="34"/>
      <c r="H44" s="36"/>
      <c r="I44" s="36"/>
      <c r="J44" s="115"/>
      <c r="K44" s="36">
        <f t="shared" si="53"/>
        <v>0.5</v>
      </c>
      <c r="L44" s="36"/>
      <c r="M44" s="36"/>
      <c r="N44" s="36"/>
      <c r="O44" s="36"/>
      <c r="P44" s="36"/>
      <c r="Q44" s="36"/>
      <c r="R44" s="39" t="str">
        <f>IF(Q44="","",Q44*0.14)</f>
        <v/>
      </c>
      <c r="S44" s="36"/>
      <c r="T44" s="38" t="str">
        <f>IF(S44="","",S44*0.14)</f>
        <v/>
      </c>
      <c r="U44" s="129"/>
      <c r="V44" s="129">
        <f t="shared" si="33"/>
        <v>0</v>
      </c>
      <c r="W44" s="129" t="str">
        <f t="shared" si="34"/>
        <v/>
      </c>
      <c r="X44" s="38" t="str">
        <f>IF(F44="","",IF(B44="no",'Emission Factors'!$D$33,'Emission Factors'!$D$34))</f>
        <v/>
      </c>
      <c r="Y44" s="38" t="str">
        <f t="shared" si="35"/>
        <v/>
      </c>
      <c r="Z44" s="38" t="str">
        <f t="shared" si="36"/>
        <v/>
      </c>
      <c r="AA44" s="38" t="str">
        <f t="shared" si="37"/>
        <v/>
      </c>
      <c r="AB44" s="38" t="str">
        <f>IF(F44="","",IF(B44="no",'Emission Factors'!$F$33,'Emission Factors'!$F$34))</f>
        <v/>
      </c>
      <c r="AC44" s="38" t="str">
        <f t="shared" si="38"/>
        <v/>
      </c>
      <c r="AD44" s="38" t="str">
        <f t="shared" si="39"/>
        <v/>
      </c>
      <c r="AE44" s="38" t="str">
        <f t="shared" si="40"/>
        <v/>
      </c>
      <c r="AF44" s="38" t="str">
        <f>IF(F44="","",IF(B44="no",'Emission Factors'!$H$33,'Emission Factors'!$H$34))</f>
        <v/>
      </c>
      <c r="AG44" s="38" t="str">
        <f>IF(F44="","",IF(C44="CP-1",IF('Concrete Plant (CP-1)'!$I$12&gt;0,'Concrete Plant (CP-1)'!$I$12,AF44*R44*K44),IF(C44="CP-2",IF('Concrete Plant (CP-2)'!$I$12&gt;0,'Concrete Plant (CP-2)'!$I$12,AF44*R44*K44),IF(C44="CP-3",IF('Concrete Plant (CP-3)'!$I$12&gt;0,'Concrete Plant (CP-3)'!$I$12,AF44*R44*K44),IF(C44="CP-4",IF('Concrete Plant (CP-4)'!$I$12&gt;0,'Concrete Plant (CP-4)'!$I$12,AF44*R44*K44),IF(C44="CP-5",IF('Concrete Plant (CP-5)'!$I$12&gt;0,'Concrete Plant (CP-5)'!$I$12,AF44*R44*K44),IF(C44="CP-6",IF('Concrete Plant (CP-6)'!$I$12&gt;0,'Concrete Plant (CP-6)'!$I$12,AF44*R44*K44),IF(C44="CP-7",IF('Concrete Plant (CP-7)'!$I$12&gt;0,'Concrete Plant (CP-7)'!$I$12,AF44*R44*K44),IF(C44="CP-8",IF('Concrete Plant (CP-8)'!$I$12&gt;0,'Concrete Plant (CP-8)'!$I$12,AF44*R44*K44),IF(C44="CP-9",IF('Concrete Plant (CP-9)'!$I$12&gt;0,'Concrete Plant (CP-9)'!$I$12,AF44*R44*K44),IF(C44="CP-10",IF('Concrete Plant (CP-10)'!$I$12&gt;0,'Concrete Plant (CP-10)'!$I$12,AF44*R44*K44))))))))))))</f>
        <v/>
      </c>
      <c r="AH44" s="38" t="str">
        <f t="shared" si="12"/>
        <v/>
      </c>
      <c r="AI44" s="38" t="str">
        <f t="shared" si="13"/>
        <v/>
      </c>
      <c r="AJ44" s="38" t="str">
        <f>IF(F44="","",IF(B44="no",'Emission Factors'!$J$33,'Emission Factors'!$J$34))</f>
        <v/>
      </c>
      <c r="AK44" s="38" t="str">
        <f>IF(F44="","",IF(C44="CP-1",IF('Concrete Plant (CP-1)'!$I$13&gt;0,'Concrete Plant (CP-1)'!$I$13,AJ44*R44),IF(C44="CP-2",IF('Concrete Plant (CP-2)'!$I$13&gt;0,'Concrete Plant (CP-2)'!$I$13,AJ44*R44),IF(C44="CP-3",IF('Concrete Plant (CP-3)'!$I$13&gt;0,'Concrete Plant (CP-3)'!$I$13,AJ44*R44),IF(C44="CP-4",IF('Concrete Plant (CP-4)'!$I$13&gt;0,'Concrete Plant (CP-4)'!$I$13,AJ44*R44),IF(C44="CP-5",IF('Concrete Plant (CP-5)'!$I$13&gt;0,'Concrete Plant (CP-5)'!$I$13,AJ44*R44),IF(C44="CP-6",IF('Concrete Plant (CP-6)'!$I$13&gt;0,'Concrete Plant (CP-6)'!$I$13,AJ44*R44),IF(C44="CP-7",IF('Concrete Plant (CP-7)'!$I$13&gt;0,'Concrete Plant (CP-7)'!$I$13,AJ44*R44),IF(C44="CP-8",IF('Concrete Plant (CP-8)'!$I$13&gt;0,'Concrete Plant (CP-8)'!$I$13,AJ44*R44),IF(C44="CP-9",IF('Concrete Plant (CP-9)'!$I$13&gt;0,'Concrete Plant (CP-9)'!$I$13,AJ44*R44),IF(C44="CP-10",IF('Concrete Plant (CP-10)'!$I$13&gt;0,'Concrete Plant (CP-10)'!$I$13,AJ44*R44))))))))))))</f>
        <v/>
      </c>
      <c r="AL44" s="38" t="str">
        <f t="shared" si="41"/>
        <v/>
      </c>
      <c r="AM44" s="38" t="str">
        <f t="shared" si="42"/>
        <v/>
      </c>
      <c r="AN44" s="38" t="str">
        <f>IF(F44="","",IF(B44="no",'Emission Factors'!$L$33,'Emission Factors'!$L$34))</f>
        <v/>
      </c>
      <c r="AO44" s="38" t="str">
        <f>IF(F44="","",IF(C44="CP-1",IF('Concrete Plant (CP-1)'!$I$14&gt;0,'Concrete Plant (CP-1)'!$I$14,AN44*R44),IF(C44="CP-2",IF('Concrete Plant (CP-2)'!$I$14&gt;0,'Concrete Plant (CP-2)'!$I$14,AN44*R44),IF(C44="CP-3",IF('Concrete Plant (CP-3)'!$I$14&gt;0,'Concrete Plant (CP-3)'!$I$14,AN44*R44),IF(C44="CP-4",IF('Concrete Plant (CP-4)'!$I$14&gt;0,'Concrete Plant (CP-4)'!$I$14,AN44*R44),IF(C44="CP-5",IF('Concrete Plant (CP-5)'!$I$14&gt;0,'Concrete Plant (CP-5)'!$I$14,AN44*R44),IF(C44="CP-6",IF('Concrete Plant (CP-6)'!$I$14&gt;0,'Concrete Plant (CP-6)'!$I$14,AN44*R44),IF(C44="CP-7",IF('Concrete Plant (CP-7)'!$I$14&gt;0,'Concrete Plant (CP-7)'!$I$14,AN44*R44),IF(C44="CP-8",IF('Concrete Plant (CP-8)'!$I$14&gt;0,'Concrete Plant (CP-8)'!$I$14,AN44*R44),IF(C44="CP-9",IF('Concrete Plant (CP-9)'!$I$14&gt;0,'Concrete Plant (CP-9)'!$I$14,AN44*R44),IF(C44="CP-10",IF('Concrete Plant (CP-10)'!$I$14&gt;0,'Concrete Plant (CP-10)'!$I$14,AN44*R44))))))))))))</f>
        <v/>
      </c>
      <c r="AP44" s="38" t="str">
        <f t="shared" si="43"/>
        <v/>
      </c>
      <c r="AQ44" s="38" t="str">
        <f t="shared" si="44"/>
        <v/>
      </c>
      <c r="AR44" s="38" t="str">
        <f>IF(F44="","",IF(B44="no",'Emission Factors'!$N$33,'Emission Factors'!$N$34))</f>
        <v/>
      </c>
      <c r="AS44" s="38" t="str">
        <f>IF(F44="","",IF(C44="CP-1",IF('Concrete Plant (CP-1)'!$I$15&gt;0,'Concrete Plant (CP-1)'!$I$15,AR44*R44),IF(C44="CP-2",IF('Concrete Plant (CP-2)'!$I$15&gt;0,'Concrete Plant (CP-2)'!$I$15,AR44*R44),IF(C44="CP-3",IF('Concrete Plant (CP-3)'!$I$15&gt;0,'Concrete Plant (CP-3)'!$I$15,AR44*R44),IF(C44="CP-4",IF('Concrete Plant (CP-4)'!$I$15&gt;0,'Concrete Plant (CP-4)'!$I$15,AR44*R44),IF(C44="CP-5",IF('Concrete Plant (CP-5)'!$I$15&gt;0,'Concrete Plant (CP-5)'!$I$15,AR44*R44),IF(C44="CP-6",IF('Concrete Plant (CP-6)'!$I$15&gt;0,'Concrete Plant (CP-6)'!$I$15,AR44*R44),IF(C44="CP-7",IF('Concrete Plant (CP-7)'!$I$15&gt;0,'Concrete Plant (CP-7)'!$I$15,AR44*R44),IF(C44="CP-8",IF('Concrete Plant (CP-8)'!$I$15&gt;0,'Concrete Plant (CP-8)'!$I$15,AR44*R44),IF(C44="CP-9",IF('Concrete Plant (CP-9)'!$I$15&gt;0,'Concrete Plant (CP-9)'!$I$15,AR44*R44),IF(C44="CP-10",IF('Concrete Plant (CP-10)'!$I$15&gt;0,'Concrete Plant (CP-10)'!$I$15,AR44*R44))))))))))))</f>
        <v/>
      </c>
      <c r="AT44" s="38" t="str">
        <f t="shared" si="45"/>
        <v/>
      </c>
      <c r="AU44" s="38" t="str">
        <f t="shared" si="46"/>
        <v/>
      </c>
      <c r="AV44" s="38" t="str">
        <f>IF(F44="","",IF(B44="no",'Emission Factors'!$P$33,'Emission Factors'!$P$34))</f>
        <v/>
      </c>
      <c r="AW44" s="38" t="str">
        <f t="shared" si="47"/>
        <v/>
      </c>
      <c r="AX44" s="38" t="str">
        <f t="shared" si="48"/>
        <v/>
      </c>
      <c r="AY44" s="38" t="str">
        <f t="shared" si="49"/>
        <v/>
      </c>
      <c r="AZ44" s="38" t="str">
        <f>IF(F44="","",IF(B44="no",'Emission Factors'!$R$33,'Emission Factors'!$R$34))</f>
        <v/>
      </c>
      <c r="BA44" s="38" t="str">
        <f t="shared" si="50"/>
        <v/>
      </c>
      <c r="BB44" s="38" t="str">
        <f t="shared" si="51"/>
        <v/>
      </c>
      <c r="BC44" s="38" t="str">
        <f t="shared" si="52"/>
        <v/>
      </c>
    </row>
    <row r="45" spans="2:55" ht="12" customHeight="1" x14ac:dyDescent="0.25">
      <c r="B45" s="6" t="str">
        <f>IF(F45="Diesel Generator&gt; 600 bhp","yes","no")</f>
        <v>no</v>
      </c>
      <c r="C45" s="34"/>
      <c r="D45" s="34"/>
      <c r="E45" s="34"/>
      <c r="F45" s="35"/>
      <c r="G45" s="34"/>
      <c r="H45" s="36"/>
      <c r="I45" s="36"/>
      <c r="J45" s="115"/>
      <c r="K45" s="36">
        <f t="shared" si="53"/>
        <v>0.5</v>
      </c>
      <c r="L45" s="36"/>
      <c r="M45" s="36"/>
      <c r="N45" s="36"/>
      <c r="O45" s="36"/>
      <c r="P45" s="36"/>
      <c r="Q45" s="36"/>
      <c r="R45" s="39" t="str">
        <f>IF(Q45="","",Q45*0.14)</f>
        <v/>
      </c>
      <c r="S45" s="36"/>
      <c r="T45" s="38" t="str">
        <f>IF(S45="","",S45*0.14)</f>
        <v/>
      </c>
      <c r="U45" s="129"/>
      <c r="V45" s="129">
        <f t="shared" si="33"/>
        <v>0</v>
      </c>
      <c r="W45" s="129" t="str">
        <f t="shared" si="34"/>
        <v/>
      </c>
      <c r="X45" s="38" t="str">
        <f>IF(F45="","",IF(B45="no",'Emission Factors'!$D$33,'Emission Factors'!$D$34))</f>
        <v/>
      </c>
      <c r="Y45" s="38" t="str">
        <f t="shared" si="35"/>
        <v/>
      </c>
      <c r="Z45" s="38" t="str">
        <f t="shared" si="36"/>
        <v/>
      </c>
      <c r="AA45" s="38" t="str">
        <f t="shared" si="37"/>
        <v/>
      </c>
      <c r="AB45" s="38" t="str">
        <f>IF(F45="","",IF(B45="no",'Emission Factors'!$F$33,'Emission Factors'!$F$34))</f>
        <v/>
      </c>
      <c r="AC45" s="38" t="str">
        <f t="shared" si="38"/>
        <v/>
      </c>
      <c r="AD45" s="38" t="str">
        <f t="shared" si="39"/>
        <v/>
      </c>
      <c r="AE45" s="38" t="str">
        <f t="shared" si="40"/>
        <v/>
      </c>
      <c r="AF45" s="38" t="str">
        <f>IF(F45="","",IF(B45="no",'Emission Factors'!$H$33,'Emission Factors'!$H$34))</f>
        <v/>
      </c>
      <c r="AG45" s="38" t="str">
        <f>IF(F45="","",IF(C45="CP-1",IF('Concrete Plant (CP-1)'!$I$12&gt;0,'Concrete Plant (CP-1)'!$I$12,AF45*R45*K45),IF(C45="CP-2",IF('Concrete Plant (CP-2)'!$I$12&gt;0,'Concrete Plant (CP-2)'!$I$12,AF45*R45*K45),IF(C45="CP-3",IF('Concrete Plant (CP-3)'!$I$12&gt;0,'Concrete Plant (CP-3)'!$I$12,AF45*R45*K45),IF(C45="CP-4",IF('Concrete Plant (CP-4)'!$I$12&gt;0,'Concrete Plant (CP-4)'!$I$12,AF45*R45*K45),IF(C45="CP-5",IF('Concrete Plant (CP-5)'!$I$12&gt;0,'Concrete Plant (CP-5)'!$I$12,AF45*R45*K45),IF(C45="CP-6",IF('Concrete Plant (CP-6)'!$I$12&gt;0,'Concrete Plant (CP-6)'!$I$12,AF45*R45*K45),IF(C45="CP-7",IF('Concrete Plant (CP-7)'!$I$12&gt;0,'Concrete Plant (CP-7)'!$I$12,AF45*R45*K45),IF(C45="CP-8",IF('Concrete Plant (CP-8)'!$I$12&gt;0,'Concrete Plant (CP-8)'!$I$12,AF45*R45*K45),IF(C45="CP-9",IF('Concrete Plant (CP-9)'!$I$12&gt;0,'Concrete Plant (CP-9)'!$I$12,AF45*R45*K45),IF(C45="CP-10",IF('Concrete Plant (CP-10)'!$I$12&gt;0,'Concrete Plant (CP-10)'!$I$12,AF45*R45*K45))))))))))))</f>
        <v/>
      </c>
      <c r="AH45" s="38" t="str">
        <f t="shared" si="12"/>
        <v/>
      </c>
      <c r="AI45" s="38" t="str">
        <f t="shared" si="13"/>
        <v/>
      </c>
      <c r="AJ45" s="38" t="str">
        <f>IF(F45="","",IF(B45="no",'Emission Factors'!$J$33,'Emission Factors'!$J$34))</f>
        <v/>
      </c>
      <c r="AK45" s="38" t="str">
        <f>IF(F45="","",IF(C45="CP-1",IF('Concrete Plant (CP-1)'!$I$13&gt;0,'Concrete Plant (CP-1)'!$I$13,AJ45*R45),IF(C45="CP-2",IF('Concrete Plant (CP-2)'!$I$13&gt;0,'Concrete Plant (CP-2)'!$I$13,AJ45*R45),IF(C45="CP-3",IF('Concrete Plant (CP-3)'!$I$13&gt;0,'Concrete Plant (CP-3)'!$I$13,AJ45*R45),IF(C45="CP-4",IF('Concrete Plant (CP-4)'!$I$13&gt;0,'Concrete Plant (CP-4)'!$I$13,AJ45*R45),IF(C45="CP-5",IF('Concrete Plant (CP-5)'!$I$13&gt;0,'Concrete Plant (CP-5)'!$I$13,AJ45*R45),IF(C45="CP-6",IF('Concrete Plant (CP-6)'!$I$13&gt;0,'Concrete Plant (CP-6)'!$I$13,AJ45*R45),IF(C45="CP-7",IF('Concrete Plant (CP-7)'!$I$13&gt;0,'Concrete Plant (CP-7)'!$I$13,AJ45*R45),IF(C45="CP-8",IF('Concrete Plant (CP-8)'!$I$13&gt;0,'Concrete Plant (CP-8)'!$I$13,AJ45*R45),IF(C45="CP-9",IF('Concrete Plant (CP-9)'!$I$13&gt;0,'Concrete Plant (CP-9)'!$I$13,AJ45*R45),IF(C45="CP-10",IF('Concrete Plant (CP-10)'!$I$13&gt;0,'Concrete Plant (CP-10)'!$I$13,AJ45*R45))))))))))))</f>
        <v/>
      </c>
      <c r="AL45" s="38" t="str">
        <f t="shared" si="41"/>
        <v/>
      </c>
      <c r="AM45" s="38" t="str">
        <f t="shared" si="42"/>
        <v/>
      </c>
      <c r="AN45" s="38" t="str">
        <f>IF(F45="","",IF(B45="no",'Emission Factors'!$L$33,'Emission Factors'!$L$34))</f>
        <v/>
      </c>
      <c r="AO45" s="38" t="str">
        <f>IF(F45="","",IF(C45="CP-1",IF('Concrete Plant (CP-1)'!$I$14&gt;0,'Concrete Plant (CP-1)'!$I$14,AN45*R45),IF(C45="CP-2",IF('Concrete Plant (CP-2)'!$I$14&gt;0,'Concrete Plant (CP-2)'!$I$14,AN45*R45),IF(C45="CP-3",IF('Concrete Plant (CP-3)'!$I$14&gt;0,'Concrete Plant (CP-3)'!$I$14,AN45*R45),IF(C45="CP-4",IF('Concrete Plant (CP-4)'!$I$14&gt;0,'Concrete Plant (CP-4)'!$I$14,AN45*R45),IF(C45="CP-5",IF('Concrete Plant (CP-5)'!$I$14&gt;0,'Concrete Plant (CP-5)'!$I$14,AN45*R45),IF(C45="CP-6",IF('Concrete Plant (CP-6)'!$I$14&gt;0,'Concrete Plant (CP-6)'!$I$14,AN45*R45),IF(C45="CP-7",IF('Concrete Plant (CP-7)'!$I$14&gt;0,'Concrete Plant (CP-7)'!$I$14,AN45*R45),IF(C45="CP-8",IF('Concrete Plant (CP-8)'!$I$14&gt;0,'Concrete Plant (CP-8)'!$I$14,AN45*R45),IF(C45="CP-9",IF('Concrete Plant (CP-9)'!$I$14&gt;0,'Concrete Plant (CP-9)'!$I$14,AN45*R45),IF(C45="CP-10",IF('Concrete Plant (CP-10)'!$I$14&gt;0,'Concrete Plant (CP-10)'!$I$14,AN45*R45))))))))))))</f>
        <v/>
      </c>
      <c r="AP45" s="38" t="str">
        <f t="shared" si="43"/>
        <v/>
      </c>
      <c r="AQ45" s="38" t="str">
        <f t="shared" si="44"/>
        <v/>
      </c>
      <c r="AR45" s="38" t="str">
        <f>IF(F45="","",IF(B45="no",'Emission Factors'!$N$33,'Emission Factors'!$N$34))</f>
        <v/>
      </c>
      <c r="AS45" s="38" t="str">
        <f>IF(F45="","",IF(C45="CP-1",IF('Concrete Plant (CP-1)'!$I$15&gt;0,'Concrete Plant (CP-1)'!$I$15,AR45*R45),IF(C45="CP-2",IF('Concrete Plant (CP-2)'!$I$15&gt;0,'Concrete Plant (CP-2)'!$I$15,AR45*R45),IF(C45="CP-3",IF('Concrete Plant (CP-3)'!$I$15&gt;0,'Concrete Plant (CP-3)'!$I$15,AR45*R45),IF(C45="CP-4",IF('Concrete Plant (CP-4)'!$I$15&gt;0,'Concrete Plant (CP-4)'!$I$15,AR45*R45),IF(C45="CP-5",IF('Concrete Plant (CP-5)'!$I$15&gt;0,'Concrete Plant (CP-5)'!$I$15,AR45*R45),IF(C45="CP-6",IF('Concrete Plant (CP-6)'!$I$15&gt;0,'Concrete Plant (CP-6)'!$I$15,AR45*R45),IF(C45="CP-7",IF('Concrete Plant (CP-7)'!$I$15&gt;0,'Concrete Plant (CP-7)'!$I$15,AR45*R45),IF(C45="CP-8",IF('Concrete Plant (CP-8)'!$I$15&gt;0,'Concrete Plant (CP-8)'!$I$15,AR45*R45),IF(C45="CP-9",IF('Concrete Plant (CP-9)'!$I$15&gt;0,'Concrete Plant (CP-9)'!$I$15,AR45*R45),IF(C45="CP-10",IF('Concrete Plant (CP-10)'!$I$15&gt;0,'Concrete Plant (CP-10)'!$I$15,AR45*R45))))))))))))</f>
        <v/>
      </c>
      <c r="AT45" s="38" t="str">
        <f t="shared" si="45"/>
        <v/>
      </c>
      <c r="AU45" s="38" t="str">
        <f t="shared" si="46"/>
        <v/>
      </c>
      <c r="AV45" s="38" t="str">
        <f>IF(F45="","",IF(B45="no",'Emission Factors'!$P$33,'Emission Factors'!$P$34))</f>
        <v/>
      </c>
      <c r="AW45" s="38" t="str">
        <f t="shared" si="47"/>
        <v/>
      </c>
      <c r="AX45" s="38" t="str">
        <f t="shared" si="48"/>
        <v/>
      </c>
      <c r="AY45" s="38" t="str">
        <f t="shared" si="49"/>
        <v/>
      </c>
      <c r="AZ45" s="38" t="str">
        <f>IF(F45="","",IF(B45="no",'Emission Factors'!$R$33,'Emission Factors'!$R$34))</f>
        <v/>
      </c>
      <c r="BA45" s="38" t="str">
        <f t="shared" si="50"/>
        <v/>
      </c>
      <c r="BB45" s="38" t="str">
        <f t="shared" si="51"/>
        <v/>
      </c>
      <c r="BC45" s="38" t="str">
        <f t="shared" si="52"/>
        <v/>
      </c>
    </row>
    <row r="46" spans="2:55" ht="12" customHeight="1" x14ac:dyDescent="0.25">
      <c r="B46" s="6" t="str">
        <f>IF(F46="Diesel Generator&gt; 600 bhp","yes","no")</f>
        <v>no</v>
      </c>
      <c r="C46" s="34"/>
      <c r="D46" s="34"/>
      <c r="E46" s="34"/>
      <c r="F46" s="35"/>
      <c r="G46" s="34"/>
      <c r="H46" s="36"/>
      <c r="I46" s="36"/>
      <c r="J46" s="115"/>
      <c r="K46" s="36">
        <f t="shared" si="53"/>
        <v>0.5</v>
      </c>
      <c r="L46" s="36"/>
      <c r="M46" s="36"/>
      <c r="N46" s="36"/>
      <c r="O46" s="36"/>
      <c r="P46" s="36"/>
      <c r="Q46" s="36"/>
      <c r="R46" s="39" t="str">
        <f>IF(Q46="","",Q46*0.14)</f>
        <v/>
      </c>
      <c r="S46" s="36"/>
      <c r="T46" s="38" t="str">
        <f>IF(S46="","",S46*0.14)</f>
        <v/>
      </c>
      <c r="U46" s="129"/>
      <c r="V46" s="129">
        <f t="shared" si="33"/>
        <v>0</v>
      </c>
      <c r="W46" s="129" t="str">
        <f t="shared" si="34"/>
        <v/>
      </c>
      <c r="X46" s="38" t="str">
        <f>IF(F46="","",IF(B46="no",'Emission Factors'!$D$33,'Emission Factors'!$D$34))</f>
        <v/>
      </c>
      <c r="Y46" s="38" t="str">
        <f t="shared" si="35"/>
        <v/>
      </c>
      <c r="Z46" s="38" t="str">
        <f t="shared" si="36"/>
        <v/>
      </c>
      <c r="AA46" s="38" t="str">
        <f t="shared" si="37"/>
        <v/>
      </c>
      <c r="AB46" s="38" t="str">
        <f>IF(F46="","",IF(B46="no",'Emission Factors'!$F$33,'Emission Factors'!$F$34))</f>
        <v/>
      </c>
      <c r="AC46" s="38" t="str">
        <f t="shared" si="38"/>
        <v/>
      </c>
      <c r="AD46" s="38" t="str">
        <f t="shared" si="39"/>
        <v/>
      </c>
      <c r="AE46" s="38" t="str">
        <f t="shared" si="40"/>
        <v/>
      </c>
      <c r="AF46" s="38" t="str">
        <f>IF(F46="","",IF(B46="no",'Emission Factors'!$H$33,'Emission Factors'!$H$34))</f>
        <v/>
      </c>
      <c r="AG46" s="38" t="str">
        <f>IF(F46="","",IF(C46="CP-1",IF('Concrete Plant (CP-1)'!$I$12&gt;0,'Concrete Plant (CP-1)'!$I$12,AF46*R46*K46),IF(C46="CP-2",IF('Concrete Plant (CP-2)'!$I$12&gt;0,'Concrete Plant (CP-2)'!$I$12,AF46*R46*K46),IF(C46="CP-3",IF('Concrete Plant (CP-3)'!$I$12&gt;0,'Concrete Plant (CP-3)'!$I$12,AF46*R46*K46),IF(C46="CP-4",IF('Concrete Plant (CP-4)'!$I$12&gt;0,'Concrete Plant (CP-4)'!$I$12,AF46*R46*K46),IF(C46="CP-5",IF('Concrete Plant (CP-5)'!$I$12&gt;0,'Concrete Plant (CP-5)'!$I$12,AF46*R46*K46),IF(C46="CP-6",IF('Concrete Plant (CP-6)'!$I$12&gt;0,'Concrete Plant (CP-6)'!$I$12,AF46*R46*K46),IF(C46="CP-7",IF('Concrete Plant (CP-7)'!$I$12&gt;0,'Concrete Plant (CP-7)'!$I$12,AF46*R46*K46),IF(C46="CP-8",IF('Concrete Plant (CP-8)'!$I$12&gt;0,'Concrete Plant (CP-8)'!$I$12,AF46*R46*K46),IF(C46="CP-9",IF('Concrete Plant (CP-9)'!$I$12&gt;0,'Concrete Plant (CP-9)'!$I$12,AF46*R46*K46),IF(C46="CP-10",IF('Concrete Plant (CP-10)'!$I$12&gt;0,'Concrete Plant (CP-10)'!$I$12,AF46*R46*K46))))))))))))</f>
        <v/>
      </c>
      <c r="AH46" s="38" t="str">
        <f t="shared" si="12"/>
        <v/>
      </c>
      <c r="AI46" s="38" t="str">
        <f t="shared" si="13"/>
        <v/>
      </c>
      <c r="AJ46" s="38" t="str">
        <f>IF(F46="","",IF(B46="no",'Emission Factors'!$J$33,'Emission Factors'!$J$34))</f>
        <v/>
      </c>
      <c r="AK46" s="38" t="str">
        <f>IF(F46="","",IF(C46="CP-1",IF('Concrete Plant (CP-1)'!$I$13&gt;0,'Concrete Plant (CP-1)'!$I$13,AJ46*R46),IF(C46="CP-2",IF('Concrete Plant (CP-2)'!$I$13&gt;0,'Concrete Plant (CP-2)'!$I$13,AJ46*R46),IF(C46="CP-3",IF('Concrete Plant (CP-3)'!$I$13&gt;0,'Concrete Plant (CP-3)'!$I$13,AJ46*R46),IF(C46="CP-4",IF('Concrete Plant (CP-4)'!$I$13&gt;0,'Concrete Plant (CP-4)'!$I$13,AJ46*R46),IF(C46="CP-5",IF('Concrete Plant (CP-5)'!$I$13&gt;0,'Concrete Plant (CP-5)'!$I$13,AJ46*R46),IF(C46="CP-6",IF('Concrete Plant (CP-6)'!$I$13&gt;0,'Concrete Plant (CP-6)'!$I$13,AJ46*R46),IF(C46="CP-7",IF('Concrete Plant (CP-7)'!$I$13&gt;0,'Concrete Plant (CP-7)'!$I$13,AJ46*R46),IF(C46="CP-8",IF('Concrete Plant (CP-8)'!$I$13&gt;0,'Concrete Plant (CP-8)'!$I$13,AJ46*R46),IF(C46="CP-9",IF('Concrete Plant (CP-9)'!$I$13&gt;0,'Concrete Plant (CP-9)'!$I$13,AJ46*R46),IF(C46="CP-10",IF('Concrete Plant (CP-10)'!$I$13&gt;0,'Concrete Plant (CP-10)'!$I$13,AJ46*R46))))))))))))</f>
        <v/>
      </c>
      <c r="AL46" s="38" t="str">
        <f t="shared" si="41"/>
        <v/>
      </c>
      <c r="AM46" s="38" t="str">
        <f t="shared" si="42"/>
        <v/>
      </c>
      <c r="AN46" s="38" t="str">
        <f>IF(F46="","",IF(B46="no",'Emission Factors'!$L$33,'Emission Factors'!$L$34))</f>
        <v/>
      </c>
      <c r="AO46" s="38" t="str">
        <f>IF(F46="","",IF(C46="CP-1",IF('Concrete Plant (CP-1)'!$I$14&gt;0,'Concrete Plant (CP-1)'!$I$14,AN46*R46),IF(C46="CP-2",IF('Concrete Plant (CP-2)'!$I$14&gt;0,'Concrete Plant (CP-2)'!$I$14,AN46*R46),IF(C46="CP-3",IF('Concrete Plant (CP-3)'!$I$14&gt;0,'Concrete Plant (CP-3)'!$I$14,AN46*R46),IF(C46="CP-4",IF('Concrete Plant (CP-4)'!$I$14&gt;0,'Concrete Plant (CP-4)'!$I$14,AN46*R46),IF(C46="CP-5",IF('Concrete Plant (CP-5)'!$I$14&gt;0,'Concrete Plant (CP-5)'!$I$14,AN46*R46),IF(C46="CP-6",IF('Concrete Plant (CP-6)'!$I$14&gt;0,'Concrete Plant (CP-6)'!$I$14,AN46*R46),IF(C46="CP-7",IF('Concrete Plant (CP-7)'!$I$14&gt;0,'Concrete Plant (CP-7)'!$I$14,AN46*R46),IF(C46="CP-8",IF('Concrete Plant (CP-8)'!$I$14&gt;0,'Concrete Plant (CP-8)'!$I$14,AN46*R46),IF(C46="CP-9",IF('Concrete Plant (CP-9)'!$I$14&gt;0,'Concrete Plant (CP-9)'!$I$14,AN46*R46),IF(C46="CP-10",IF('Concrete Plant (CP-10)'!$I$14&gt;0,'Concrete Plant (CP-10)'!$I$14,AN46*R46))))))))))))</f>
        <v/>
      </c>
      <c r="AP46" s="38" t="str">
        <f t="shared" si="43"/>
        <v/>
      </c>
      <c r="AQ46" s="38" t="str">
        <f t="shared" si="44"/>
        <v/>
      </c>
      <c r="AR46" s="38" t="str">
        <f>IF(F46="","",IF(B46="no",'Emission Factors'!$N$33,'Emission Factors'!$N$34))</f>
        <v/>
      </c>
      <c r="AS46" s="38" t="str">
        <f>IF(F46="","",IF(C46="CP-1",IF('Concrete Plant (CP-1)'!$I$15&gt;0,'Concrete Plant (CP-1)'!$I$15,AR46*R46),IF(C46="CP-2",IF('Concrete Plant (CP-2)'!$I$15&gt;0,'Concrete Plant (CP-2)'!$I$15,AR46*R46),IF(C46="CP-3",IF('Concrete Plant (CP-3)'!$I$15&gt;0,'Concrete Plant (CP-3)'!$I$15,AR46*R46),IF(C46="CP-4",IF('Concrete Plant (CP-4)'!$I$15&gt;0,'Concrete Plant (CP-4)'!$I$15,AR46*R46),IF(C46="CP-5",IF('Concrete Plant (CP-5)'!$I$15&gt;0,'Concrete Plant (CP-5)'!$I$15,AR46*R46),IF(C46="CP-6",IF('Concrete Plant (CP-6)'!$I$15&gt;0,'Concrete Plant (CP-6)'!$I$15,AR46*R46),IF(C46="CP-7",IF('Concrete Plant (CP-7)'!$I$15&gt;0,'Concrete Plant (CP-7)'!$I$15,AR46*R46),IF(C46="CP-8",IF('Concrete Plant (CP-8)'!$I$15&gt;0,'Concrete Plant (CP-8)'!$I$15,AR46*R46),IF(C46="CP-9",IF('Concrete Plant (CP-9)'!$I$15&gt;0,'Concrete Plant (CP-9)'!$I$15,AR46*R46),IF(C46="CP-10",IF('Concrete Plant (CP-10)'!$I$15&gt;0,'Concrete Plant (CP-10)'!$I$15,AR46*R46))))))))))))</f>
        <v/>
      </c>
      <c r="AT46" s="38" t="str">
        <f t="shared" si="45"/>
        <v/>
      </c>
      <c r="AU46" s="38" t="str">
        <f t="shared" si="46"/>
        <v/>
      </c>
      <c r="AV46" s="38" t="str">
        <f>IF(F46="","",IF(B46="no",'Emission Factors'!$P$33,'Emission Factors'!$P$34))</f>
        <v/>
      </c>
      <c r="AW46" s="38" t="str">
        <f t="shared" si="47"/>
        <v/>
      </c>
      <c r="AX46" s="38" t="str">
        <f t="shared" si="48"/>
        <v/>
      </c>
      <c r="AY46" s="38" t="str">
        <f t="shared" si="49"/>
        <v/>
      </c>
      <c r="AZ46" s="38" t="str">
        <f>IF(F46="","",IF(B46="no",'Emission Factors'!$R$33,'Emission Factors'!$R$34))</f>
        <v/>
      </c>
      <c r="BA46" s="38" t="str">
        <f t="shared" si="50"/>
        <v/>
      </c>
      <c r="BB46" s="38" t="str">
        <f t="shared" si="51"/>
        <v/>
      </c>
      <c r="BC46" s="38" t="str">
        <f t="shared" si="52"/>
        <v/>
      </c>
    </row>
    <row r="47" spans="2:55" ht="12" customHeight="1" x14ac:dyDescent="0.25">
      <c r="B47" s="6" t="str">
        <f>IF(F47="Diesel Generator&gt; 600 bhp","yes","no")</f>
        <v>no</v>
      </c>
      <c r="C47" s="34"/>
      <c r="D47" s="34"/>
      <c r="E47" s="34"/>
      <c r="F47" s="35"/>
      <c r="G47" s="34"/>
      <c r="H47" s="36"/>
      <c r="I47" s="36"/>
      <c r="J47" s="115"/>
      <c r="K47" s="36">
        <f t="shared" si="53"/>
        <v>0.5</v>
      </c>
      <c r="L47" s="36"/>
      <c r="M47" s="36"/>
      <c r="N47" s="36"/>
      <c r="O47" s="36"/>
      <c r="P47" s="36"/>
      <c r="Q47" s="36"/>
      <c r="R47" s="39" t="str">
        <f>IF(Q47="","",Q47*0.14)</f>
        <v/>
      </c>
      <c r="S47" s="36"/>
      <c r="T47" s="38" t="str">
        <f>IF(S47="","",S47*0.14)</f>
        <v/>
      </c>
      <c r="U47" s="129"/>
      <c r="V47" s="129">
        <f t="shared" si="33"/>
        <v>0</v>
      </c>
      <c r="W47" s="129" t="str">
        <f t="shared" si="34"/>
        <v/>
      </c>
      <c r="X47" s="38" t="str">
        <f>IF(F47="","",IF(B47="no",'Emission Factors'!$D$33,'Emission Factors'!$D$34))</f>
        <v/>
      </c>
      <c r="Y47" s="38" t="str">
        <f t="shared" si="35"/>
        <v/>
      </c>
      <c r="Z47" s="38" t="str">
        <f t="shared" si="36"/>
        <v/>
      </c>
      <c r="AA47" s="38" t="str">
        <f t="shared" si="37"/>
        <v/>
      </c>
      <c r="AB47" s="38" t="str">
        <f>IF(F47="","",IF(B47="no",'Emission Factors'!$F$33,'Emission Factors'!$F$34))</f>
        <v/>
      </c>
      <c r="AC47" s="38" t="str">
        <f t="shared" si="38"/>
        <v/>
      </c>
      <c r="AD47" s="38" t="str">
        <f t="shared" si="39"/>
        <v/>
      </c>
      <c r="AE47" s="38" t="str">
        <f t="shared" si="40"/>
        <v/>
      </c>
      <c r="AF47" s="38" t="str">
        <f>IF(F47="","",IF(B47="no",'Emission Factors'!$H$33,'Emission Factors'!$H$34))</f>
        <v/>
      </c>
      <c r="AG47" s="38" t="str">
        <f>IF(F47="","",IF(C47="CP-1",IF('Concrete Plant (CP-1)'!$I$12&gt;0,'Concrete Plant (CP-1)'!$I$12,AF47*R47*K47),IF(C47="CP-2",IF('Concrete Plant (CP-2)'!$I$12&gt;0,'Concrete Plant (CP-2)'!$I$12,AF47*R47*K47),IF(C47="CP-3",IF('Concrete Plant (CP-3)'!$I$12&gt;0,'Concrete Plant (CP-3)'!$I$12,AF47*R47*K47),IF(C47="CP-4",IF('Concrete Plant (CP-4)'!$I$12&gt;0,'Concrete Plant (CP-4)'!$I$12,AF47*R47*K47),IF(C47="CP-5",IF('Concrete Plant (CP-5)'!$I$12&gt;0,'Concrete Plant (CP-5)'!$I$12,AF47*R47*K47),IF(C47="CP-6",IF('Concrete Plant (CP-6)'!$I$12&gt;0,'Concrete Plant (CP-6)'!$I$12,AF47*R47*K47),IF(C47="CP-7",IF('Concrete Plant (CP-7)'!$I$12&gt;0,'Concrete Plant (CP-7)'!$I$12,AF47*R47*K47),IF(C47="CP-8",IF('Concrete Plant (CP-8)'!$I$12&gt;0,'Concrete Plant (CP-8)'!$I$12,AF47*R47*K47),IF(C47="CP-9",IF('Concrete Plant (CP-9)'!$I$12&gt;0,'Concrete Plant (CP-9)'!$I$12,AF47*R47*K47),IF(C47="CP-10",IF('Concrete Plant (CP-10)'!$I$12&gt;0,'Concrete Plant (CP-10)'!$I$12,AF47*R47*K47))))))))))))</f>
        <v/>
      </c>
      <c r="AH47" s="38" t="str">
        <f t="shared" si="12"/>
        <v/>
      </c>
      <c r="AI47" s="38" t="str">
        <f t="shared" si="13"/>
        <v/>
      </c>
      <c r="AJ47" s="38" t="str">
        <f>IF(F47="","",IF(B47="no",'Emission Factors'!$J$33,'Emission Factors'!$J$34))</f>
        <v/>
      </c>
      <c r="AK47" s="38" t="str">
        <f>IF(F47="","",IF(C47="CP-1",IF('Concrete Plant (CP-1)'!$I$13&gt;0,'Concrete Plant (CP-1)'!$I$13,AJ47*R47),IF(C47="CP-2",IF('Concrete Plant (CP-2)'!$I$13&gt;0,'Concrete Plant (CP-2)'!$I$13,AJ47*R47),IF(C47="CP-3",IF('Concrete Plant (CP-3)'!$I$13&gt;0,'Concrete Plant (CP-3)'!$I$13,AJ47*R47),IF(C47="CP-4",IF('Concrete Plant (CP-4)'!$I$13&gt;0,'Concrete Plant (CP-4)'!$I$13,AJ47*R47),IF(C47="CP-5",IF('Concrete Plant (CP-5)'!$I$13&gt;0,'Concrete Plant (CP-5)'!$I$13,AJ47*R47),IF(C47="CP-6",IF('Concrete Plant (CP-6)'!$I$13&gt;0,'Concrete Plant (CP-6)'!$I$13,AJ47*R47),IF(C47="CP-7",IF('Concrete Plant (CP-7)'!$I$13&gt;0,'Concrete Plant (CP-7)'!$I$13,AJ47*R47),IF(C47="CP-8",IF('Concrete Plant (CP-8)'!$I$13&gt;0,'Concrete Plant (CP-8)'!$I$13,AJ47*R47),IF(C47="CP-9",IF('Concrete Plant (CP-9)'!$I$13&gt;0,'Concrete Plant (CP-9)'!$I$13,AJ47*R47),IF(C47="CP-10",IF('Concrete Plant (CP-10)'!$I$13&gt;0,'Concrete Plant (CP-10)'!$I$13,AJ47*R47))))))))))))</f>
        <v/>
      </c>
      <c r="AL47" s="38" t="str">
        <f t="shared" si="41"/>
        <v/>
      </c>
      <c r="AM47" s="38" t="str">
        <f t="shared" si="42"/>
        <v/>
      </c>
      <c r="AN47" s="38" t="str">
        <f>IF(F47="","",IF(B47="no",'Emission Factors'!$L$33,'Emission Factors'!$L$34))</f>
        <v/>
      </c>
      <c r="AO47" s="38" t="str">
        <f>IF(F47="","",IF(C47="CP-1",IF('Concrete Plant (CP-1)'!$I$14&gt;0,'Concrete Plant (CP-1)'!$I$14,AN47*R47),IF(C47="CP-2",IF('Concrete Plant (CP-2)'!$I$14&gt;0,'Concrete Plant (CP-2)'!$I$14,AN47*R47),IF(C47="CP-3",IF('Concrete Plant (CP-3)'!$I$14&gt;0,'Concrete Plant (CP-3)'!$I$14,AN47*R47),IF(C47="CP-4",IF('Concrete Plant (CP-4)'!$I$14&gt;0,'Concrete Plant (CP-4)'!$I$14,AN47*R47),IF(C47="CP-5",IF('Concrete Plant (CP-5)'!$I$14&gt;0,'Concrete Plant (CP-5)'!$I$14,AN47*R47),IF(C47="CP-6",IF('Concrete Plant (CP-6)'!$I$14&gt;0,'Concrete Plant (CP-6)'!$I$14,AN47*R47),IF(C47="CP-7",IF('Concrete Plant (CP-7)'!$I$14&gt;0,'Concrete Plant (CP-7)'!$I$14,AN47*R47),IF(C47="CP-8",IF('Concrete Plant (CP-8)'!$I$14&gt;0,'Concrete Plant (CP-8)'!$I$14,AN47*R47),IF(C47="CP-9",IF('Concrete Plant (CP-9)'!$I$14&gt;0,'Concrete Plant (CP-9)'!$I$14,AN47*R47),IF(C47="CP-10",IF('Concrete Plant (CP-10)'!$I$14&gt;0,'Concrete Plant (CP-10)'!$I$14,AN47*R47))))))))))))</f>
        <v/>
      </c>
      <c r="AP47" s="38" t="str">
        <f t="shared" si="43"/>
        <v/>
      </c>
      <c r="AQ47" s="38" t="str">
        <f t="shared" si="44"/>
        <v/>
      </c>
      <c r="AR47" s="38" t="str">
        <f>IF(F47="","",IF(B47="no",'Emission Factors'!$N$33,'Emission Factors'!$N$34))</f>
        <v/>
      </c>
      <c r="AS47" s="38" t="str">
        <f>IF(F47="","",IF(C47="CP-1",IF('Concrete Plant (CP-1)'!$I$15&gt;0,'Concrete Plant (CP-1)'!$I$15,AR47*R47),IF(C47="CP-2",IF('Concrete Plant (CP-2)'!$I$15&gt;0,'Concrete Plant (CP-2)'!$I$15,AR47*R47),IF(C47="CP-3",IF('Concrete Plant (CP-3)'!$I$15&gt;0,'Concrete Plant (CP-3)'!$I$15,AR47*R47),IF(C47="CP-4",IF('Concrete Plant (CP-4)'!$I$15&gt;0,'Concrete Plant (CP-4)'!$I$15,AR47*R47),IF(C47="CP-5",IF('Concrete Plant (CP-5)'!$I$15&gt;0,'Concrete Plant (CP-5)'!$I$15,AR47*R47),IF(C47="CP-6",IF('Concrete Plant (CP-6)'!$I$15&gt;0,'Concrete Plant (CP-6)'!$I$15,AR47*R47),IF(C47="CP-7",IF('Concrete Plant (CP-7)'!$I$15&gt;0,'Concrete Plant (CP-7)'!$I$15,AR47*R47),IF(C47="CP-8",IF('Concrete Plant (CP-8)'!$I$15&gt;0,'Concrete Plant (CP-8)'!$I$15,AR47*R47),IF(C47="CP-9",IF('Concrete Plant (CP-9)'!$I$15&gt;0,'Concrete Plant (CP-9)'!$I$15,AR47*R47),IF(C47="CP-10",IF('Concrete Plant (CP-10)'!$I$15&gt;0,'Concrete Plant (CP-10)'!$I$15,AR47*R47))))))))))))</f>
        <v/>
      </c>
      <c r="AT47" s="38" t="str">
        <f t="shared" si="45"/>
        <v/>
      </c>
      <c r="AU47" s="38" t="str">
        <f t="shared" si="46"/>
        <v/>
      </c>
      <c r="AV47" s="38" t="str">
        <f>IF(F47="","",IF(B47="no",'Emission Factors'!$P$33,'Emission Factors'!$P$34))</f>
        <v/>
      </c>
      <c r="AW47" s="38" t="str">
        <f t="shared" si="47"/>
        <v/>
      </c>
      <c r="AX47" s="38" t="str">
        <f t="shared" si="48"/>
        <v/>
      </c>
      <c r="AY47" s="38" t="str">
        <f t="shared" si="49"/>
        <v/>
      </c>
      <c r="AZ47" s="38" t="str">
        <f>IF(F47="","",IF(B47="no",'Emission Factors'!$R$33,'Emission Factors'!$R$34))</f>
        <v/>
      </c>
      <c r="BA47" s="38" t="str">
        <f t="shared" si="50"/>
        <v/>
      </c>
      <c r="BB47" s="38" t="str">
        <f t="shared" si="51"/>
        <v/>
      </c>
      <c r="BC47" s="38" t="str">
        <f t="shared" si="52"/>
        <v/>
      </c>
    </row>
    <row r="48" spans="2:55" ht="12" customHeight="1" x14ac:dyDescent="0.25">
      <c r="B48" s="6" t="str">
        <f>IF(F48="Diesel Generator&gt; 600 bhp","yes","no")</f>
        <v>no</v>
      </c>
      <c r="C48" s="34"/>
      <c r="D48" s="34"/>
      <c r="E48" s="34"/>
      <c r="F48" s="35"/>
      <c r="G48" s="34"/>
      <c r="H48" s="36"/>
      <c r="I48" s="36"/>
      <c r="J48" s="115"/>
      <c r="K48" s="36">
        <f t="shared" si="53"/>
        <v>0.5</v>
      </c>
      <c r="L48" s="36"/>
      <c r="M48" s="36"/>
      <c r="N48" s="36"/>
      <c r="O48" s="36"/>
      <c r="P48" s="36"/>
      <c r="Q48" s="36"/>
      <c r="R48" s="39" t="str">
        <f>IF(Q48="","",Q48*0.14)</f>
        <v/>
      </c>
      <c r="S48" s="36"/>
      <c r="T48" s="38" t="str">
        <f>IF(S48="","",S48*0.14)</f>
        <v/>
      </c>
      <c r="U48" s="129"/>
      <c r="V48" s="129">
        <f t="shared" si="33"/>
        <v>0</v>
      </c>
      <c r="W48" s="129" t="str">
        <f t="shared" si="34"/>
        <v/>
      </c>
      <c r="X48" s="38" t="str">
        <f>IF(F48="","",IF(B48="no",'Emission Factors'!$D$33,'Emission Factors'!$D$34))</f>
        <v/>
      </c>
      <c r="Y48" s="38" t="str">
        <f t="shared" si="35"/>
        <v/>
      </c>
      <c r="Z48" s="38" t="str">
        <f t="shared" si="36"/>
        <v/>
      </c>
      <c r="AA48" s="38" t="str">
        <f t="shared" si="37"/>
        <v/>
      </c>
      <c r="AB48" s="38" t="str">
        <f>IF(F48="","",IF(B48="no",'Emission Factors'!$F$33,'Emission Factors'!$F$34))</f>
        <v/>
      </c>
      <c r="AC48" s="38" t="str">
        <f t="shared" si="38"/>
        <v/>
      </c>
      <c r="AD48" s="38" t="str">
        <f t="shared" si="39"/>
        <v/>
      </c>
      <c r="AE48" s="38" t="str">
        <f t="shared" si="40"/>
        <v/>
      </c>
      <c r="AF48" s="38" t="str">
        <f>IF(F48="","",IF(B48="no",'Emission Factors'!$H$33,'Emission Factors'!$H$34))</f>
        <v/>
      </c>
      <c r="AG48" s="38" t="str">
        <f>IF(F48="","",IF(C48="CP-1",IF('Concrete Plant (CP-1)'!$I$12&gt;0,'Concrete Plant (CP-1)'!$I$12,AF48*R48*K48),IF(C48="CP-2",IF('Concrete Plant (CP-2)'!$I$12&gt;0,'Concrete Plant (CP-2)'!$I$12,AF48*R48*K48),IF(C48="CP-3",IF('Concrete Plant (CP-3)'!$I$12&gt;0,'Concrete Plant (CP-3)'!$I$12,AF48*R48*K48),IF(C48="CP-4",IF('Concrete Plant (CP-4)'!$I$12&gt;0,'Concrete Plant (CP-4)'!$I$12,AF48*R48*K48),IF(C48="CP-5",IF('Concrete Plant (CP-5)'!$I$12&gt;0,'Concrete Plant (CP-5)'!$I$12,AF48*R48*K48),IF(C48="CP-6",IF('Concrete Plant (CP-6)'!$I$12&gt;0,'Concrete Plant (CP-6)'!$I$12,AF48*R48*K48),IF(C48="CP-7",IF('Concrete Plant (CP-7)'!$I$12&gt;0,'Concrete Plant (CP-7)'!$I$12,AF48*R48*K48),IF(C48="CP-8",IF('Concrete Plant (CP-8)'!$I$12&gt;0,'Concrete Plant (CP-8)'!$I$12,AF48*R48*K48),IF(C48="CP-9",IF('Concrete Plant (CP-9)'!$I$12&gt;0,'Concrete Plant (CP-9)'!$I$12,AF48*R48*K48),IF(C48="CP-10",IF('Concrete Plant (CP-10)'!$I$12&gt;0,'Concrete Plant (CP-10)'!$I$12,AF48*R48*K48))))))))))))</f>
        <v/>
      </c>
      <c r="AH48" s="38" t="str">
        <f t="shared" si="12"/>
        <v/>
      </c>
      <c r="AI48" s="38" t="str">
        <f t="shared" si="13"/>
        <v/>
      </c>
      <c r="AJ48" s="38" t="str">
        <f>IF(F48="","",IF(B48="no",'Emission Factors'!$J$33,'Emission Factors'!$J$34))</f>
        <v/>
      </c>
      <c r="AK48" s="38" t="str">
        <f>IF(F48="","",IF(C48="CP-1",IF('Concrete Plant (CP-1)'!$I$13&gt;0,'Concrete Plant (CP-1)'!$I$13,AJ48*R48),IF(C48="CP-2",IF('Concrete Plant (CP-2)'!$I$13&gt;0,'Concrete Plant (CP-2)'!$I$13,AJ48*R48),IF(C48="CP-3",IF('Concrete Plant (CP-3)'!$I$13&gt;0,'Concrete Plant (CP-3)'!$I$13,AJ48*R48),IF(C48="CP-4",IF('Concrete Plant (CP-4)'!$I$13&gt;0,'Concrete Plant (CP-4)'!$I$13,AJ48*R48),IF(C48="CP-5",IF('Concrete Plant (CP-5)'!$I$13&gt;0,'Concrete Plant (CP-5)'!$I$13,AJ48*R48),IF(C48="CP-6",IF('Concrete Plant (CP-6)'!$I$13&gt;0,'Concrete Plant (CP-6)'!$I$13,AJ48*R48),IF(C48="CP-7",IF('Concrete Plant (CP-7)'!$I$13&gt;0,'Concrete Plant (CP-7)'!$I$13,AJ48*R48),IF(C48="CP-8",IF('Concrete Plant (CP-8)'!$I$13&gt;0,'Concrete Plant (CP-8)'!$I$13,AJ48*R48),IF(C48="CP-9",IF('Concrete Plant (CP-9)'!$I$13&gt;0,'Concrete Plant (CP-9)'!$I$13,AJ48*R48),IF(C48="CP-10",IF('Concrete Plant (CP-10)'!$I$13&gt;0,'Concrete Plant (CP-10)'!$I$13,AJ48*R48))))))))))))</f>
        <v/>
      </c>
      <c r="AL48" s="38" t="str">
        <f t="shared" si="41"/>
        <v/>
      </c>
      <c r="AM48" s="38" t="str">
        <f t="shared" si="42"/>
        <v/>
      </c>
      <c r="AN48" s="38" t="str">
        <f>IF(F48="","",IF(B48="no",'Emission Factors'!$L$33,'Emission Factors'!$L$34))</f>
        <v/>
      </c>
      <c r="AO48" s="38" t="str">
        <f>IF(F48="","",IF(C48="CP-1",IF('Concrete Plant (CP-1)'!$I$14&gt;0,'Concrete Plant (CP-1)'!$I$14,AN48*R48),IF(C48="CP-2",IF('Concrete Plant (CP-2)'!$I$14&gt;0,'Concrete Plant (CP-2)'!$I$14,AN48*R48),IF(C48="CP-3",IF('Concrete Plant (CP-3)'!$I$14&gt;0,'Concrete Plant (CP-3)'!$I$14,AN48*R48),IF(C48="CP-4",IF('Concrete Plant (CP-4)'!$I$14&gt;0,'Concrete Plant (CP-4)'!$I$14,AN48*R48),IF(C48="CP-5",IF('Concrete Plant (CP-5)'!$I$14&gt;0,'Concrete Plant (CP-5)'!$I$14,AN48*R48),IF(C48="CP-6",IF('Concrete Plant (CP-6)'!$I$14&gt;0,'Concrete Plant (CP-6)'!$I$14,AN48*R48),IF(C48="CP-7",IF('Concrete Plant (CP-7)'!$I$14&gt;0,'Concrete Plant (CP-7)'!$I$14,AN48*R48),IF(C48="CP-8",IF('Concrete Plant (CP-8)'!$I$14&gt;0,'Concrete Plant (CP-8)'!$I$14,AN48*R48),IF(C48="CP-9",IF('Concrete Plant (CP-9)'!$I$14&gt;0,'Concrete Plant (CP-9)'!$I$14,AN48*R48),IF(C48="CP-10",IF('Concrete Plant (CP-10)'!$I$14&gt;0,'Concrete Plant (CP-10)'!$I$14,AN48*R48))))))))))))</f>
        <v/>
      </c>
      <c r="AP48" s="38" t="str">
        <f t="shared" si="43"/>
        <v/>
      </c>
      <c r="AQ48" s="38" t="str">
        <f t="shared" si="44"/>
        <v/>
      </c>
      <c r="AR48" s="38" t="str">
        <f>IF(F48="","",IF(B48="no",'Emission Factors'!$N$33,'Emission Factors'!$N$34))</f>
        <v/>
      </c>
      <c r="AS48" s="38" t="str">
        <f>IF(F48="","",IF(C48="CP-1",IF('Concrete Plant (CP-1)'!$I$15&gt;0,'Concrete Plant (CP-1)'!$I$15,AR48*R48),IF(C48="CP-2",IF('Concrete Plant (CP-2)'!$I$15&gt;0,'Concrete Plant (CP-2)'!$I$15,AR48*R48),IF(C48="CP-3",IF('Concrete Plant (CP-3)'!$I$15&gt;0,'Concrete Plant (CP-3)'!$I$15,AR48*R48),IF(C48="CP-4",IF('Concrete Plant (CP-4)'!$I$15&gt;0,'Concrete Plant (CP-4)'!$I$15,AR48*R48),IF(C48="CP-5",IF('Concrete Plant (CP-5)'!$I$15&gt;0,'Concrete Plant (CP-5)'!$I$15,AR48*R48),IF(C48="CP-6",IF('Concrete Plant (CP-6)'!$I$15&gt;0,'Concrete Plant (CP-6)'!$I$15,AR48*R48),IF(C48="CP-7",IF('Concrete Plant (CP-7)'!$I$15&gt;0,'Concrete Plant (CP-7)'!$I$15,AR48*R48),IF(C48="CP-8",IF('Concrete Plant (CP-8)'!$I$15&gt;0,'Concrete Plant (CP-8)'!$I$15,AR48*R48),IF(C48="CP-9",IF('Concrete Plant (CP-9)'!$I$15&gt;0,'Concrete Plant (CP-9)'!$I$15,AR48*R48),IF(C48="CP-10",IF('Concrete Plant (CP-10)'!$I$15&gt;0,'Concrete Plant (CP-10)'!$I$15,AR48*R48))))))))))))</f>
        <v/>
      </c>
      <c r="AT48" s="38" t="str">
        <f t="shared" si="45"/>
        <v/>
      </c>
      <c r="AU48" s="38"/>
      <c r="AV48" s="38" t="str">
        <f>IF(F48="","",IF(B48="no",'Emission Factors'!$P$33,'Emission Factors'!$P$34))</f>
        <v/>
      </c>
      <c r="AW48" s="38" t="str">
        <f t="shared" si="47"/>
        <v/>
      </c>
      <c r="AX48" s="38" t="str">
        <f t="shared" si="48"/>
        <v/>
      </c>
      <c r="AY48" s="38" t="str">
        <f t="shared" si="49"/>
        <v/>
      </c>
      <c r="AZ48" s="38" t="str">
        <f>IF(F48="","",IF(B48="no",'Emission Factors'!$R$33,'Emission Factors'!$R$34))</f>
        <v/>
      </c>
      <c r="BA48" s="38" t="str">
        <f t="shared" si="50"/>
        <v/>
      </c>
      <c r="BB48" s="38" t="str">
        <f t="shared" si="51"/>
        <v/>
      </c>
      <c r="BC48" s="38" t="str">
        <f t="shared" si="52"/>
        <v/>
      </c>
    </row>
    <row r="49" spans="1:41" ht="11.25" customHeight="1" x14ac:dyDescent="0.25">
      <c r="L49" s="128"/>
      <c r="N49" s="305"/>
      <c r="O49" s="305"/>
      <c r="P49" s="240" t="s">
        <v>182</v>
      </c>
      <c r="Q49" s="130">
        <f>SUM(IF($B$7="no",Q7),IF($B$8="no",Q8),IF($B$9="no",Q9),IF($B$10="no",Q10),IF($B$11="no",Q11),IF($B$12="no",Q12),IF($B$13="no",Q13),IF($B$14="no",Q14),IF($B$15="no",Q15),IF($B$16="no",Q16),IF($B$17="no",Q17),IF($B$18="no",Q18),IF($B$19="no",Q19),IF($B$20="no",Q20),IF($B$21="no",Q21),IF($B$22="no",Q22),IF($B$23="no",Q23),IF($B$24="no",Q24),IF($B$25="no",Q25),IF($B$26="no",Q26),IF($B$27="no",Q27),IF($B$28="no",Q28),IF($B$29="no",Q29),IF($B$30="no",Q30),IF($B$31="no",Q31),IF($B$32="no",Q32),IF($B$33="no",Q33),IF($B$34="no",Q34),IF($B$35="no",Q35),IF($B$36="no",Q36),IF($B$37="no",Q37),IF($B$38="no",Q38),IF($B$39="no",Q39),IF($B$40="no",Q40),IF($B$41="no",Q41),IF($B$42="no",Q42),IF($B$43="no",Q43),IF($B$44="no",Q44),IF($B$45="no",Q45),IF($B$46="no",Q46),IF($B$47="no",Q47),IF($B$48="no",Q48))</f>
        <v>0</v>
      </c>
      <c r="R49" s="130">
        <f>SUM(IF($B$7="no",R7),IF($B$8="no",R8),IF($B$9="no",R9),IF($B$10="no",R10),IF($B$11="no",R11),IF($B$12="no",R12),IF($B$13="no",R13),IF($B$14="no",R14),IF($B$15="no",R15),IF($B$16="no",R16),IF($B$17="no",R17),IF($B$18="no",R18),IF($B$19="no",R19),IF($B$20="no",R20),IF($B$21="no",R21),IF($B$22="no",R22),IF($B$23="no",R23),IF($B$24="no",R24),IF($B$25="no",R25),IF($B$26="no",R26),IF($B$27="no",R27),IF($B$28="no",R28),IF($B$29="no",R29),IF($B$30="no",R30),IF($B$31="no",R31),IF($B$32="no",R32),IF($B$33="no",R33),IF($B$34="no",R34),IF($B$35="no",R35),IF($B$36="no",R36),IF($B$37="no",R37),IF($B$38="no",R38),IF($B$39="no",R39),IF($B$40="no",R40),IF($B$41="no",R41),IF($B$42="no",R42),IF($B$43="no",R43),IF($B$44="no",R44),IF($B$45="no",R45),IF($B$46="no",R46),IF($B$47="no",R47),IF($B$48="no",R48))</f>
        <v>0</v>
      </c>
      <c r="S49" s="130">
        <f>SUM(IF($B$7="no",S7),IF($B$8="no",S8),IF($B$9="no",S9),IF($B$10="no",S10),IF($B$11="no",S11),IF($B$12="no",S12),IF($B$13="no",S13),IF($B$14="no",S14),IF($B$15="no",S15),IF($B$16="no",S16),IF($B$17="no",S17),IF($B$18="no",S18),IF($B$19="no",S19),IF($B$20="no",S20),IF($B$21="no",S21),IF($B$22="no",S22),IF($B$23="no",S23),IF($B$24="no",S24),IF($B$25="no",S25),IF($B$26="no",S26),IF($B$27="no",S27),IF($B$28="no",S28),IF($B$29="no",S29),IF($B$30="no",S30),IF($B$31="no",S31),IF($B$32="no",S32),IF($B$33="no",S33),IF($B$34="no",S34),IF($B$35="no",S35),IF($B$36="no",S36),IF($B$37="no",S37),IF($B$38="no",S38),IF($B$39="no",S39),IF($B$40="no",S40),IF($B$41="no",S41),IF($B$42="no",S42),IF($B$43="no",S43),IF($B$44="no",S44),IF($B$45="no",S45),IF($B$46="no",S46),IF($B$47="no",S47),IF($B$48="no",S48))</f>
        <v>0</v>
      </c>
      <c r="T49" s="130">
        <f>SUM(IF($B$7="no",T7),IF($B$8="no",T8),IF($B$9="no",T9),IF($B$10="no",T10),IF($B$11="no",T11),IF($B$12="no",T12),IF($B$13="no",T13),IF($B$14="no",T14),IF($B$15="no",T15),IF($B$16="no",T16),IF($B$17="no",T17),IF($B$18="no",T18),IF($B$19="no",T19),IF($B$20="no",T20),IF($B$21="no",T21),IF($B$22="no",T22),IF($B$23="no",T23),IF($B$24="no",T24),IF($B$25="no",T25),IF($B$26="no",T26),IF($B$27="no",T27),IF($B$28="no",T28),IF($B$29="no",T29),IF($B$30="no",T30),IF($B$31="no",T31),IF($B$32="no",T32),IF($B$33="no",T33),IF($B$34="no",T34),IF($B$35="no",T35),IF($B$36="no",T36),IF($B$37="no",T37),IF($B$38="no",T38),IF($B$39="no",T39),IF($B$40="no",T40),IF($B$41="no",T41),IF($B$42="no",T42),IF($B$43="no",T43),IF($B$44="no",T44),IF($B$45="no",T45),IF($B$46="no",T46),IF($B$47="no",T47),IF($B$48="no",T48))</f>
        <v>0</v>
      </c>
    </row>
    <row r="50" spans="1:41" ht="11.25" customHeight="1" x14ac:dyDescent="0.25">
      <c r="A50" s="6" t="s">
        <v>225</v>
      </c>
      <c r="B50" s="6">
        <f t="array" ref="B50">MAX(IF($C$7:$C$48="CP-1",$I$7:$I$48))</f>
        <v>0</v>
      </c>
      <c r="N50" s="306"/>
      <c r="O50" s="306"/>
      <c r="P50" s="239" t="s">
        <v>112</v>
      </c>
      <c r="Q50" s="130">
        <f>SUM(IF($B$7="yes",Q7),IF($B$8="yes",Q8),IF($B$9="yes",Q9),IF($B$10="yes",Q10),IF($B$11="yes",Q11),IF($B$12="yes",Q12),IF($B$13="yes",Q13),IF($B$14="yes",Q14),IF($B$15="yes",Q15),IF($B$16="yes",Q16),IF($B$17="yes",Q17),IF($B$18="yes",Q18),IF($B$19="yes",Q19),IF($B$20="yes",Q20),IF($B$21="yes",Q21),IF($B$22="yes",Q22),IF($B$23="yes",Q23),IF($B$24="yes",Q24),IF($B$25="yes",Q25),IF($B$26="yes",Q26),IF($B$27="yes",Q27),IF($B$28="yes",Q28),IF($B$29="yes",Q29),IF($B$30="yes",Q30),IF($B$31="yes",Q31),IF($B$32="yes",Q32),IF($B$33="yes",Q33),IF($B$34="yes",Q34),IF($B$35="yes",Q35),IF($B$36="yes",Q36),IF($B$37="yes",Q37),IF($B$38="yes",Q38),IF($B$39="yes",Q39),IF($B$40="yes",Q40),IF($B$41="yes",Q41),IF($B$42="yes",Q42),IF($B$43="yes",Q43),IF($B$44="yes",Q44),IF($B$45="yes",Q45),IF($B$46="yes",Q46),IF($B$47="yes",Q47),IF($B$48="yes",Q48))</f>
        <v>0</v>
      </c>
      <c r="R50" s="130">
        <f>SUM(IF($B$7="yes",R7),IF($B$8="yes",R8),IF($B$9="yes",R9),IF($B$10="yes",R10),IF($B$11="yes",R11),IF($B$12="yes",R12),IF($B$13="yes",R13),IF($B$14="yes",R14),IF($B$15="yes",R15),IF($B$16="yes",R16),IF($B$17="yes",R17),IF($B$18="yes",R18),IF($B$19="yes",R19),IF($B$20="yes",R20),IF($B$21="yes",R21),IF($B$22="yes",R22),IF($B$23="yes",R23),IF($B$24="yes",R24),IF($B$25="yes",R25),IF($B$26="yes",R26),IF($B$27="yes",R27),IF($B$28="yes",R28),IF($B$29="yes",R29),IF($B$30="yes",R30),IF($B$31="yes",R31),IF($B$32="yes",R32),IF($B$33="yes",R33),IF($B$34="yes",R34),IF($B$35="yes",R35),IF($B$36="yes",R36),IF($B$37="yes",R37),IF($B$38="yes",R38),IF($B$39="yes",R39),IF($B$40="yes",R40),IF($B$41="yes",R41),IF($B$42="yes",R42),IF($B$43="yes",R43),IF($B$44="yes",R44),IF($B$45="yes",R45),IF($B$46="yes",R46),IF($B$47="yes",R47),IF($B$48="yes",R48))</f>
        <v>0</v>
      </c>
      <c r="S50" s="130">
        <f>SUM(IF($B$7="yes",S7),IF($B$8="yes",S8),IF($B$9="yes",S9),IF($B$10="yes",S10),IF($B$11="yes",S11),IF($B$12="yes",S12),IF($B$13="yes",S13),IF($B$14="yes",S14),IF($B$15="yes",S15),IF($B$16="yes",S16),IF($B$17="yes",S17),IF($B$18="yes",S18),IF($B$19="yes",S19),IF($B$20="yes",S20),IF($B$21="yes",S21),IF($B$22="yes",S22),IF($B$23="yes",S23),IF($B$24="yes",S24),IF($B$25="yes",S25),IF($B$26="yes",S26),IF($B$27="yes",S27),IF($B$28="yes",S28),IF($B$29="yes",S29),IF($B$30="yes",S30),IF($B$31="yes",S31),IF($B$32="yes",S32),IF($B$33="yes",S33),IF($B$34="yes",S34),IF($B$35="yes",S35),IF($B$36="yes",S36),IF($B$37="yes",S37),IF($B$38="yes",S38),IF($B$39="yes",S39),IF($B$40="yes",S40),IF($B$41="yes",S41),IF($B$42="yes",S42),IF($B$43="yes",S43),IF($B$44="yes",S44),IF($B$45="yes",S45),IF($B$46="yes",S46),IF($B$47="yes",S47),IF($B$48="yes",S48))</f>
        <v>0</v>
      </c>
      <c r="T50" s="130">
        <f>SUM(IF($B$7="yes",T7),IF($B$8="yes",T8),IF($B$9="yes",T9),IF($B$10="yes",T10),IF($B$11="yes",T11),IF($B$12="yes",T12),IF($B$13="yes",T13),IF($B$14="yes",T14),IF($B$15="yes",T15),IF($B$16="yes",T16),IF($B$17="yes",T17),IF($B$18="yes",T18),IF($B$19="yes",T19),IF($B$20="yes",T20),IF($B$21="yes",T21),IF($B$22="yes",T22),IF($B$23="yes",T23),IF($B$24="yes",T24),IF($B$25="yes",T25),IF($B$26="yes",T26),IF($B$27="yes",T27),IF($B$28="yes",T28),IF($B$29="yes",T29),IF($B$30="yes",T30),IF($B$31="yes",T31),IF($B$32="yes",T32),IF($B$33="yes",T33),IF($B$34="yes",T34),IF($B$35="yes",T35),IF($B$36="yes",T36),IF($B$37="yes",T37),IF($B$38="yes",T38),IF($B$39="yes",T39),IF($B$40="yes",T40),IF($B$41="yes",T41),IF($B$42="yes",T42),IF($B$43="yes",T43),IF($B$44="yes",T44),IF($B$45="yes",T45),IF($B$46="yes",T46),IF($B$47="yes",T47),IF($B$48="yes",T48))</f>
        <v>0</v>
      </c>
    </row>
    <row r="51" spans="1:41" s="258" customFormat="1" x14ac:dyDescent="0.25">
      <c r="A51" s="258" t="s">
        <v>226</v>
      </c>
      <c r="B51" s="258">
        <f t="array" ref="B51">MAX(IF($C$7:$C$48="CP-2",$I$7:$I$48))</f>
        <v>0</v>
      </c>
      <c r="Q51" s="259"/>
      <c r="R51" s="259"/>
      <c r="Z51" s="228" t="s">
        <v>110</v>
      </c>
      <c r="AA51" s="228" t="s">
        <v>110</v>
      </c>
      <c r="AB51" s="228" t="s">
        <v>17</v>
      </c>
      <c r="AC51" s="228" t="s">
        <v>17</v>
      </c>
      <c r="AD51" s="228" t="s">
        <v>3</v>
      </c>
      <c r="AE51" s="228" t="s">
        <v>3</v>
      </c>
      <c r="AF51" s="228" t="s">
        <v>27</v>
      </c>
      <c r="AG51" s="228" t="s">
        <v>27</v>
      </c>
      <c r="AH51" s="228" t="s">
        <v>5</v>
      </c>
      <c r="AI51" s="228" t="s">
        <v>5</v>
      </c>
      <c r="AJ51" s="228" t="s">
        <v>6</v>
      </c>
      <c r="AK51" s="228" t="s">
        <v>6</v>
      </c>
      <c r="AL51" s="228" t="s">
        <v>8</v>
      </c>
      <c r="AM51" s="228" t="s">
        <v>8</v>
      </c>
      <c r="AN51" s="228" t="s">
        <v>53</v>
      </c>
      <c r="AO51" s="228" t="s">
        <v>53</v>
      </c>
    </row>
    <row r="52" spans="1:41" x14ac:dyDescent="0.25">
      <c r="A52" s="6" t="s">
        <v>227</v>
      </c>
      <c r="B52" s="6">
        <f t="array" ref="B52">MAX(IF($C$7:$C$48="CP-3",$I$7:$I$48))</f>
        <v>0</v>
      </c>
      <c r="Z52" s="190" t="s">
        <v>160</v>
      </c>
      <c r="AA52" s="190" t="s">
        <v>161</v>
      </c>
      <c r="AB52" s="190" t="s">
        <v>161</v>
      </c>
      <c r="AC52" s="190" t="s">
        <v>160</v>
      </c>
      <c r="AD52" s="190" t="s">
        <v>160</v>
      </c>
      <c r="AE52" s="190" t="s">
        <v>161</v>
      </c>
      <c r="AF52" s="190" t="s">
        <v>161</v>
      </c>
      <c r="AG52" s="190" t="s">
        <v>160</v>
      </c>
      <c r="AH52" s="190" t="s">
        <v>160</v>
      </c>
      <c r="AI52" s="190" t="s">
        <v>161</v>
      </c>
      <c r="AJ52" s="190" t="s">
        <v>161</v>
      </c>
      <c r="AK52" s="190" t="s">
        <v>160</v>
      </c>
      <c r="AL52" s="190" t="s">
        <v>160</v>
      </c>
      <c r="AM52" s="190" t="s">
        <v>161</v>
      </c>
      <c r="AN52" s="190" t="s">
        <v>161</v>
      </c>
      <c r="AO52" s="190" t="s">
        <v>160</v>
      </c>
    </row>
    <row r="53" spans="1:41" x14ac:dyDescent="0.25">
      <c r="A53" s="6" t="s">
        <v>228</v>
      </c>
      <c r="B53" s="6">
        <f t="array" ref="B53">MAX(IF($C$7:$C$48="CP-4",$I$7:$I$48))</f>
        <v>0</v>
      </c>
      <c r="X53" s="119" t="s">
        <v>225</v>
      </c>
      <c r="Z53" s="131">
        <f t="array" ref="Z53">IF(B50="",SUMIF($C$7:$C$48,"CP-1",$Z$7:$Z$48),MAX(IF(C7:C48="CP-1",Z7:Z48)))</f>
        <v>0</v>
      </c>
      <c r="AA53" s="131">
        <f>SUMIF($C$7:$C$48,"CP-1",$AA$7:$AA$48)</f>
        <v>0</v>
      </c>
      <c r="AB53" s="131">
        <f>SUMIF($C$7:$C$48,"CP-1",$AE$7:$AE$48)</f>
        <v>0</v>
      </c>
      <c r="AC53" s="131">
        <f t="array" ref="AC53">IF(B50="",SUMIF($C$7:$C$48,"CP-1",$AD$7:$AD$48),MAX(IF($C$7:$C$48="CP-1",$AD$7:$AD$48)))</f>
        <v>0</v>
      </c>
      <c r="AD53" s="131">
        <f t="array" ref="AD53">IF(B50="",SUMIF($C$7:$C$48,"CP-1",$AH$7:$AH$48),MAX(IF($C$7:$C$48="CP-1",$AH$7:$AH$48)))</f>
        <v>0</v>
      </c>
      <c r="AE53" s="131">
        <f>SUMIF($C$7:$C$48,"CP-1",$AI$7:$AI$48)</f>
        <v>0</v>
      </c>
      <c r="AF53" s="131">
        <f>SUMIF($C$7:$C$48,"CP-1",$AM$7:$AM$48)</f>
        <v>0</v>
      </c>
      <c r="AG53" s="131">
        <f t="array" ref="AG53">IF(B50="",SUMIF($C$7:$C$48,"CP-1",$AL$7:$AL$48),MAX(IF($C$7:$C$48="CP-1",$AL$7:$AL$48)))</f>
        <v>0</v>
      </c>
      <c r="AH53" s="131">
        <f t="array" ref="AH53">IF(B50="",SUMIF($C$7:$C$48,"CP-1",$AP$7:$AP$48),MAX(IF($C$7:$C$48="CP-1",$AP$7:$AP$48)))</f>
        <v>0</v>
      </c>
      <c r="AI53" s="131">
        <f>SUMIF($C$7:$C$48,"CP-1",$AQ$7:$AQ$48)</f>
        <v>0</v>
      </c>
      <c r="AJ53" s="131">
        <f>SUMIF($C$7:$C$48,"CP-1",$AU$7:$AU$48)</f>
        <v>0</v>
      </c>
      <c r="AK53" s="131">
        <f t="array" ref="AK53">IF(B50="",SUMIF($C$7:$C$48,"CP-1",$AT$7:$AT$48),MAX(IF($C$7:$C$48="CP-1",$AT$7:$AT$48)))</f>
        <v>0</v>
      </c>
      <c r="AL53" s="131">
        <f t="array" ref="AL53">IF(B50="",SUMIF($C$7:$C$48,"CP-1",$AX$7:$AX$48),MAX(IF($C$7:$C$48="CP-1",$AX$7:$AX$48)))</f>
        <v>0</v>
      </c>
      <c r="AM53" s="131">
        <f>SUMIF($C$7:$C$48,"CP-1",$AY$7:$AY$48)</f>
        <v>0</v>
      </c>
      <c r="AN53" s="131">
        <f>SUMIF($C$7:$C$48,"CP-1",$BC$7:$BC$48)</f>
        <v>0</v>
      </c>
      <c r="AO53" s="131">
        <f t="array" ref="AO53">IF(B50="",SUMIF($C$7:$C$48,"CP-1",$BB$7:$BB$48),MAX(IF($C$7:$C$48="CP-1",$BB$7:$BB$48)))</f>
        <v>0</v>
      </c>
    </row>
    <row r="54" spans="1:41" x14ac:dyDescent="0.25">
      <c r="A54" s="6" t="s">
        <v>229</v>
      </c>
      <c r="B54" s="6">
        <f t="array" ref="B54">MAX(IF($C$7:$C$48="CP-5",$I$7:$I$48))</f>
        <v>0</v>
      </c>
      <c r="X54" s="119" t="s">
        <v>226</v>
      </c>
      <c r="Z54" s="131">
        <f t="array" ref="Z54">IF(B51="",SUMIF($C$7:$C$48,"CP-2",$Z$7:$Z$48),MAX(IF($C$7:$C$48="CP-2",$Z$7:$Z$48)))</f>
        <v>0</v>
      </c>
      <c r="AA54" s="131">
        <f>SUMIF($C$7:$C$48,"CP-2",$AA$7:$AA$48)</f>
        <v>0</v>
      </c>
      <c r="AB54" s="131">
        <f>SUMIF($C$7:$C$48,"CP-2",$AE$7:$AE$48)</f>
        <v>0</v>
      </c>
      <c r="AC54" s="131">
        <f t="array" ref="AC54">IF(B51="",SUMIF($C$7:$C$48,"CP-2",$AD$7:$AD$48),MAX(IF($C$7:$C$48="CP-2",$AD$7:$AD$48)))</f>
        <v>0</v>
      </c>
      <c r="AD54" s="131">
        <f t="array" ref="AD54">IF(B51="",SUMIF($C$7:$C$48,"CP-2",$AH$7:$AH$48),MAX(IF($C$7:$C$48="CP-2",$AH$7:$AH$48)))</f>
        <v>0</v>
      </c>
      <c r="AE54" s="131">
        <f>SUMIF($C$7:$C$48,"CP-2",$AI$7:$AI$48)</f>
        <v>0</v>
      </c>
      <c r="AF54" s="131">
        <f>SUMIF($C$7:$C$48,"CP-2",$AM$7:$AM$48)</f>
        <v>0</v>
      </c>
      <c r="AG54" s="131">
        <f t="array" ref="AG54">IF(B51="",SUMIF($C$7:$C$48,"CP-2",$AL$7:$AL$48),MAX(IF($C$7:$C$48="CP-2",$AL$7:$AL$48)))</f>
        <v>0</v>
      </c>
      <c r="AH54" s="131">
        <f t="array" ref="AH54">IF(B51="",SUMIF($C$7:$C$48,"CP-2",$AP$7:$AP$48),MAX(IF($C$7:$C$48="CP-2",$AP$7:$AP$48)))</f>
        <v>0</v>
      </c>
      <c r="AI54" s="131">
        <f>SUMIF($C$7:$C$48,"CP-2",$AQ$7:$AQ$48)</f>
        <v>0</v>
      </c>
      <c r="AJ54" s="131">
        <f>SUMIF($C$7:$C$48,"CP-2",$AU$7:$AU$48)</f>
        <v>0</v>
      </c>
      <c r="AK54" s="131">
        <f t="array" ref="AK54">IF(B51="",SUMIF($C$7:$C$48,"CP-2",$AT$7:$AT$48),MAX(IF($C$7:$C$48="CP-2",$AT$7:$AT$48)))</f>
        <v>0</v>
      </c>
      <c r="AL54" s="131">
        <f t="array" ref="AL54">IF(B51="",SUMIF($C$7:$C$48,"CP-2",$AX$7:$AX$48),MAX(IF($C$7:$C$48="CP-2",$AX$7:$AX$48)))</f>
        <v>0</v>
      </c>
      <c r="AM54" s="131">
        <f>SUMIF($C$7:$C$48,"CP-2",$AY$7:$AY$48)</f>
        <v>0</v>
      </c>
      <c r="AN54" s="131">
        <f>SUMIF($C$7:$C$48,"CP-2",$BC$7:$BC$48)</f>
        <v>0</v>
      </c>
      <c r="AO54" s="131">
        <f t="array" ref="AO54">IF(B51="",SUMIF($C$7:$C$48,"CP-2",$BB$7:$BB$48),MAX(IF($C$7:$C$48="CP-2",$BB$7:$BB$48)))</f>
        <v>0</v>
      </c>
    </row>
    <row r="55" spans="1:41" x14ac:dyDescent="0.25">
      <c r="A55" s="6" t="s">
        <v>230</v>
      </c>
      <c r="B55" s="6">
        <f t="array" ref="B55">MAX(IF($C$7:$C$48="CP-6",$I$7:$I$48))</f>
        <v>0</v>
      </c>
      <c r="X55" s="119" t="s">
        <v>227</v>
      </c>
      <c r="Z55" s="131">
        <f t="array" ref="Z55">IF(B52="",SUMIF($C$7:$C$48,"CP-3",$Z$7:$Z$48),MAX(IF($C$7:$C$48="CP-3",$Z$7:$Z$48)))</f>
        <v>0</v>
      </c>
      <c r="AA55" s="131">
        <f>SUMIF($C$7:$C$48,"CP-3",$AA$7:$AA$48)</f>
        <v>0</v>
      </c>
      <c r="AB55" s="131">
        <f>SUMIF($C$7:$C$48,"CP-3",$AE$7:$AE$48)</f>
        <v>0</v>
      </c>
      <c r="AC55" s="131">
        <f t="array" ref="AC55">IF(B52="",SUMIF($C$7:$C$48,"CP-3",$AD$7:$AD$48),MAX(IF($C$7:$C$48="CP-3",$AD$7:$AD$48)))</f>
        <v>0</v>
      </c>
      <c r="AD55" s="131">
        <f t="array" ref="AD55">IF(B52="",SUMIF($C$7:$C$48,"CP-3",$AH$7:$AH$48),MAX(IF($C$7:$C$48="CP-3",$AH$7:$AH$48)))</f>
        <v>0</v>
      </c>
      <c r="AE55" s="131">
        <f>SUMIF($C$7:$C$48,"CP-3",$AI$7:$AI$48)</f>
        <v>0</v>
      </c>
      <c r="AF55" s="131">
        <f>SUMIF($C$7:$C$48,"CP-3",$AM$7:$AM$48)</f>
        <v>0</v>
      </c>
      <c r="AG55" s="131">
        <f t="array" ref="AG55">IF(B52="",SUMIF($C$7:$C$48,"CP-3",$AL$7:$AL$48),MAX(IF($C$7:$C$48="CP-3",$AL$7:$AL$48)))</f>
        <v>0</v>
      </c>
      <c r="AH55" s="131">
        <f t="array" ref="AH55">IF(B52="",SUMIF($C$7:$C$48,"CP-3",$AP$7:$AP$48),MAX(IF($C$7:$C$48="CP-3",$AP$7:$AP$48)))</f>
        <v>0</v>
      </c>
      <c r="AI55" s="131">
        <f>SUMIF($C$7:$C$48,"CP-3",$AQ$7:$AQ$48)</f>
        <v>0</v>
      </c>
      <c r="AJ55" s="131">
        <f>SUMIF($C$7:$C$48,"CP-3",$AU$7:$AU$48)</f>
        <v>0</v>
      </c>
      <c r="AK55" s="131">
        <f t="array" ref="AK55">IF(B52="",SUMIF($C$7:$C$48,"CP-3",$AT$7:$AT$48),MAX(IF($C$7:$C$48="CP-3",$AT$7:$AT$48)))</f>
        <v>0</v>
      </c>
      <c r="AL55" s="131">
        <f t="array" ref="AL55">IF(B52="",SUMIF($C$7:$C$48,"CP-3",$AX$7:$AX$48),MAX(IF($C$7:$C$48="CP-3",$AX$7:$AX$48)))</f>
        <v>0</v>
      </c>
      <c r="AM55" s="131">
        <f>SUMIF($C$7:$C$48,"CP-3",$AY$7:$AY$48)</f>
        <v>0</v>
      </c>
      <c r="AN55" s="131">
        <f>SUMIF($C$7:$C$48,"CP-3",$BC$7:$BC$48)</f>
        <v>0</v>
      </c>
      <c r="AO55" s="131">
        <f t="array" ref="AO55">IF(B52="",SUMIF($C$7:$C$48,"CP-3",$BB$7:$BB$48),MAX(IF($C$7:$C$48="CP-3",$BB$7:$BB$48)))</f>
        <v>0</v>
      </c>
    </row>
    <row r="56" spans="1:41" x14ac:dyDescent="0.25">
      <c r="A56" s="6" t="s">
        <v>231</v>
      </c>
      <c r="B56" s="6">
        <f t="array" ref="B56">MAX(IF($C$7:$C$48="CP-7",$I$7:$I$48))</f>
        <v>0</v>
      </c>
      <c r="X56" s="119" t="s">
        <v>228</v>
      </c>
      <c r="Z56" s="131">
        <f t="array" ref="Z56">IF(B53="",SUMIF($C$7:$C$48,"CP-4",$Z$7:$Z$48),MAX(IF($C$7:$C$48="CP-4",$Z$7:$Z$48)))</f>
        <v>0</v>
      </c>
      <c r="AA56" s="131">
        <f>SUMIF($C$7:$C$48,"CP-4",$AA$7:$AA$48)</f>
        <v>0</v>
      </c>
      <c r="AB56" s="131">
        <f>SUMIF($C$7:$C$48,"CP-4",$AE$7:$AE$48)</f>
        <v>0</v>
      </c>
      <c r="AC56" s="131">
        <f t="array" ref="AC56">IF(B53="",SUMIF($C$7:$C$48,"CP-4",$AD$7:$AD$48),MAX(IF($C$7:$C$48="CP-4",$AD$7:$AD$48)))</f>
        <v>0</v>
      </c>
      <c r="AD56" s="131">
        <f t="array" ref="AD56">IF(B53="",SUMIF($C$7:$C$48,"CP-4",$AH$7:$AH$48),MAX(IF($C$7:$C$48="CP-4",$AH$7:$AH$48)))</f>
        <v>0</v>
      </c>
      <c r="AE56" s="131">
        <f>SUMIF($C$7:$C$48,"CP-4",$AI$7:$AI$48)</f>
        <v>0</v>
      </c>
      <c r="AF56" s="131">
        <f>SUMIF($C$7:$C$48,"CP-4",$AM$7:$AM$48)</f>
        <v>0</v>
      </c>
      <c r="AG56" s="131">
        <f t="array" ref="AG56">IF(B53="",SUMIF($C$7:$C$48,"CP-4",$AL$7:$AL$48),MAX(IF($C$7:$C$48="CP-4",$AL$7:$AL$48)))</f>
        <v>0</v>
      </c>
      <c r="AH56" s="131">
        <f t="array" ref="AH56">IF(B53="",SUMIF($C$7:$C$48,"CP-4",$AP$7:$AP$48),MAX(IF($C$7:$C$48="CP-4",$AP$7:$AP$48)))</f>
        <v>0</v>
      </c>
      <c r="AI56" s="131">
        <f>SUMIF($C$7:$C$48,"CP-4",$AQ$7:$AQ$48)</f>
        <v>0</v>
      </c>
      <c r="AJ56" s="131">
        <f>SUMIF($C$7:$C$48,"CP-4",$AU$7:$AU$48)</f>
        <v>0</v>
      </c>
      <c r="AK56" s="131">
        <f t="array" ref="AK56">IF(B53="",SUMIF($C$7:$C$48,"CP-4",$AT$7:$AT$48),MAX(IF($C$7:$C$48="CP-4",$AT$7:$AT$48)))</f>
        <v>0</v>
      </c>
      <c r="AL56" s="131">
        <f t="array" ref="AL56">IF(B53="",SUMIF($C$7:$C$48,"CP-4",$AX$7:$AX$48),MAX(IF($C$7:$C$48="CP-4",$AX$7:$AX$48)))</f>
        <v>0</v>
      </c>
      <c r="AM56" s="131">
        <f>SUMIF($C$7:$C$48,"CP-4",$AY$7:$AY$48)</f>
        <v>0</v>
      </c>
      <c r="AN56" s="131">
        <f>SUMIF($C$7:$C$48,"CP-4",$BC$7:$BC$48)</f>
        <v>0</v>
      </c>
      <c r="AO56" s="131">
        <f t="array" ref="AO56">IF(B53="",SUMIF($C$7:$C$48,"CP-4",$BB$7:$BB$48),MAX(IF($C$7:$C$48="CP-4",$BB$7:$BB$48)))</f>
        <v>0</v>
      </c>
    </row>
    <row r="57" spans="1:41" x14ac:dyDescent="0.25">
      <c r="A57" s="6" t="s">
        <v>232</v>
      </c>
      <c r="B57" s="6">
        <f t="array" ref="B57">MAX(IF($C$7:$C$48="CP-8",$I$7:$I$48))</f>
        <v>0</v>
      </c>
      <c r="X57" s="119" t="s">
        <v>229</v>
      </c>
      <c r="Z57" s="131">
        <f t="array" ref="Z57">IF(B54="",SUMIF($C$7:$C$48,"CP-5",$Z$7:$Z$48),MAX(IF($C$7:$C$48="CP-5",$Z$7:$Z$48)))</f>
        <v>0</v>
      </c>
      <c r="AA57" s="131">
        <f>SUMIF($C$7:$C$48,"CP-5",$AA$7:$AA$48)</f>
        <v>0</v>
      </c>
      <c r="AB57" s="131">
        <f>SUMIF($C$7:$C$48,"CP-5",$AE$7:$AE$48)</f>
        <v>0</v>
      </c>
      <c r="AC57" s="131">
        <f t="array" ref="AC57">IF(B54="",SUMIF($C$7:$C$48,"CP-5",$AD$7:$AD$48),MAX(IF($C$7:$C$48="CP-5",$AD$7:$AD$48)))</f>
        <v>0</v>
      </c>
      <c r="AD57" s="131">
        <f t="array" ref="AD57">IF(B54="",SUMIF($C$7:$C$48,"CP-5",$AH$7:$AH$48),MAX(IF($C$7:$C$48="CP-5",$AH$7:$AH$48)))</f>
        <v>0</v>
      </c>
      <c r="AE57" s="131">
        <f>SUMIF($C$7:$C$48,"CP-5",$AI$7:$AI$48)</f>
        <v>0</v>
      </c>
      <c r="AF57" s="131">
        <f>SUMIF($C$7:$C$48,"CP-5",$AM$7:$AM$48)</f>
        <v>0</v>
      </c>
      <c r="AG57" s="131">
        <f t="array" ref="AG57">IF(B54="",SUMIF($C$7:$C$48,"CP-5",$AL$7:$AL$48),MAX(IF($C$7:$C$48="CP-5",$AL$7:$AL$48)))</f>
        <v>0</v>
      </c>
      <c r="AH57" s="131">
        <f t="array" ref="AH57">IF(B54="",SUMIF($C$7:$C$48,"CP-5",$AP$7:$AP$48),MAX(IF($C$7:$C$48="CP-5",$AP$7:$AP$48)))</f>
        <v>0</v>
      </c>
      <c r="AI57" s="131">
        <f>SUMIF($C$7:$C$48,"CP-5",$AQ$7:$AQ$48)</f>
        <v>0</v>
      </c>
      <c r="AJ57" s="131">
        <f>SUMIF($C$7:$C$48,"CP-5",$AU$7:$AU$48)</f>
        <v>0</v>
      </c>
      <c r="AK57" s="131">
        <f t="array" ref="AK57">IF(B54="",SUMIF($C$7:$C$48,"CP-5",$AT$7:$AT$48),MAX(IF($C$7:$C$48="CP-5",$AT$7:$AT$48)))</f>
        <v>0</v>
      </c>
      <c r="AL57" s="131">
        <f t="array" ref="AL57">IF(B54="",SUMIF($C$7:$C$48,"CP-5",$AX$7:$AX$48),MAX(IF($C$7:$C$48="CP-5",$AX$7:$AX$48)))</f>
        <v>0</v>
      </c>
      <c r="AM57" s="131">
        <f>SUMIF($C$7:$C$48,"CP-5",$AY$7:$AY$48)</f>
        <v>0</v>
      </c>
      <c r="AN57" s="131">
        <f>SUMIF($C$7:$C$48,"CP-5",$BC$7:$BC$48)</f>
        <v>0</v>
      </c>
      <c r="AO57" s="131">
        <f t="array" ref="AO57">IF(B54="",SUMIF($C$7:$C$48,"CP-5",$BB$7:$BB$48),MAX(IF($C$7:$C$48="CP-5",$BB$7:$BB$48)))</f>
        <v>0</v>
      </c>
    </row>
    <row r="58" spans="1:41" x14ac:dyDescent="0.25">
      <c r="A58" s="6" t="s">
        <v>233</v>
      </c>
      <c r="B58" s="6">
        <f t="array" ref="B58">MAX(IF($C$7:$C$48="CP-9",$I$7:$I$48))</f>
        <v>0</v>
      </c>
      <c r="X58" s="119" t="s">
        <v>230</v>
      </c>
      <c r="Z58" s="131">
        <f t="array" ref="Z58">IF(B55="",SUMIF($C$7:$C$48,"CP-6",$Z$7:$Z$48),MAX(IF($C$7:$C$48="CP-6",$Z$7:$Z$48)))</f>
        <v>0</v>
      </c>
      <c r="AA58" s="131">
        <f>SUMIF($C$7:$C$48,"CP-6",$AA$7:$AA$48)</f>
        <v>0</v>
      </c>
      <c r="AB58" s="131">
        <f>SUMIF($C$7:$C$48,"CP-6",$AE$7:$AE$48)</f>
        <v>0</v>
      </c>
      <c r="AC58" s="131">
        <f t="array" ref="AC58">IF(B55="",SUMIF($C$7:$C$48,"CP-6",$AD$7:$AD$48),MAX(IF($C$7:$C$48="CP-6",$AD$7:$AD$48)))</f>
        <v>0</v>
      </c>
      <c r="AD58" s="131">
        <f t="array" ref="AD58">IF(B55="",SUMIF($C$7:$C$48,"CP-6",$AH$7:$AH$48),MAX(IF($C$7:$C$48="CP-6",$AH$7:$AH$48)))</f>
        <v>0</v>
      </c>
      <c r="AE58" s="131">
        <f>SUMIF($C$7:$C$48,"CP-6",$AI$7:$AI$48)</f>
        <v>0</v>
      </c>
      <c r="AF58" s="131">
        <f>SUMIF($C$7:$C$48,"CP-6",$AM$7:$AM$48)</f>
        <v>0</v>
      </c>
      <c r="AG58" s="131">
        <f t="array" ref="AG58">IF(B55="",SUMIF($C$7:$C$48,"CP-6",$AL$7:$AL$48),MAX(IF($C$7:$C$48="CP-6",$AL$7:$AL$48)))</f>
        <v>0</v>
      </c>
      <c r="AH58" s="131">
        <f t="array" ref="AH58">IF(B55="",SUMIF($C$7:$C$48,"CP-6",$AP$7:$AP$48),MAX(IF($C$7:$C$48="CP-6",$AP$7:$AP$48)))</f>
        <v>0</v>
      </c>
      <c r="AI58" s="131">
        <f>SUMIF($C$7:$C$48,"CP-6",$AQ$7:$AQ$48)</f>
        <v>0</v>
      </c>
      <c r="AJ58" s="131">
        <f>SUMIF($C$7:$C$48,"CP-6",$AU$7:$AU$48)</f>
        <v>0</v>
      </c>
      <c r="AK58" s="131">
        <f t="array" ref="AK58">IF(B55="",SUMIF($C$7:$C$48,"CP-6",$AT$7:$AT$48),MAX(IF($C$7:$C$48="CP-6",$AT$7:$AT$48)))</f>
        <v>0</v>
      </c>
      <c r="AL58" s="131">
        <f t="array" ref="AL58">IF(B55="",SUMIF($C$7:$C$48,"CP-6",$AX$7:$AX$48),MAX(IF($C$7:$C$48="CP-6",$AX$7:$AX$48)))</f>
        <v>0</v>
      </c>
      <c r="AM58" s="131">
        <f>SUMIF($C$7:$C$48,"CP-6",$AY$7:$AY$48)</f>
        <v>0</v>
      </c>
      <c r="AN58" s="131">
        <f>SUMIF($C$7:$C$48,"CP-6",$BC$7:$BC$48)</f>
        <v>0</v>
      </c>
      <c r="AO58" s="131">
        <f t="array" ref="AO58">IF(B55="",SUMIF($C$7:$C$48,"CP-6",$BB$7:$BB$48),MAX(IF($C$7:$C$48="CP-6",$BB$7:$BB$48)))</f>
        <v>0</v>
      </c>
    </row>
    <row r="59" spans="1:41" x14ac:dyDescent="0.25">
      <c r="A59" s="6" t="s">
        <v>234</v>
      </c>
      <c r="B59" s="6">
        <f t="array" ref="B59">MAX(IF($C$7:$C$48="CP-10",$I$7:$I$48))</f>
        <v>0</v>
      </c>
      <c r="X59" s="119" t="s">
        <v>231</v>
      </c>
      <c r="Z59" s="131">
        <f t="array" ref="Z59">IF(B56="",SUMIF($C$7:$C$48,"CP-7",$Z$7:$Z$48),MAX(IF($C$7:$C$48="CP-7",$Z$7:$Z$48)))</f>
        <v>0</v>
      </c>
      <c r="AA59" s="131">
        <f>SUMIF($C$7:$C$48,"CP-7",$AA$7:$AA$48)</f>
        <v>0</v>
      </c>
      <c r="AB59" s="131">
        <f>SUMIF($C$7:$C$48,"CP-7",$AE$7:$AE$48)</f>
        <v>0</v>
      </c>
      <c r="AC59" s="131">
        <f t="array" ref="AC59">IF(B56="",SUMIF($C$7:$C$48,"CP-7",$AD$7:$AD$48),MAX(IF($C$7:$C$48="CP-7",$AD$7:$AD$48)))</f>
        <v>0</v>
      </c>
      <c r="AD59" s="131">
        <f t="array" ref="AD59">IF(B56="",SUMIF($C$7:$C$48,"CP-7",$AH$7:$AH$48),MAX(IF($C$7:$C$48="CP-7",$AH$7:$AH$48)))</f>
        <v>0</v>
      </c>
      <c r="AE59" s="131">
        <f>SUMIF($C$7:$C$48,"CP-7",$AI$7:$AI$48)</f>
        <v>0</v>
      </c>
      <c r="AF59" s="131">
        <f>SUMIF($C$7:$C$48,"CP-7",$AM$7:$AM$48)</f>
        <v>0</v>
      </c>
      <c r="AG59" s="131">
        <f t="array" ref="AG59">IF(B56="",SUMIF($C$7:$C$48,"CP-7",$AL$7:$AL$48),MAX(IF($C$7:$C$48="CP-7",$AL$7:$AL$48)))</f>
        <v>0</v>
      </c>
      <c r="AH59" s="131">
        <f t="array" ref="AH59">IF(B56="",SUMIF($C$7:$C$48,"CP-7",$AP$7:$AP$48),MAX(IF($C$7:$C$48="CP-7",$AP$7:$AP$48)))</f>
        <v>0</v>
      </c>
      <c r="AI59" s="131">
        <f>SUMIF($C$7:$C$48,"CP-7",$AQ$7:$AQ$48)</f>
        <v>0</v>
      </c>
      <c r="AJ59" s="131">
        <f>SUMIF($C$7:$C$48,"CP-7",$AU$7:$AU$48)</f>
        <v>0</v>
      </c>
      <c r="AK59" s="131">
        <f t="array" ref="AK59">IF(B56="",SUMIF($C$7:$C$48,"CP-7",$AT$7:$AT$48),MAX(IF($C$7:$C$48="CP-7",$AT$7:$AT$48)))</f>
        <v>0</v>
      </c>
      <c r="AL59" s="131">
        <f t="array" ref="AL59">IF(B56="",SUMIF($C$7:$C$48,"CP-7",$AX$7:$AX$48),MAX(IF($C$7:$C$48="CP-7",$AX$7:$AX$48)))</f>
        <v>0</v>
      </c>
      <c r="AM59" s="131">
        <f>SUMIF($C$7:$C$48,"CP-7",$AY$7:$AY$48)</f>
        <v>0</v>
      </c>
      <c r="AN59" s="131">
        <f>SUMIF($C$7:$C$48,"CP-7",$BC$7:$BC$48)</f>
        <v>0</v>
      </c>
      <c r="AO59" s="131">
        <f t="array" ref="AO59">IF(B56="",SUMIF($C$7:$C$48,"CP-7",$BB$7:$BB$48),MAX(IF($C$7:$C$48="CP-7",$BB$7:$BB$48)))</f>
        <v>0</v>
      </c>
    </row>
    <row r="60" spans="1:41" x14ac:dyDescent="0.25">
      <c r="X60" s="119" t="s">
        <v>232</v>
      </c>
      <c r="Z60" s="131">
        <f t="array" ref="Z60">IF(B57="",SUMIF($C$7:$C$48,"CP-8",$Z$7:$Z$48),MAX(IF($C$7:$C$48="CP-8",$Z$7:$Z$48)))</f>
        <v>0</v>
      </c>
      <c r="AA60" s="131">
        <f>SUMIF($C$7:$C$48,"CP-8",$AA$7:$AA$48)</f>
        <v>0</v>
      </c>
      <c r="AB60" s="131">
        <f>SUMIF($C$7:$C$48,"CP-8",$AE$7:$AE$48)</f>
        <v>0</v>
      </c>
      <c r="AC60" s="131">
        <f t="array" ref="AC60">IF(B57="",SUMIF($C$7:$C$48,"CP-8",$AD$7:$AD$48),MAX(IF($C$7:$C$48="CP-8",$AD$7:$AD$48)))</f>
        <v>0</v>
      </c>
      <c r="AD60" s="131">
        <f t="array" ref="AD60">IF(B57="",SUMIF($C$7:$C$48,"CP-8",$AH$7:$AH$48),MAX(IF($C$7:$C$48="CP-8",$AH$7:$AH$48)))</f>
        <v>0</v>
      </c>
      <c r="AE60" s="131">
        <f>SUMIF($C$7:$C$48,"CP-8",$AI$7:$AI$48)</f>
        <v>0</v>
      </c>
      <c r="AF60" s="131">
        <f>SUMIF($C$7:$C$48,"CP-8",$AM$7:$AM$48)</f>
        <v>0</v>
      </c>
      <c r="AG60" s="131">
        <f t="array" ref="AG60">IF(B57="",SUMIF($C$7:$C$48,"CP-8",$AL$7:$AL$48),MAX(IF($C$7:$C$48="CP-8",$AL$7:$AL$48)))</f>
        <v>0</v>
      </c>
      <c r="AH60" s="131">
        <f t="array" ref="AH60">IF(B57="",SUMIF($C$7:$C$48,"CP-8",$AP$7:$AP$48),MAX(IF($C$7:$C$48="CP-8",$AP$7:$AP$48)))</f>
        <v>0</v>
      </c>
      <c r="AI60" s="131">
        <f>SUMIF($C$7:$C$48,"CP-8",$AQ$7:$AQ$48)</f>
        <v>0</v>
      </c>
      <c r="AJ60" s="131">
        <f>SUMIF($C$7:$C$48,"CP-8",$AU$7:$AU$48)</f>
        <v>0</v>
      </c>
      <c r="AK60" s="131">
        <f t="array" ref="AK60">IF(B57="",SUMIF($C$7:$C$48,"CP-8",$AT$7:$AT$48),MAX(IF($C$7:$C$48="CP-8",$AT$7:$AT$48)))</f>
        <v>0</v>
      </c>
      <c r="AL60" s="131">
        <f t="array" ref="AL60">IF(B57="",SUMIF($C$7:$C$48,"CP-8",$AX$7:$AX$48),MAX(IF($C$7:$C$48="CP-8",$AX$7:$AX$48)))</f>
        <v>0</v>
      </c>
      <c r="AM60" s="131">
        <f>SUMIF($C$7:$C$48,"CP-8",$AY$7:$AY$48)</f>
        <v>0</v>
      </c>
      <c r="AN60" s="131">
        <f>SUMIF($C$7:$C$48,"CP-8",$BC$7:$BC$48)</f>
        <v>0</v>
      </c>
      <c r="AO60" s="131">
        <f t="array" ref="AO60">IF(B57="",SUMIF($C$7:$C$48,"CP-8",$BB$7:$BB$48),MAX(IF($C$7:$C$48="CP-8",$BB$7:$BB$48)))</f>
        <v>0</v>
      </c>
    </row>
    <row r="61" spans="1:41" x14ac:dyDescent="0.25">
      <c r="A61" s="6" t="s">
        <v>186</v>
      </c>
      <c r="X61" s="119" t="s">
        <v>233</v>
      </c>
      <c r="Z61" s="131">
        <f t="array" ref="Z61">IF(B58="",SUMIF($C$7:$C$48,"CP-9",$Z$7:$Z$48),MAX(IF($C$7:$C$48="CP-9",$Z$7:$Z$48)))</f>
        <v>0</v>
      </c>
      <c r="AA61" s="131">
        <f>SUMIF($C$7:$C$48,"CP-9",$AA$7:$AA$48)</f>
        <v>0</v>
      </c>
      <c r="AB61" s="131">
        <f>SUMIF($C$7:$C$48,"CP-9",$AE$7:$AE$48)</f>
        <v>0</v>
      </c>
      <c r="AC61" s="131">
        <f t="array" ref="AC61">IF(B58="",SUMIF($C$7:$C$48,"CP-9",$AD$7:$AD$48),MAX(IF($C$7:$C$48="CP-9",$AD$7:$AD$48)))</f>
        <v>0</v>
      </c>
      <c r="AD61" s="131">
        <f t="array" ref="AD61">IF(B58="",SUMIF($C$7:$C$48,"CP-9",$AH$7:$AH$48),MAX(IF($C$7:$C$48="CP-9",$AH$7:$AH$48)))</f>
        <v>0</v>
      </c>
      <c r="AE61" s="131">
        <f>SUMIF($C$7:$C$48,"CP-9",$AI$7:$AI$48)</f>
        <v>0</v>
      </c>
      <c r="AF61" s="131">
        <f>SUMIF($C$7:$C$48,"CP-9",$AM$7:$AM$48)</f>
        <v>0</v>
      </c>
      <c r="AG61" s="131">
        <f t="array" ref="AG61">IF(B58="",SUMIF($C$7:$C$48,"CP-9",$AL$7:$AL$48),MAX(IF($C$7:$C$48="CP-9",$AL$7:$AL$48)))</f>
        <v>0</v>
      </c>
      <c r="AH61" s="131">
        <f t="array" ref="AH61">IF(B58="",SUMIF($C$7:$C$48,"CP-9",$AP$7:$AP$48),MAX(IF($C$7:$C$48="CP-9",$AP$7:$AP$48)))</f>
        <v>0</v>
      </c>
      <c r="AI61" s="131">
        <f>SUMIF($C$7:$C$48,"CP-9",$AQ$7:$AQ$48)</f>
        <v>0</v>
      </c>
      <c r="AJ61" s="131">
        <f>SUMIF($C$7:$C$48,"CP-9",$AU$7:$AU$48)</f>
        <v>0</v>
      </c>
      <c r="AK61" s="131">
        <f t="array" ref="AK61">IF(B58="",SUMIF($C$7:$C$48,"CP-9",$AT$7:$AT$48),MAX(IF($C$7:$C$48="CP-9",$AT$7:$AT$48)))</f>
        <v>0</v>
      </c>
      <c r="AL61" s="131">
        <f t="array" ref="AL61">IF(B58="",SUMIF($C$7:$C$48,"CP-9",$AX$7:$AX$48),MAX(IF($C$7:$C$48="CP-9",$AX$7:$AX$48)))</f>
        <v>0</v>
      </c>
      <c r="AM61" s="131">
        <f>SUMIF($C$7:$C$48,"CP-9",$AY$7:$AY$48)</f>
        <v>0</v>
      </c>
      <c r="AN61" s="131">
        <f>SUMIF($C$7:$C$48,"CP-9",$BC$7:$BC$48)</f>
        <v>0</v>
      </c>
      <c r="AO61" s="131">
        <f t="array" ref="AO61">IF(B58="",SUMIF($C$7:$C$48,"CP-9",$BB$7:$BB$48),MAX(IF($C$7:$C$48="CP-9",$BB$7:$BB$48)))</f>
        <v>0</v>
      </c>
    </row>
    <row r="62" spans="1:41" x14ac:dyDescent="0.25">
      <c r="A62" s="6" t="s">
        <v>187</v>
      </c>
      <c r="X62" s="119" t="s">
        <v>234</v>
      </c>
      <c r="Z62" s="131">
        <f t="array" ref="Z62">IF(B59="",SUMIF($C$7:$C$48,"CP-10",$Z$7:$Z$48),MAX(IF($C$7:$C$48="CP-10",$Z$7:$Z$48)))</f>
        <v>0</v>
      </c>
      <c r="AA62" s="131">
        <f>SUMIF($C$7:$C$48,"CP-10",$AA$7:$AA$48)</f>
        <v>0</v>
      </c>
      <c r="AB62" s="131">
        <f>SUMIF($C$7:$C$48,"CP-10",$AE$7:$AE$48)</f>
        <v>0</v>
      </c>
      <c r="AC62" s="131">
        <f t="array" ref="AC62">IF(B59="",SUMIF($C$7:$C$48,"CP-10",$AD$7:$AD$48),MAX(IF($C$7:$C$48="CP-10",$AD$7:$AD$48)))</f>
        <v>0</v>
      </c>
      <c r="AD62" s="131">
        <f t="array" ref="AD62">IF(B59="",SUMIF($C$7:$C$48,"CP-10",$AH$7:$AH$48),MAX(IF($C$7:$C$48="CP-10",$AH$7:$AH$48)))</f>
        <v>0</v>
      </c>
      <c r="AE62" s="131">
        <f>SUMIF($C$7:$C$48,"CP-10",$AI$7:$AI$48)</f>
        <v>0</v>
      </c>
      <c r="AF62" s="131">
        <f>SUMIF($C$7:$C$48,"CP-10",$AM$7:$AM$48)</f>
        <v>0</v>
      </c>
      <c r="AG62" s="131">
        <f t="array" ref="AG62">IF(B59="",SUMIF($C$7:$C$48,"CP-10",$AL$7:$AL$48),MAX(IF($C$7:$C$48="CP-10",$AL$7:$AL$48)))</f>
        <v>0</v>
      </c>
      <c r="AH62" s="131">
        <f t="array" ref="AH62">IF(B59="",SUMIF($C$7:$C$48,"CP-10",$AP$7:$AP$48),MAX(IF($C$7:$C$48="CP-10",$AP$7:$AP$48)))</f>
        <v>0</v>
      </c>
      <c r="AI62" s="131">
        <f>SUMIF($C$7:$C$48,"CP-10",$AQ$7:$AQ$48)</f>
        <v>0</v>
      </c>
      <c r="AJ62" s="131">
        <f>SUMIF($C$7:$C$48,"CP-10",$AU$7:$AU$48)</f>
        <v>0</v>
      </c>
      <c r="AK62" s="131">
        <f t="array" ref="AK62">IF(B59="",SUMIF($C$7:$C$48,"CP-10",$AT$7:$AT$48),MAX(IF($C$7:$C$48="CP-10",$AT$7:$AT$48)))</f>
        <v>0</v>
      </c>
      <c r="AL62" s="131">
        <f t="array" ref="AL62">IF(B59="",SUMIF($C$7:$C$48,"CP-10",$AX$7:$AX$48),MAX(IF($C$7:$C$48="CP-10",$AX$7:$AX$48)))</f>
        <v>0</v>
      </c>
      <c r="AM62" s="131">
        <f>SUMIF($C$7:$C$48,"CP-10",$AY$7:$AY$48)</f>
        <v>0</v>
      </c>
      <c r="AN62" s="131">
        <f>SUMIF($C$7:$C$48,"CP-10",$BC$7:$BC$48)</f>
        <v>0</v>
      </c>
      <c r="AO62" s="131">
        <f t="array" ref="AO62">IF(B59="",SUMIF($C$7:$C$48,"CP-10",$BB$7:$BB$48),MAX(IF($C$7:$C$48="CP-10",$BB$7:$BB$48)))</f>
        <v>0</v>
      </c>
    </row>
    <row r="63" spans="1:41" x14ac:dyDescent="0.25">
      <c r="A63" s="6" t="s">
        <v>184</v>
      </c>
    </row>
    <row r="64" spans="1:41" ht="13.5" hidden="1" customHeight="1" x14ac:dyDescent="0.25">
      <c r="A64" s="6" t="s">
        <v>185</v>
      </c>
      <c r="Z64" s="6" t="s">
        <v>238</v>
      </c>
      <c r="AA64" s="6" t="s">
        <v>239</v>
      </c>
      <c r="AB64" s="6" t="s">
        <v>238</v>
      </c>
      <c r="AC64" s="6" t="s">
        <v>239</v>
      </c>
      <c r="AD64" s="6" t="s">
        <v>238</v>
      </c>
      <c r="AE64" s="6" t="s">
        <v>239</v>
      </c>
      <c r="AF64" s="6" t="s">
        <v>238</v>
      </c>
      <c r="AG64" s="6" t="s">
        <v>239</v>
      </c>
      <c r="AH64" s="6" t="s">
        <v>238</v>
      </c>
      <c r="AI64" s="6" t="s">
        <v>239</v>
      </c>
      <c r="AJ64" s="6" t="s">
        <v>238</v>
      </c>
      <c r="AK64" s="6" t="s">
        <v>239</v>
      </c>
      <c r="AL64" s="6" t="s">
        <v>238</v>
      </c>
      <c r="AM64" s="6" t="s">
        <v>239</v>
      </c>
      <c r="AN64" s="6" t="s">
        <v>238</v>
      </c>
      <c r="AO64" s="6" t="s">
        <v>239</v>
      </c>
    </row>
    <row r="65" spans="25:41" ht="13.5" hidden="1" customHeight="1" x14ac:dyDescent="0.25">
      <c r="Y65" s="155" t="s">
        <v>225</v>
      </c>
      <c r="Z65" s="153">
        <f t="array" ref="Z65">IF(B50="",SUMIFS($Z$7:$Z$48,$C$7:C48,"CP-1",$B$7:$B$48,"no"),MAX(IF($C$7:$C$48="CP-1",IF($B$7:$B$48="no",$Z$7:$Z$48))))</f>
        <v>0</v>
      </c>
      <c r="AA65" s="153">
        <f t="array" ref="AA65">IF(B50="",SUMIFS($Z$7:$Z$48,$C$7:D48,"CP-1",$B$7:$B$48,"yes"),MAX(IF($C$7:$C$48="CP-1",IF($B$7:$B$48="yes",$Z$7:$Z$48))))</f>
        <v>0</v>
      </c>
      <c r="AB65" s="153">
        <f t="array" ref="AB65">IF($B$50="",SUMIFS($AD$7:$AD$48,$C$7:E48,"CP-1",$B$7:$B$48,"no"),MAX(IF($C$7:$C$48="CP-1",IF($B$7:$B$48="no",$AD$7:$AD$48))))</f>
        <v>0</v>
      </c>
      <c r="AC65" s="153">
        <f t="array" ref="AC65">IF($B$50="",SUMIFS($AD$7:$AD$48,$C$7:E48,"CP-1",$B$7:$B$48,"yes"),MAX(IF($C$7:$C$48="CP-1",IF($B$7:$B$48="yes",$AD$7:$AD$48))))</f>
        <v>0</v>
      </c>
      <c r="AD65" s="153">
        <f t="array" ref="AD65">IF($B$50="",SUMIFS($AH$7:$AH$48,$C$7:E48,"CP-1",$B$7:$B$48,"no"),MAX(IF($C$7:$C$48="CP-1",IF($B$7:$B$48="no",$AH$7:$AH$48))))</f>
        <v>0</v>
      </c>
      <c r="AE65" s="153">
        <f t="array" ref="AE65">IF($B$50="",SUMIFS($AH$7:$AH$48,$C$7:G48,"CP-1",$B$7:$B$48,"yes"),MAX(IF($C$7:$C$48="CP-1",IF($B$7:$B$48="yes",$AH$7:$AH$48))))</f>
        <v>0</v>
      </c>
      <c r="AF65" s="153">
        <f t="array" ref="AF65">IF($B$50="",SUMIFS($AL$7:$AL$48,$C$7:E48,"CP-1",$B$7:$B$48,"no"),MAX(IF($C$7:$C$48="CP-1",IF($B$7:$B$48="no",$AL$7:$AL$48))))</f>
        <v>0</v>
      </c>
      <c r="AG65" s="153">
        <f t="array" ref="AG65">IF($B$50="",SUMIFS($AL$7:$AL$48,$C$7:I48,"CP-1",$B$7:$B$48,"yes"),MAX(IF($C$7:$C$48="CP-1",IF($B$7:$B$48="yes",$AL$7:$AL$48))))</f>
        <v>0</v>
      </c>
      <c r="AH65" s="153">
        <f t="array" ref="AH65">IF($B$50="",SUMIFS($AP$7:$AP$48,$C$7:E48,"CP-1",$B$7:$B$48,"no"),MAX(IF($C$7:$C$48="CP-1",IF($B$7:$B$48="no",$AP$7:$AP$48))))</f>
        <v>0</v>
      </c>
      <c r="AI65" s="153">
        <f t="array" ref="AI65">IF($B$50="",SUMIFS($AP$7:$AP$48,$C$7:K48,"CP-1",$B$7:$B$48,"yes"),MAX(IF($C$7:$C$48="CP-1",IF($B$7:$B$48="yes",$AP$7:$AP$48))))</f>
        <v>0</v>
      </c>
      <c r="AJ65" s="153">
        <f t="array" ref="AJ65">IF($B$50="",SUMIFS($AT$7:$AT$48,$C$7:E48,"CP-1",$B$7:$B$48,"no"),MAX(IF($C$7:$C$48="CP-1",IF($B$7:$B$48="no",$AT$7:$AT$48))))</f>
        <v>0</v>
      </c>
      <c r="AK65" s="153">
        <f t="array" ref="AK65">IF($B$50="",SUMIFS($AT$7:$AT$48,$C$7:M48,"CP-1",$B$7:$B$48,"yes"),MAX(IF($C$7:$C$48="CP-1",IF($B$7:$B$48="yes",$AT$7:$AT$48))))</f>
        <v>0</v>
      </c>
      <c r="AL65" s="153">
        <f t="array" ref="AL65">IF($B$50="",SUMIFS($AX$7:$AX$48,$C$7:E48,"CP-1",$B$7:$B$48,"no"),MAX(IF($C$7:$C$48="CP-1",IF($B$7:$B$48="no",$AX$7:$AX$48))))</f>
        <v>0</v>
      </c>
      <c r="AM65" s="153">
        <f t="array" ref="AM65">IF($B$50="",SUMIFS($AX$7:$AX$48,$C$7:O48,"CP-1",$B$7:$B$48,"yes"),MAX(IF($C$7:$C$48="CP-1",IF($B$7:$B$48="yes",$AX$7:$AX$48))))</f>
        <v>0</v>
      </c>
      <c r="AN65" s="153">
        <f t="array" ref="AN65">IF($B$50="",SUMIFS($BB$7:$BB$48,$C$7:E48,"CP-1",$B$7:$B$48,"no"),MAX(IF($C$7:$C$48="CP-1",IF($B$7:$B$48="no",$BB$7:$BB$48))))</f>
        <v>0</v>
      </c>
      <c r="AO65" s="153">
        <f t="array" ref="AO65">IF($B$50="",SUMIFS($BB$7:$BB$48,$C$7:Q48,"CP-1",$B$7:$B$48,"yes"),MAX(IF($C$7:$C$48="CP-1",IF($B$7:$B$48="yes",$BB$7:$BB$48))))</f>
        <v>0</v>
      </c>
    </row>
    <row r="66" spans="25:41" ht="12.75" hidden="1" customHeight="1" x14ac:dyDescent="0.25">
      <c r="Y66" s="155" t="s">
        <v>226</v>
      </c>
      <c r="Z66" s="153">
        <f t="array" ref="Z66">IF(B51="",SUMIFS($Z$7:$Z$48,$C$7:C49,"CP-2",$B$7:$B$48,"no"),MAX(IF($C$7:$C$48="CP-2",IF($B$7:$B$48="no",$Z$7:$Z$48))))</f>
        <v>0</v>
      </c>
      <c r="AA66" s="153">
        <f t="array" ref="AA66">IF(B51="",SUMIFS($Z$7:$Z$48,$C$7:D49,"CP-2",$B$7:$B$48,"yes"),MAX(IF($C$7:$C$48="CP-2",IF($B$7:$B$48="yes",$Z$7:$Z$48))))</f>
        <v>0</v>
      </c>
      <c r="AB66" s="153">
        <f t="array" ref="AB66">IF($B$50="",SUMIFS($AD$7:$AD$48,$C$7:E49,"CP-2",$B$7:$B$48,"no"),MAX(IF($C$7:$C$48="CP-2",IF($B$7:$B$48="no",$AD$7:$AD$48))))</f>
        <v>0</v>
      </c>
      <c r="AC66" s="153">
        <f t="array" ref="AC66">IF($B$50="",SUMIFS($AD$7:$AD$48,$C$7:E49,"CP-2",$B$7:$B$48,"yes"),MAX(IF($C$7:$C$48="CP-2",IF($B$7:$B$48="yes",$AD$7:$AD$48))))</f>
        <v>0</v>
      </c>
      <c r="AD66" s="153">
        <f t="array" ref="AD66">IF($B$50="",SUMIFS($AH$7:$AH$48,$C$7:E49,"CP-2",$B$7:$B$48,"no"),MAX(IF($C$7:$C$48="CP-2",IF($B$7:$B$48="no",$AH$7:$AH$48))))</f>
        <v>0</v>
      </c>
      <c r="AE66" s="153">
        <f t="array" ref="AE66">IF($B$50="",SUMIFS($AH$7:$AH$48,$C$7:G49,"CP-2",$B$7:$B$48,"yes"),MAX(IF($C$7:$C$48="CP-2",IF($B$7:$B$48="yes",$AH$7:$AH$48))))</f>
        <v>0</v>
      </c>
      <c r="AF66" s="153">
        <f t="array" ref="AF66">IF($B$50="",SUMIFS($AL$7:$AL$48,$C$7:E49,"CP-2",$B$7:$B$48,"no"),MAX(IF($C$7:$C$48="CP-2",IF($B$7:$B$48="no",$AL$7:$AL$48))))</f>
        <v>0</v>
      </c>
      <c r="AG66" s="153">
        <f t="array" ref="AG66">IF($B$50="",SUMIFS($AL$7:$AL$48,$C$7:I49,"CP-2",$B$7:$B$48,"yes"),MAX(IF($C$7:$C$48="CP-2",IF($B$7:$B$48="yes",$AL$7:$AL$48))))</f>
        <v>0</v>
      </c>
      <c r="AH66" s="153">
        <f t="array" ref="AH66">IF($B$50="",SUMIFS($AP$7:$AP$48,$C$7:E49,"CP-2",$B$7:$B$48,"no"),MAX(IF($C$7:$C$48="CP-2",IF($B$7:$B$48="no",$AP$7:$AP$48))))</f>
        <v>0</v>
      </c>
      <c r="AI66" s="153">
        <f t="array" ref="AI66">IF($B$50="",SUMIFS($AP$7:$AP$48,$C$7:K49,"CP-2",$B$7:$B$48,"yes"),MAX(IF($C$7:$C$48="CP-2",IF($B$7:$B$48="yes",$AP$7:$AP$48))))</f>
        <v>0</v>
      </c>
      <c r="AJ66" s="153">
        <f t="array" ref="AJ66">IF($B$50="",SUMIFS($AT$7:$AT$48,$C$7:E49,"CP-2",$B$7:$B$48,"no"),MAX(IF($C$7:$C$48="CP-2",IF($B$7:$B$48="no",$AT$7:$AT$48))))</f>
        <v>0</v>
      </c>
      <c r="AK66" s="153">
        <f t="array" ref="AK66">IF($B$50="",SUMIFS($AT$7:$AT$48,$C$7:M49,"CP-2",$B$7:$B$48,"yes"),MAX(IF($C$7:$C$48="CP-2",IF($B$7:$B$48="yes",$AT$7:$AT$48))))</f>
        <v>0</v>
      </c>
      <c r="AL66" s="153">
        <f t="array" ref="AL66">IF($B$50="",SUMIFS($AX$7:$AX$48,$C$7:E49,"CP-2",$B$7:$B$48,"no"),MAX(IF($C$7:$C$48="CP-2",IF($B$7:$B$48="no",$AX$7:$AX$48))))</f>
        <v>0</v>
      </c>
      <c r="AM66" s="153">
        <f t="array" ref="AM66">IF($B$50="",SUMIFS($AX$7:$AX$48,$C$7:O49,"CP-2",$B$7:$B$48,"yes"),MAX(IF($C$7:$C$48="CP-2",IF($B$7:$B$48="yes",$AX$7:$AX$48))))</f>
        <v>0</v>
      </c>
      <c r="AN66" s="153">
        <f t="array" ref="AN66">IF($B$50="",SUMIFS($BB$7:$BB$48,$C$7:E49,"CP-2",$B$7:$B$48,"no"),MAX(IF($C$7:$C$48="CP-2",IF($B$7:$B$48="no",$BB$7:$BB$48))))</f>
        <v>0</v>
      </c>
      <c r="AO66" s="153">
        <f t="array" ref="AO66">IF($B$50="",SUMIFS($BB$7:$BB$48,$C$7:Q49,"CP-2",$B$7:$B$48,"yes"),MAX(IF($C$7:$C$48="CP-2",IF($B$7:$B$48="yes",$BB$7:$BB$48))))</f>
        <v>0</v>
      </c>
    </row>
    <row r="67" spans="25:41" ht="13.5" hidden="1" customHeight="1" x14ac:dyDescent="0.25">
      <c r="Y67" s="155" t="s">
        <v>227</v>
      </c>
      <c r="Z67" s="153">
        <f t="array" ref="Z67">IF(B52="",SUMIFS($Z$7:$Z$48,$C$7:C50,"CP-3",$B$7:$B$48,"no"),MAX(IF($C$7:$C$48="CP-3",IF($B$7:$B$48="no",$Z$7:$Z$48))))</f>
        <v>0</v>
      </c>
      <c r="AA67" s="153">
        <f t="array" ref="AA67">IF(B52="",SUMIFS($Z$7:$Z$48,$C$7:D50,"CP-3",$B$7:$B$48,"yes"),MAX(IF($C$7:$C$48="CP-3",IF($B$7:$B$48="yes",$Z$7:$Z$48))))</f>
        <v>0</v>
      </c>
      <c r="AB67" s="153">
        <f t="array" ref="AB67">IF($B$50="",SUMIFS($AD$7:$AD$48,$C$7:E50,"CP-3",$B$7:$B$48,"no"),MAX(IF($C$7:$C$48="CP-3",IF($B$7:$B$48="no",$AD$7:$AD$48))))</f>
        <v>0</v>
      </c>
      <c r="AC67" s="153">
        <f t="array" ref="AC67">IF($B$50="",SUMIFS($AD$7:$AD$48,$C$7:E50,"CP-3",$B$7:$B$48,"yes"),MAX(IF($C$7:$C$48="CP-3",IF($B$7:$B$48="yes",$AD$7:$AD$48))))</f>
        <v>0</v>
      </c>
      <c r="AD67" s="153">
        <f t="array" ref="AD67">IF($B$50="",SUMIFS($AH$7:$AH$48,$C$7:E50,"CP-3",$B$7:$B$48,"no"),MAX(IF($C$7:$C$48="CP-3",IF($B$7:$B$48="no",$AH$7:$AH$48))))</f>
        <v>0</v>
      </c>
      <c r="AE67" s="153">
        <f t="array" ref="AE67">IF($B$50="",SUMIFS($AH$7:$AH$48,$C$7:G50,"CP-3",$B$7:$B$48,"yes"),MAX(IF($C$7:$C$48="CP-3",IF($B$7:$B$48="yes",$AH$7:$AH$48))))</f>
        <v>0</v>
      </c>
      <c r="AF67" s="153">
        <f t="array" ref="AF67">IF($B$50="",SUMIFS($AL$7:$AL$48,$C$7:E50,"CP-3",$B$7:$B$48,"no"),MAX(IF($C$7:$C$48="CP-3",IF($B$7:$B$48="no",$AL$7:$AL$48))))</f>
        <v>0</v>
      </c>
      <c r="AG67" s="153">
        <f t="array" ref="AG67">IF($B$50="",SUMIFS($AL$7:$AL$48,$C$7:I50,"CP-3",$B$7:$B$48,"yes"),MAX(IF($C$7:$C$48="CP-3",IF($B$7:$B$48="yes",$AL$7:$AL$48))))</f>
        <v>0</v>
      </c>
      <c r="AH67" s="153">
        <f t="array" ref="AH67">IF($B$50="",SUMIFS($AP$7:$AP$48,$C$7:E50,"CP-3",$B$7:$B$48,"no"),MAX(IF($C$7:$C$48="CP-3",IF($B$7:$B$48="no",$AP$7:$AP$48))))</f>
        <v>0</v>
      </c>
      <c r="AI67" s="153">
        <f t="array" ref="AI67">IF($B$50="",SUMIFS($AP$7:$AP$48,$C$7:K50,"CP-3",$B$7:$B$48,"yes"),MAX(IF($C$7:$C$48="CP-3",IF($B$7:$B$48="yes",$AP$7:$AP$48))))</f>
        <v>0</v>
      </c>
      <c r="AJ67" s="153">
        <f t="array" ref="AJ67">IF($B$50="",SUMIFS($AT$7:$AT$48,$C$7:E50,"CP-3",$B$7:$B$48,"no"),MAX(IF($C$7:$C$48="CP-3",IF($B$7:$B$48="no",$AT$7:$AT$48))))</f>
        <v>0</v>
      </c>
      <c r="AK67" s="153">
        <f t="array" ref="AK67">IF($B$50="",SUMIFS($AT$7:$AT$48,$C$7:M50,"CP-3",$B$7:$B$48,"yes"),MAX(IF($C$7:$C$48="CP-3",IF($B$7:$B$48="yes",$AT$7:$AT$48))))</f>
        <v>0</v>
      </c>
      <c r="AL67" s="153">
        <f t="array" ref="AL67">IF($B$50="",SUMIFS($AX$7:$AX$48,$C$7:E50,"CP-3",$B$7:$B$48,"no"),MAX(IF($C$7:$C$48="CP-3",IF($B$7:$B$48="no",$AX$7:$AX$48))))</f>
        <v>0</v>
      </c>
      <c r="AM67" s="153">
        <f t="array" ref="AM67">IF($B$50="",SUMIFS($AX$7:$AX$48,$C$7:O50,"CP-3",$B$7:$B$48,"yes"),MAX(IF($C$7:$C$48="CP-3",IF($B$7:$B$48="yes",$AX$7:$AX$48))))</f>
        <v>0</v>
      </c>
      <c r="AN67" s="153">
        <f t="array" ref="AN67">IF($B$50="",SUMIFS($BB$7:$BB$48,$C$7:E50,"CP-3",$B$7:$B$48,"no"),MAX(IF($C$7:$C$48="CP-3",IF($B$7:$B$48="no",$BB$7:$BB$48))))</f>
        <v>0</v>
      </c>
      <c r="AO67" s="153">
        <f t="array" ref="AO67">IF($B$50="",SUMIFS($BB$7:$BB$48,$C$7:Q50,"CP-3",$B$7:$B$48,"yes"),MAX(IF($C$7:$C$48="CP-3",IF($B$7:$B$48="yes",$BB$7:$BB$48))))</f>
        <v>0</v>
      </c>
    </row>
    <row r="68" spans="25:41" ht="15.75" hidden="1" customHeight="1" x14ac:dyDescent="0.25">
      <c r="Y68" s="155" t="s">
        <v>228</v>
      </c>
      <c r="Z68" s="153">
        <f t="array" ref="Z68">IF(B53="",SUMIFS($Z$7:$Z$48,$C$7:C51,"CP-4",$B$7:$B$48,"no"),MAX(IF($C$7:$C$48="CP-4",IF($B$7:$B$48="no",$Z$7:$Z$48))))</f>
        <v>0</v>
      </c>
      <c r="AA68" s="153">
        <f t="array" ref="AA68">IF(B53="",SUMIFS($Z$7:$Z$48,$C$7:D51,"CP-4",$B$7:$B$48,"yes"),MAX(IF($C$7:$C$48="CP-4",IF($B$7:$B$48="yes",$Z$7:$Z$48))))</f>
        <v>0</v>
      </c>
      <c r="AB68" s="153">
        <f t="array" ref="AB68">IF($B$50="",SUMIFS($AD$7:$AD$48,$C$7:E51,"CP-4",$B$7:$B$48,"no"),MAX(IF($C$7:$C$48="CP-4",IF($B$7:$B$48="no",$AD$7:$AD$48))))</f>
        <v>0</v>
      </c>
      <c r="AC68" s="153">
        <f t="array" ref="AC68">IF($B$50="",SUMIFS($AD$7:$AD$48,$C$7:E51,"CP-4",$B$7:$B$48,"yes"),MAX(IF($C$7:$C$48="CP-4",IF($B$7:$B$48="yes",$AD$7:$AD$48))))</f>
        <v>0</v>
      </c>
      <c r="AD68" s="153">
        <f t="array" ref="AD68">IF($B$50="",SUMIFS($AH$7:$AH$48,$C$7:E51,"CP-4",$B$7:$B$48,"no"),MAX(IF($C$7:$C$48="CP-4",IF($B$7:$B$48="no",$AH$7:$AH$48))))</f>
        <v>0</v>
      </c>
      <c r="AE68" s="153">
        <f t="array" ref="AE68">IF($B$50="",SUMIFS($AH$7:$AH$48,$C$7:G51,"CP-4",$B$7:$B$48,"yes"),MAX(IF($C$7:$C$48="CP-4",IF($B$7:$B$48="yes",$AH$7:$AH$48))))</f>
        <v>0</v>
      </c>
      <c r="AF68" s="153">
        <f t="array" ref="AF68">IF($B$50="",SUMIFS($AL$7:$AL$48,$C$7:E51,"CP-4",$B$7:$B$48,"no"),MAX(IF($C$7:$C$48="CP-4",IF($B$7:$B$48="no",$AL$7:$AL$48))))</f>
        <v>0</v>
      </c>
      <c r="AG68" s="153">
        <f t="array" ref="AG68">IF($B$50="",SUMIFS($AL$7:$AL$48,$C$7:I51,"CP-4",$B$7:$B$48,"yes"),MAX(IF($C$7:$C$48="CP-4",IF($B$7:$B$48="yes",$AL$7:$AL$48))))</f>
        <v>0</v>
      </c>
      <c r="AH68" s="153">
        <f t="array" ref="AH68">IF($B$50="",SUMIFS($AP$7:$AP$48,$C$7:E51,"CP-4",$B$7:$B$48,"no"),MAX(IF($C$7:$C$48="CP-4",IF($B$7:$B$48="no",$AP$7:$AP$48))))</f>
        <v>0</v>
      </c>
      <c r="AI68" s="153">
        <f t="array" ref="AI68">IF($B$50="",SUMIFS($AP$7:$AP$48,$C$7:K51,"CP-4",$B$7:$B$48,"yes"),MAX(IF($C$7:$C$48="CP-4",IF($B$7:$B$48="yes",$AP$7:$AP$48))))</f>
        <v>0</v>
      </c>
      <c r="AJ68" s="153">
        <f t="array" ref="AJ68">IF($B$50="",SUMIFS($AT$7:$AT$48,$C$7:E51,"CP-4",$B$7:$B$48,"no"),MAX(IF($C$7:$C$48="CP-4",IF($B$7:$B$48="no",$AT$7:$AT$48))))</f>
        <v>0</v>
      </c>
      <c r="AK68" s="153">
        <f t="array" ref="AK68">IF($B$50="",SUMIFS($AT$7:$AT$48,$C$7:M51,"CP-4",$B$7:$B$48,"yes"),MAX(IF($C$7:$C$48="CP-4",IF($B$7:$B$48="yes",$AT$7:$AT$48))))</f>
        <v>0</v>
      </c>
      <c r="AL68" s="153">
        <f t="array" ref="AL68">IF($B$50="",SUMIFS($AX$7:$AX$48,$C$7:E51,"CP-4",$B$7:$B$48,"no"),MAX(IF($C$7:$C$48="CP-4",IF($B$7:$B$48="no",$AX$7:$AX$48))))</f>
        <v>0</v>
      </c>
      <c r="AM68" s="153">
        <f t="array" ref="AM68">IF($B$50="",SUMIFS($AX$7:$AX$48,$C$7:O51,"CP-4",$B$7:$B$48,"yes"),MAX(IF($C$7:$C$48="CP-4",IF($B$7:$B$48="yes",$AX$7:$AX$48))))</f>
        <v>0</v>
      </c>
      <c r="AN68" s="153">
        <f t="array" ref="AN68">IF($B$50="",SUMIFS($BB$7:$BB$48,$C$7:E51,"CP-4",$B$7:$B$48,"no"),MAX(IF($C$7:$C$48="CP-4",IF($B$7:$B$48="no",$BB$7:$BB$48))))</f>
        <v>0</v>
      </c>
      <c r="AO68" s="153">
        <f t="array" ref="AO68">IF($B$50="",SUMIFS($BB$7:$BB$48,$C$7:Q51,"CP-4",$B$7:$B$48,"yes"),MAX(IF($C$7:$C$48="CP-4",IF($B$7:$B$48="yes",$BB$7:$BB$48))))</f>
        <v>0</v>
      </c>
    </row>
    <row r="69" spans="25:41" ht="12.75" hidden="1" customHeight="1" x14ac:dyDescent="0.25">
      <c r="Y69" s="155" t="s">
        <v>229</v>
      </c>
      <c r="Z69" s="153">
        <f t="array" ref="Z69">IF(B54="",SUMIFS($Z$7:$Z$48,$C$7:C52,"CP-5",$B$7:$B$48,"no"),MAX(IF($C$7:$C$48="CP-5",IF($B$7:$B$48="no",$Z$7:$Z$48))))</f>
        <v>0</v>
      </c>
      <c r="AA69" s="153">
        <f t="array" ref="AA69">IF(B54="",SUMIFS($Z$7:$Z$48,$C$7:D52,"CP-5",$B$7:$B$48,"yes"),MAX(IF($C$7:$C$48="CP-5",IF($B$7:$B$48="yes",$Z$7:$Z$48))))</f>
        <v>0</v>
      </c>
      <c r="AB69" s="153">
        <f t="array" ref="AB69">IF($B$50="",SUMIFS($AD$7:$AD$48,$C$7:E52,"CP-5",$B$7:$B$48,"no"),MAX(IF($C$7:$C$48="CP-5",IF($B$7:$B$48="no",$AD$7:$AD$48))))</f>
        <v>0</v>
      </c>
      <c r="AC69" s="153">
        <f t="array" ref="AC69">IF($B$50="",SUMIFS($AD$7:$AD$48,$C$7:E52,"CP-5",$B$7:$B$48,"yes"),MAX(IF($C$7:$C$48="CP-5",IF($B$7:$B$48="yes",$AD$7:$AD$48))))</f>
        <v>0</v>
      </c>
      <c r="AD69" s="153">
        <f t="array" ref="AD69">IF($B$50="",SUMIFS($AH$7:$AH$48,$C$7:E52,"CP-5",$B$7:$B$48,"no"),MAX(IF($C$7:$C$48="CP-5",IF($B$7:$B$48="no",$AH$7:$AH$48))))</f>
        <v>0</v>
      </c>
      <c r="AE69" s="153">
        <f t="array" ref="AE69">IF($B$50="",SUMIFS($AH$7:$AH$48,$C$7:G52,"CP-5",$B$7:$B$48,"yes"),MAX(IF($C$7:$C$48="CP-5",IF($B$7:$B$48="yes",$AH$7:$AH$48))))</f>
        <v>0</v>
      </c>
      <c r="AF69" s="153">
        <f t="array" ref="AF69">IF($B$50="",SUMIFS($AL$7:$AL$48,$C$7:E52,"CP-5",$B$7:$B$48,"no"),MAX(IF($C$7:$C$48="CP-5",IF($B$7:$B$48="no",$AL$7:$AL$48))))</f>
        <v>0</v>
      </c>
      <c r="AG69" s="153">
        <f t="array" ref="AG69">IF($B$50="",SUMIFS($AL$7:$AL$48,$C$7:I52,"CP-5",$B$7:$B$48,"yes"),MAX(IF($C$7:$C$48="CP-5",IF($B$7:$B$48="yes",$AL$7:$AL$48))))</f>
        <v>0</v>
      </c>
      <c r="AH69" s="153">
        <f t="array" ref="AH69">IF($B$50="",SUMIFS($AP$7:$AP$48,$C$7:E52,"CP-5",$B$7:$B$48,"no"),MAX(IF($C$7:$C$48="CP-5",IF($B$7:$B$48="no",$AP$7:$AP$48))))</f>
        <v>0</v>
      </c>
      <c r="AI69" s="153">
        <f t="array" ref="AI69">IF($B$50="",SUMIFS($AP$7:$AP$48,$C$7:K52,"CP-5",$B$7:$B$48,"yes"),MAX(IF($C$7:$C$48="CP-5",IF($B$7:$B$48="yes",$AP$7:$AP$48))))</f>
        <v>0</v>
      </c>
      <c r="AJ69" s="153">
        <f t="array" ref="AJ69">IF($B$50="",SUMIFS($AT$7:$AT$48,$C$7:E52,"CP-5",$B$7:$B$48,"no"),MAX(IF($C$7:$C$48="CP-5",IF($B$7:$B$48="no",$AT$7:$AT$48))))</f>
        <v>0</v>
      </c>
      <c r="AK69" s="153">
        <f t="array" ref="AK69">IF($B$50="",SUMIFS($AT$7:$AT$48,$C$7:M52,"CP-5",$B$7:$B$48,"yes"),MAX(IF($C$7:$C$48="CP-5",IF($B$7:$B$48="yes",$AT$7:$AT$48))))</f>
        <v>0</v>
      </c>
      <c r="AL69" s="153">
        <f t="array" ref="AL69">IF($B$50="",SUMIFS($AX$7:$AX$48,$C$7:E52,"CP-5",$B$7:$B$48,"no"),MAX(IF($C$7:$C$48="CP-5",IF($B$7:$B$48="no",$AX$7:$AX$48))))</f>
        <v>0</v>
      </c>
      <c r="AM69" s="153">
        <f t="array" ref="AM69">IF($B$50="",SUMIFS($AX$7:$AX$48,$C$7:O52,"CP-5",$B$7:$B$48,"yes"),MAX(IF($C$7:$C$48="CP-5",IF($B$7:$B$48="yes",$AX$7:$AX$48))))</f>
        <v>0</v>
      </c>
      <c r="AN69" s="153">
        <f t="array" ref="AN69">IF($B$50="",SUMIFS($BB$7:$BB$48,$C$7:E52,"CP-5",$B$7:$B$48,"no"),MAX(IF($C$7:$C$48="CP-5",IF($B$7:$B$48="no",$BB$7:$BB$48))))</f>
        <v>0</v>
      </c>
      <c r="AO69" s="153">
        <f t="array" ref="AO69">IF($B$50="",SUMIFS($BB$7:$BB$48,$C$7:Q52,"CP-5",$B$7:$B$48,"yes"),MAX(IF($C$7:$C$48="CP-5",IF($B$7:$B$48="yes",$BB$7:$BB$48))))</f>
        <v>0</v>
      </c>
    </row>
    <row r="70" spans="25:41" ht="7.5" hidden="1" customHeight="1" x14ac:dyDescent="0.25">
      <c r="Y70" s="155" t="s">
        <v>230</v>
      </c>
      <c r="Z70" s="153">
        <f t="array" ref="Z70">IF(B55="",SUMIFS($Z$7:$Z$48,$C$7:C53,"CP-6",$B$7:$B$48,"no"),MAX(IF($C$7:$C$48="CP-6",IF($B$7:$B$48="no",$Z$7:$Z$48))))</f>
        <v>0</v>
      </c>
      <c r="AA70" s="153">
        <f t="array" ref="AA70">IF(B55="",SUMIFS($Z$7:$Z$48,$C$7:D53,"CP-6",$B$7:$B$48,"yes"),MAX(IF($C$7:$C$48="CP-6",IF($B$7:$B$48="yes",$Z$7:$Z$48))))</f>
        <v>0</v>
      </c>
      <c r="AB70" s="153">
        <f t="array" ref="AB70">IF($B$50="",SUMIFS($AD$7:$AD$48,$C$7:E53,"CP-6",$B$7:$B$48,"no"),MAX(IF($C$7:$C$48="CP-6",IF($B$7:$B$48="no",$AD$7:$AD$48))))</f>
        <v>0</v>
      </c>
      <c r="AC70" s="153">
        <f t="array" ref="AC70">IF($B$50="",SUMIFS($AD$7:$AD$48,$C$7:E53,"CP-6",$B$7:$B$48,"yes"),MAX(IF($C$7:$C$48="CP-6",IF($B$7:$B$48="yes",$AD$7:$AD$48))))</f>
        <v>0</v>
      </c>
      <c r="AD70" s="153">
        <f t="array" ref="AD70">IF($B$50="",SUMIFS($AH$7:$AH$48,$C$7:E53,"CP-6",$B$7:$B$48,"no"),MAX(IF($C$7:$C$48="CP-6",IF($B$7:$B$48="no",$AH$7:$AH$48))))</f>
        <v>0</v>
      </c>
      <c r="AE70" s="153">
        <f t="array" ref="AE70">IF($B$50="",SUMIFS($AH$7:$AH$48,$C$7:G53,"CP-6",$B$7:$B$48,"yes"),MAX(IF($C$7:$C$48="CP-6",IF($B$7:$B$48="yes",$AH$7:$AH$48))))</f>
        <v>0</v>
      </c>
      <c r="AF70" s="153">
        <f t="array" ref="AF70">IF($B$50="",SUMIFS($AL$7:$AL$48,$C$7:E53,"CP-6",$B$7:$B$48,"no"),MAX(IF($C$7:$C$48="CP-6",IF($B$7:$B$48="no",$AL$7:$AL$48))))</f>
        <v>0</v>
      </c>
      <c r="AG70" s="153">
        <f t="array" ref="AG70">IF($B$50="",SUMIFS($AL$7:$AL$48,$C$7:I53,"CP-6",$B$7:$B$48,"yes"),MAX(IF($C$7:$C$48="CP-6",IF($B$7:$B$48="yes",$AL$7:$AL$48))))</f>
        <v>0</v>
      </c>
      <c r="AH70" s="153">
        <f t="array" ref="AH70">IF($B$50="",SUMIFS($AP$7:$AP$48,$C$7:E53,"CP-6",$B$7:$B$48,"no"),MAX(IF($C$7:$C$48="CP-6",IF($B$7:$B$48="no",$AP$7:$AP$48))))</f>
        <v>0</v>
      </c>
      <c r="AI70" s="153">
        <f t="array" ref="AI70">IF($B$50="",SUMIFS($AP$7:$AP$48,$C$7:K53,"CP-6",$B$7:$B$48,"yes"),MAX(IF($C$7:$C$48="CP-6",IF($B$7:$B$48="yes",$AP$7:$AP$48))))</f>
        <v>0</v>
      </c>
      <c r="AJ70" s="153">
        <f t="array" ref="AJ70">IF($B$50="",SUMIFS($AT$7:$AT$48,$C$7:E53,"CP-6",$B$7:$B$48,"no"),MAX(IF($C$7:$C$48="CP-6",IF($B$7:$B$48="no",$AT$7:$AT$48))))</f>
        <v>0</v>
      </c>
      <c r="AK70" s="153">
        <f t="array" ref="AK70">IF($B$50="",SUMIFS($AT$7:$AT$48,$C$7:M53,"CP-6",$B$7:$B$48,"yes"),MAX(IF($C$7:$C$48="CP-6",IF($B$7:$B$48="yes",$AT$7:$AT$48))))</f>
        <v>0</v>
      </c>
      <c r="AL70" s="153">
        <f t="array" ref="AL70">IF($B$50="",SUMIFS($AX$7:$AX$48,$C$7:E53,"CP-6",$B$7:$B$48,"no"),MAX(IF($C$7:$C$48="CP-6",IF($B$7:$B$48="no",$AX$7:$AX$48))))</f>
        <v>0</v>
      </c>
      <c r="AM70" s="153">
        <f t="array" ref="AM70">IF($B$50="",SUMIFS($AX$7:$AX$48,$C$7:O53,"CP-6",$B$7:$B$48,"yes"),MAX(IF($C$7:$C$48="CP-6",IF($B$7:$B$48="yes",$AX$7:$AX$48))))</f>
        <v>0</v>
      </c>
      <c r="AN70" s="153">
        <f t="array" ref="AN70">IF($B$50="",SUMIFS($BB$7:$BB$48,$C$7:E53,"CP-6",$B$7:$B$48,"no"),MAX(IF($C$7:$C$48="CP-6",IF($B$7:$B$48="no",$BB$7:$BB$48))))</f>
        <v>0</v>
      </c>
      <c r="AO70" s="153">
        <f t="array" ref="AO70">IF($B$50="",SUMIFS($BB$7:$BB$48,$C$7:Q53,"CP-6",$B$7:$B$48,"yes"),MAX(IF($C$7:$C$48="CP-6",IF($B$7:$B$48="yes",$BB$7:$BB$48))))</f>
        <v>0</v>
      </c>
    </row>
    <row r="71" spans="25:41" ht="11.25" hidden="1" customHeight="1" x14ac:dyDescent="0.25">
      <c r="Y71" s="155" t="s">
        <v>231</v>
      </c>
      <c r="Z71" s="153">
        <f t="array" ref="Z71">IF(B56="",SUMIFS($Z$7:$Z$48,$C$7:C54,"CP-7",$B$7:$B$48,"no"),MAX(IF($C$7:$C$48="CP-7",IF($B$7:$B$48="no",$Z$7:$Z$48))))</f>
        <v>0</v>
      </c>
      <c r="AA71" s="153">
        <f t="array" ref="AA71">IF(B56="",SUMIFS($Z$7:$Z$48,$C$7:D54,"CP-7",$B$7:$B$48,"yes"),MAX(IF($C$7:$C$48="CP-7",IF($B$7:$B$48="yes",$Z$7:$Z$48))))</f>
        <v>0</v>
      </c>
      <c r="AB71" s="153">
        <f t="array" ref="AB71">IF($B$50="",SUMIFS($AD$7:$AD$48,$C$7:E54,"CP-7",$B$7:$B$48,"no"),MAX(IF($C$7:$C$48="CP-7",IF($B$7:$B$48="no",$AD$7:$AD$48))))</f>
        <v>0</v>
      </c>
      <c r="AC71" s="153">
        <f t="array" ref="AC71">IF($B$50="",SUMIFS($AD$7:$AD$48,$C$7:E54,"CP-7",$B$7:$B$48,"yes"),MAX(IF($C$7:$C$48="CP-7",IF($B$7:$B$48="yes",$AD$7:$AD$48))))</f>
        <v>0</v>
      </c>
      <c r="AD71" s="153">
        <f t="array" ref="AD71">IF($B$50="",SUMIFS($AH$7:$AH$48,$C$7:E54,"CP-7",$B$7:$B$48,"no"),MAX(IF($C$7:$C$48="CP-7",IF($B$7:$B$48="no",$AH$7:$AH$48))))</f>
        <v>0</v>
      </c>
      <c r="AE71" s="153">
        <f t="array" ref="AE71">IF($B$50="",SUMIFS($AH$7:$AH$48,$C$7:G54,"CP-7",$B$7:$B$48,"yes"),MAX(IF($C$7:$C$48="CP-7",IF($B$7:$B$48="yes",$AH$7:$AH$48))))</f>
        <v>0</v>
      </c>
      <c r="AF71" s="153">
        <f t="array" ref="AF71">IF($B$50="",SUMIFS($AL$7:$AL$48,$C$7:E54,"CP-7",$B$7:$B$48,"no"),MAX(IF($C$7:$C$48="CP-7",IF($B$7:$B$48="no",$AL$7:$AL$48))))</f>
        <v>0</v>
      </c>
      <c r="AG71" s="153">
        <f t="array" ref="AG71">IF($B$50="",SUMIFS($AL$7:$AL$48,$C$7:I54,"CP-7",$B$7:$B$48,"yes"),MAX(IF($C$7:$C$48="CP-7",IF($B$7:$B$48="yes",$AL$7:$AL$48))))</f>
        <v>0</v>
      </c>
      <c r="AH71" s="153">
        <f t="array" ref="AH71">IF($B$50="",SUMIFS($AP$7:$AP$48,$C$7:E54,"CP-7",$B$7:$B$48,"no"),MAX(IF($C$7:$C$48="CP-7",IF($B$7:$B$48="no",$AP$7:$AP$48))))</f>
        <v>0</v>
      </c>
      <c r="AI71" s="153">
        <f t="array" ref="AI71">IF($B$50="",SUMIFS($AP$7:$AP$48,$C$7:K54,"CP-7",$B$7:$B$48,"yes"),MAX(IF($C$7:$C$48="CP-7",IF($B$7:$B$48="yes",$AP$7:$AP$48))))</f>
        <v>0</v>
      </c>
      <c r="AJ71" s="153">
        <f t="array" ref="AJ71">IF($B$50="",SUMIFS($AT$7:$AT$48,$C$7:E54,"CP-7",$B$7:$B$48,"no"),MAX(IF($C$7:$C$48="CP-7",IF($B$7:$B$48="no",$AT$7:$AT$48))))</f>
        <v>0</v>
      </c>
      <c r="AK71" s="153">
        <f t="array" ref="AK71">IF($B$50="",SUMIFS($AT$7:$AT$48,$C$7:M54,"CP-7",$B$7:$B$48,"yes"),MAX(IF($C$7:$C$48="CP-7",IF($B$7:$B$48="yes",$AT$7:$AT$48))))</f>
        <v>0</v>
      </c>
      <c r="AL71" s="153">
        <f t="array" ref="AL71">IF($B$50="",SUMIFS($AX$7:$AX$48,$C$7:E54,"CP-7",$B$7:$B$48,"no"),MAX(IF($C$7:$C$48="CP-7",IF($B$7:$B$48="no",$AX$7:$AX$48))))</f>
        <v>0</v>
      </c>
      <c r="AM71" s="153">
        <f t="array" ref="AM71">IF($B$50="",SUMIFS($AX$7:$AX$48,$C$7:O54,"CP-7",$B$7:$B$48,"yes"),MAX(IF($C$7:$C$48="CP-7",IF($B$7:$B$48="yes",$AX$7:$AX$48))))</f>
        <v>0</v>
      </c>
      <c r="AN71" s="153">
        <f t="array" ref="AN71">IF($B$50="",SUMIFS($BB$7:$BB$48,$C$7:E54,"CP-7",$B$7:$B$48,"no"),MAX(IF($C$7:$C$48="CP-7",IF($B$7:$B$48="no",$BB$7:$BB$48))))</f>
        <v>0</v>
      </c>
      <c r="AO71" s="153">
        <f t="array" ref="AO71">IF($B$50="",SUMIFS($BB$7:$BB$48,$C$7:Q54,"CP-7",$B$7:$B$48,"yes"),MAX(IF($C$7:$C$48="CP-7",IF($B$7:$B$48="yes",$BB$7:$BB$48))))</f>
        <v>0</v>
      </c>
    </row>
    <row r="72" spans="25:41" ht="12.75" hidden="1" customHeight="1" x14ac:dyDescent="0.25">
      <c r="Y72" s="155" t="s">
        <v>232</v>
      </c>
      <c r="Z72" s="153">
        <f t="array" ref="Z72">IF(B57="",SUMIFS($Z$7:$Z$48,$C$7:C55,"CP-8",$B$7:$B$48,"no"),MAX(IF($C$7:$C$48="CP-8",IF($B$7:$B$48="no",$Z$7:$Z$48))))</f>
        <v>0</v>
      </c>
      <c r="AA72" s="153">
        <f t="array" ref="AA72">IF(B57="",SUMIFS($Z$7:$Z$48,$C$7:D55,"CP-8",$B$7:$B$48,"yes"),MAX(IF($C$7:$C$48="CP-8",IF($B$7:$B$48="yes",$Z$7:$Z$48))))</f>
        <v>0</v>
      </c>
      <c r="AB72" s="153">
        <f t="array" ref="AB72">IF($B$50="",SUMIFS($AD$7:$AD$48,$C$7:E55,"CP-8",$B$7:$B$48,"no"),MAX(IF($C$7:$C$48="CP-8",IF($B$7:$B$48="no",$AD$7:$AD$48))))</f>
        <v>0</v>
      </c>
      <c r="AC72" s="153">
        <f t="array" ref="AC72">IF($B$50="",SUMIFS($AD$7:$AD$48,$C$7:E55,"CP-8",$B$7:$B$48,"yes"),MAX(IF($C$7:$C$48="CP-8",IF($B$7:$B$48="yes",$AD$7:$AD$48))))</f>
        <v>0</v>
      </c>
      <c r="AD72" s="153">
        <f t="array" ref="AD72">IF($B$50="",SUMIFS($AH$7:$AH$48,$C$7:E55,"CP-8",$B$7:$B$48,"no"),MAX(IF($C$7:$C$48="CP-8",IF($B$7:$B$48="no",$AH$7:$AH$48))))</f>
        <v>0</v>
      </c>
      <c r="AE72" s="153">
        <f t="array" ref="AE72">IF($B$50="",SUMIFS($AH$7:$AH$48,$C$7:G55,"CP-8",$B$7:$B$48,"yes"),MAX(IF($C$7:$C$48="CP-8",IF($B$7:$B$48="yes",$AH$7:$AH$48))))</f>
        <v>0</v>
      </c>
      <c r="AF72" s="153">
        <f t="array" ref="AF72">IF($B$50="",SUMIFS($AL$7:$AL$48,$C$7:E55,"CP-8",$B$7:$B$48,"no"),MAX(IF($C$7:$C$48="CP-8",IF($B$7:$B$48="no",$AL$7:$AL$48))))</f>
        <v>0</v>
      </c>
      <c r="AG72" s="153">
        <f t="array" ref="AG72">IF($B$50="",SUMIFS($AL$7:$AL$48,$C$7:I55,"CP-8",$B$7:$B$48,"yes"),MAX(IF($C$7:$C$48="CP-8",IF($B$7:$B$48="yes",$AL$7:$AL$48))))</f>
        <v>0</v>
      </c>
      <c r="AH72" s="153">
        <f t="array" ref="AH72">IF($B$50="",SUMIFS($AP$7:$AP$48,$C$7:E55,"CP-8",$B$7:$B$48,"no"),MAX(IF($C$7:$C$48="CP-8",IF($B$7:$B$48="no",$AP$7:$AP$48))))</f>
        <v>0</v>
      </c>
      <c r="AI72" s="153">
        <f t="array" ref="AI72">IF($B$50="",SUMIFS($AP$7:$AP$48,$C$7:K55,"CP-8",$B$7:$B$48,"yes"),MAX(IF($C$7:$C$48="CP-8",IF($B$7:$B$48="yes",$AP$7:$AP$48))))</f>
        <v>0</v>
      </c>
      <c r="AJ72" s="153">
        <f t="array" ref="AJ72">IF($B$50="",SUMIFS($AT$7:$AT$48,$C$7:E55,"CP-8",$B$7:$B$48,"no"),MAX(IF($C$7:$C$48="CP-8",IF($B$7:$B$48="no",$AT$7:$AT$48))))</f>
        <v>0</v>
      </c>
      <c r="AK72" s="153">
        <f t="array" ref="AK72">IF($B$50="",SUMIFS($AT$7:$AT$48,$C$7:M55,"CP-8",$B$7:$B$48,"yes"),MAX(IF($C$7:$C$48="CP-8",IF($B$7:$B$48="yes",$AT$7:$AT$48))))</f>
        <v>0</v>
      </c>
      <c r="AL72" s="153">
        <f t="array" ref="AL72">IF($B$50="",SUMIFS($AX$7:$AX$48,$C$7:E55,"CP-8",$B$7:$B$48,"no"),MAX(IF($C$7:$C$48="CP-8",IF($B$7:$B$48="no",$AX$7:$AX$48))))</f>
        <v>0</v>
      </c>
      <c r="AM72" s="153">
        <f t="array" ref="AM72">IF($B$50="",SUMIFS($AX$7:$AX$48,$C$7:O55,"CP-8",$B$7:$B$48,"yes"),MAX(IF($C$7:$C$48="CP-8",IF($B$7:$B$48="yes",$AX$7:$AX$48))))</f>
        <v>0</v>
      </c>
      <c r="AN72" s="153">
        <f t="array" ref="AN72">IF($B$50="",SUMIFS($BB$7:$BB$48,$C$7:E55,"CP-8",$B$7:$B$48,"no"),MAX(IF($C$7:$C$48="CP-8",IF($B$7:$B$48="no",$BB$7:$BB$48))))</f>
        <v>0</v>
      </c>
      <c r="AO72" s="153">
        <f t="array" ref="AO72">IF($B$50="",SUMIFS($BB$7:$BB$48,$C$7:Q55,"CP-8",$B$7:$B$48,"yes"),MAX(IF($C$7:$C$48="CP-8",IF($B$7:$B$48="yes",$BB$7:$BB$48))))</f>
        <v>0</v>
      </c>
    </row>
    <row r="73" spans="25:41" ht="36.75" hidden="1" customHeight="1" x14ac:dyDescent="0.25">
      <c r="Y73" s="155" t="s">
        <v>233</v>
      </c>
      <c r="Z73" s="153">
        <f t="array" ref="Z73">IF(B58="",SUMIFS($Z$7:$Z$48,$C$7:C56,"CP-9",$B$7:$B$48,"no"),MAX(IF($C$7:$C$48="CP-9",IF($B$7:$B$48="no",$Z$7:$Z$48))))</f>
        <v>0</v>
      </c>
      <c r="AA73" s="153">
        <f t="array" ref="AA73">IF(B58="",SUMIFS($Z$7:$Z$48,$C$7:D56,"CP-9",$B$7:$B$48,"yes"),MAX(IF($C$7:$C$48="CP-9",IF($B$7:$B$48="yes",$Z$7:$Z$48))))</f>
        <v>0</v>
      </c>
      <c r="AB73" s="153">
        <f t="array" ref="AB73">IF($B$50="",SUMIFS($AD$7:$AD$48,$C$7:E56,"CP-9",$B$7:$B$48,"no"),MAX(IF($C$7:$C$48="CP-9",IF($B$7:$B$48="no",$AD$7:$AD$48))))</f>
        <v>0</v>
      </c>
      <c r="AC73" s="153">
        <f t="array" ref="AC73">IF($B$50="",SUMIFS($AD$7:$AD$48,$C$7:E56,"CP-9",$B$7:$B$48,"yes"),MAX(IF($C$7:$C$48="CP-9",IF($B$7:$B$48="yes",$AD$7:$AD$48))))</f>
        <v>0</v>
      </c>
      <c r="AD73" s="153">
        <f t="array" ref="AD73">IF($B$50="",SUMIFS($AH$7:$AH$48,$C$7:E56,"CP-9",$B$7:$B$48,"no"),MAX(IF($C$7:$C$48="CP-9",IF($B$7:$B$48="no",$AH$7:$AH$48))))</f>
        <v>0</v>
      </c>
      <c r="AE73" s="153">
        <f t="array" ref="AE73">IF($B$50="",SUMIFS($AH$7:$AH$48,$C$7:G56,"CP-9",$B$7:$B$48,"yes"),MAX(IF($C$7:$C$48="CP-9",IF($B$7:$B$48="yes",$AH$7:$AH$48))))</f>
        <v>0</v>
      </c>
      <c r="AF73" s="153">
        <f t="array" ref="AF73">IF($B$50="",SUMIFS($AL$7:$AL$48,$C$7:E56,"CP-9",$B$7:$B$48,"no"),MAX(IF($C$7:$C$48="CP-9",IF($B$7:$B$48="no",$AL$7:$AL$48))))</f>
        <v>0</v>
      </c>
      <c r="AG73" s="153">
        <f t="array" ref="AG73">IF($B$50="",SUMIFS($AL$7:$AL$48,$C$7:I56,"CP-9",$B$7:$B$48,"yes"),MAX(IF($C$7:$C$48="CP-9",IF($B$7:$B$48="yes",$AL$7:$AL$48))))</f>
        <v>0</v>
      </c>
      <c r="AH73" s="153">
        <f t="array" ref="AH73">IF($B$50="",SUMIFS($AP$7:$AP$48,$C$7:E56,"CP-9",$B$7:$B$48,"no"),MAX(IF($C$7:$C$48="CP-9",IF($B$7:$B$48="no",$AP$7:$AP$48))))</f>
        <v>0</v>
      </c>
      <c r="AI73" s="153">
        <f t="array" ref="AI73">IF($B$50="",SUMIFS($AP$7:$AP$48,$C$7:K56,"CP-9",$B$7:$B$48,"yes"),MAX(IF($C$7:$C$48="CP-9",IF($B$7:$B$48="yes",$AP$7:$AP$48))))</f>
        <v>0</v>
      </c>
      <c r="AJ73" s="153">
        <f t="array" ref="AJ73">IF($B$50="",SUMIFS($AT$7:$AT$48,$C$7:E56,"CP-9",$B$7:$B$48,"no"),MAX(IF($C$7:$C$48="CP-9",IF($B$7:$B$48="no",$AT$7:$AT$48))))</f>
        <v>0</v>
      </c>
      <c r="AK73" s="153">
        <f t="array" ref="AK73">IF($B$50="",SUMIFS($AT$7:$AT$48,$C$7:M56,"CP-9",$B$7:$B$48,"yes"),MAX(IF($C$7:$C$48="CP-9",IF($B$7:$B$48="yes",$AT$7:$AT$48))))</f>
        <v>0</v>
      </c>
      <c r="AL73" s="153">
        <f t="array" ref="AL73">IF($B$50="",SUMIFS($AX$7:$AX$48,$C$7:E56,"CP-9",$B$7:$B$48,"no"),MAX(IF($C$7:$C$48="CP-9",IF($B$7:$B$48="no",$AX$7:$AX$48))))</f>
        <v>0</v>
      </c>
      <c r="AM73" s="153">
        <f t="array" ref="AM73">IF($B$50="",SUMIFS($AX$7:$AX$48,$C$7:O56,"CP-9",$B$7:$B$48,"yes"),MAX(IF($C$7:$C$48="CP-9",IF($B$7:$B$48="yes",$AX$7:$AX$48))))</f>
        <v>0</v>
      </c>
      <c r="AN73" s="153">
        <f t="array" ref="AN73">IF($B$50="",SUMIFS($BB$7:$BB$48,$C$7:E56,"CP-9",$B$7:$B$48,"no"),MAX(IF($C$7:$C$48="CP-9",IF($B$7:$B$48="no",$BB$7:$BB$48))))</f>
        <v>0</v>
      </c>
      <c r="AO73" s="153">
        <f t="array" ref="AO73">IF($B$50="",SUMIFS($BB$7:$BB$48,$C$7:Q56,"CP-9",$B$7:$B$48,"yes"),MAX(IF($C$7:$C$48="CP-9",IF($B$7:$B$48="yes",$BB$7:$BB$48))))</f>
        <v>0</v>
      </c>
    </row>
    <row r="74" spans="25:41" ht="18.75" hidden="1" customHeight="1" x14ac:dyDescent="0.25">
      <c r="Y74" s="155" t="s">
        <v>234</v>
      </c>
      <c r="Z74" s="153">
        <f t="array" ref="Z74">IF(B59="",SUMIFS($Z$7:$Z$48,$C$7:C57,"CP-10",$B$7:$B$48,"no"),MAX(IF($C$7:$C$48="CP-10",IF($B$7:$B$48="no",$Z$7:$Z$48))))</f>
        <v>0</v>
      </c>
      <c r="AA74" s="153">
        <f t="array" ref="AA74">IF(B59="",SUMIFS($Z$7:$Z$48,$C$7:D57,"CP-10",$B$7:$B$48,"yes"),MAX(IF($C$7:$C$48="CP-10",IF($B$7:$B$48="yes",$Z$7:$Z$48))))</f>
        <v>0</v>
      </c>
      <c r="AB74" s="153">
        <f t="array" ref="AB74">IF($B$50="",SUMIFS($AD$7:$AD$48,$C$7:E57,"CP-10",$B$7:$B$48,"no"),MAX(IF($C$7:$C$48="CP-10",IF($B$7:$B$48="no",$AD$7:$AD$48))))</f>
        <v>0</v>
      </c>
      <c r="AC74" s="153">
        <f t="array" ref="AC74">IF($B$50="",SUMIFS($AD$7:$AD$48,$C$7:E57,"CP-10",$B$7:$B$48,"yes"),MAX(IF($C$7:$C$48="CP-10",IF($B$7:$B$48="yes",$AD$7:$AD$48))))</f>
        <v>0</v>
      </c>
      <c r="AD74" s="153">
        <f t="array" ref="AD74">IF($B$50="",SUMIFS($AH$7:$AH$48,$C$7:E57,"CP-10",$B$7:$B$48,"no"),MAX(IF($C$7:$C$48="CP-10",IF($B$7:$B$48="no",$AH$7:$AH$48))))</f>
        <v>0</v>
      </c>
      <c r="AE74" s="153">
        <f t="array" ref="AE74">IF($B$50="",SUMIFS($AH$7:$AH$48,$C$7:G57,"CP-10",$B$7:$B$48,"yes"),MAX(IF($C$7:$C$48="CP-10",IF($B$7:$B$48="yes",$AH$7:$AH$48))))</f>
        <v>0</v>
      </c>
      <c r="AF74" s="153">
        <f t="array" ref="AF74">IF($B$50="",SUMIFS($AL$7:$AL$48,$C$7:E57,"CP-10",$B$7:$B$48,"no"),MAX(IF($C$7:$C$48="CP-10",IF($B$7:$B$48="no",$AL$7:$AL$48))))</f>
        <v>0</v>
      </c>
      <c r="AG74" s="153">
        <f t="array" ref="AG74">IF($B$50="",SUMIFS($AL$7:$AL$48,$C$7:I57,"CP-10",$B$7:$B$48,"yes"),MAX(IF($C$7:$C$48="CP-10",IF($B$7:$B$48="yes",$AL$7:$AL$48))))</f>
        <v>0</v>
      </c>
      <c r="AH74" s="153">
        <f t="array" ref="AH74">IF($B$50="",SUMIFS($AP$7:$AP$48,$C$7:E57,"CP-10",$B$7:$B$48,"no"),MAX(IF($C$7:$C$48="CP-10",IF($B$7:$B$48="no",$AP$7:$AP$48))))</f>
        <v>0</v>
      </c>
      <c r="AI74" s="153">
        <f t="array" ref="AI74">IF($B$50="",SUMIFS($AP$7:$AP$48,$C$7:K57,"CP-10",$B$7:$B$48,"yes"),MAX(IF($C$7:$C$48="CP-10",IF($B$7:$B$48="yes",$AP$7:$AP$48))))</f>
        <v>0</v>
      </c>
      <c r="AJ74" s="153">
        <f t="array" ref="AJ74">IF($B$50="",SUMIFS($AT$7:$AT$48,$C$7:E57,"CP-10",$B$7:$B$48,"no"),MAX(IF($C$7:$C$48="CP-10",IF($B$7:$B$48="no",$AT$7:$AT$48))))</f>
        <v>0</v>
      </c>
      <c r="AK74" s="153">
        <f t="array" ref="AK74">IF($B$50="",SUMIFS($AT$7:$AT$48,$C$7:M57,"CP-10",$B$7:$B$48,"yes"),MAX(IF($C$7:$C$48="CP-10",IF($B$7:$B$48="yes",$AT$7:$AT$48))))</f>
        <v>0</v>
      </c>
      <c r="AL74" s="153">
        <f t="array" ref="AL74">IF($B$50="",SUMIFS($AX$7:$AX$48,$C$7:E57,"CP-10",$B$7:$B$48,"no"),MAX(IF($C$7:$C$48="CP-10",IF($B$7:$B$48="no",$AX$7:$AX$48))))</f>
        <v>0</v>
      </c>
      <c r="AM74" s="153">
        <f t="array" ref="AM74">IF($B$50="",SUMIFS($AX$7:$AX$48,$C$7:O57,"CP-10",$B$7:$B$48,"yes"),MAX(IF($C$7:$C$48="CP-10",IF($B$7:$B$48="yes",$AX$7:$AX$48))))</f>
        <v>0</v>
      </c>
      <c r="AN74" s="153">
        <f t="array" ref="AN74">IF($B$50="",SUMIFS($BB$7:$BB$48,$C$7:E57,"CP-10",$B$7:$B$48,"no"),MAX(IF($C$7:$C$48="CP-10",IF($B$7:$B$48="no",$BB$7:$BB$48))))</f>
        <v>0</v>
      </c>
      <c r="AO74" s="153">
        <f t="array" ref="AO74">IF($B$50="",SUMIFS($BB$7:$BB$48,$C$7:Q57,"CP-10",$B$7:$B$48,"yes"),MAX(IF($C$7:$C$48="CP-10",IF($B$7:$B$48="yes",$BB$7:$BB$48))))</f>
        <v>0</v>
      </c>
    </row>
    <row r="75" spans="25:41" ht="20.25" hidden="1" customHeight="1" x14ac:dyDescent="0.25"/>
    <row r="76" spans="25:41" ht="30" hidden="1" customHeight="1" x14ac:dyDescent="0.25">
      <c r="Z76" s="6">
        <f>SUM(IF($B$50&gt;0,IF(Z65&gt;AA65,Z65,0),SUM(Z65,AA65)),IF($B$51&gt;0,IF(Z66&gt;AA66,Z66,0),SUM(Z66,AA66)),IF($B$52&gt;0,IF(Z67&gt;AA67,Z67,0),SUM(Z67,AA67)),IF($B$53&gt;0,IF(Z68&gt;AA68,Z68,0),SUM(Z68,AA68)),IF($B$53&gt;0,IF(Z69&gt;AA69,Z69,0),SUM(Z69,AA69)),IF($B$54&gt;0,IF(Z70&gt;AA70,Z70,0),SUM(Z70,AA70)),IF($B$55&gt;0,IF(Z71&gt;AA71,Z71,0),SUM(Z71,AA71)),IF($B$56&gt;0,IF(Z72&gt;AA72,Z72,0),SUM(Z72,AA72)),IF($B$57&gt;0,IF(Z73&gt;AA73,Z73,0),SUM(Z73,AA73)),IF($B$58&gt;0,IF(Z74&gt;AA74,Z74,0),SUM(Z74,AA74)))</f>
        <v>0</v>
      </c>
      <c r="AA76" s="6">
        <f>SUM(IF($B$50&gt;0,IF(Z65&lt;AA65,AA65,0),SUM(Z65,AA65)),IF($B$51&gt;0,IF(Z66&lt;AA66,AA66,0),SUM(Z66,AA66)),IF($B$52&gt;0,IF(Z67&lt;AA67,AA67,0),SUM(Z67,AA67)),IF($B$53&gt;0,IF(Z68&lt;AA68,AA68,0),SUM(Z68,AA68)),IF($B$53&gt;0,IF(Z69&lt;AA69,AA69,0),SUM(Z69,AA69)),IF($B$54&gt;0,IF(Z70&lt;AA70,AA70,0),SUM(Z70,AA70)),IF($B$55&gt;0,IF(Z71&lt;AA71,AA71,0),SUM(Z71,AA71)),IF($B$56&gt;0,IF(Z72&lt;AA72,AA72,0),SUM(Z72,AA72)),IF($B$57&gt;0,IF(Z73&lt;AA73,AA73,0),SUM(Z73,AA73)),IF($B$58&gt;0,IF(Z74&lt;AA74,AA74,0),SUM(Z74,AA74)))</f>
        <v>0</v>
      </c>
      <c r="AB76" s="6">
        <f>SUM(IF($B$50&gt;0,IF(AB65&gt;AC65,AB65,0),SUM(AB65,AC65)),IF($B$51&gt;0,IF(AB66&gt;AC66,AB66,0),SUM(AB66,AC66)),IF($B$52&gt;0,IF(AB67&gt;AC67,AB67,0),SUM(AB67,AC67)),IF($B$53&gt;0,IF(AB68&gt;AC68,AB68,0),SUM(AB68,AC68)),IF($B$53&gt;0,IF(AB69&gt;AC69,AB69,0),SUM(AB69,AC69)),IF($B$54&gt;0,IF(AB70&gt;AC70,AB70,0),SUM(AB70,AC70)),IF($B$55&gt;0,IF(AB71&gt;AC71,AB71,0),SUM(AB71,AC71)),IF($B$56&gt;0,IF(AB72&gt;AC72,AB72,0),SUM(AB72,AC72)),IF($B$57&gt;0,IF(AB73&gt;AC73,AB73,0),SUM(AB73,AC73)),IF($B$58&gt;0,IF(AB74&gt;AC74,AB74,0),SUM(AB74,AC74)))</f>
        <v>0</v>
      </c>
      <c r="AC76" s="6">
        <f>SUM(IF($B$50&gt;0,IF(AB65&lt;AC65,AC65,0),SUM(AB65,AC65)),IF($B$51&gt;0,IF(AB66&lt;AC66,AC66,0),SUM(AB66,AC66)),IF($B$52&gt;0,IF(AB67&lt;AC67,AC67,0),SUM(AB67,AC67)),IF($B$53&gt;0,IF(AB68&lt;AC68,AC68,0),SUM(AB68,AC68)),IF($B$53&gt;0,IF(AB69&lt;AC69,AC69,0),SUM(AB69,AC69)),IF($B$54&gt;0,IF(AB70&lt;AC70,AC70,0),SUM(AB70,AC70)),IF($B$55&gt;0,IF(AB71&lt;AC71,AC71,0),SUM(AB71,AC71)),IF($B$56&gt;0,IF(AB72&lt;AC72,AC72,0),SUM(AB72,AC72)),IF($B$57&gt;0,IF(AB73&lt;AC73,AC73,0),SUM(AB73,AC73)),IF($B$58&gt;0,IF(AB74&lt;AC74,AC74,0),SUM(AB74,AC74)))</f>
        <v>0</v>
      </c>
      <c r="AD76" s="6">
        <f t="shared" ref="AD76:AN76" si="54">SUM(IF($B$50&gt;0,IF(AD65&gt;AE65,AD65,0),SUM(AD65,AE65)),IF($B$51&gt;0,IF(AD66&gt;AE66,AD66,0),SUM(AD66,AE66)),IF($B$52&gt;0,IF(AD67&gt;AE67,AD67,0),SUM(AD67,AE67)),IF($B$53&gt;0,IF(AD68&gt;AE68,AD68,0),SUM(AD68,AE68)),IF($B$53&gt;0,IF(AD69&gt;AE69,AD69,0),SUM(AD69,AE69)),IF($B$54&gt;0,IF(AD70&gt;AE70,AD70,0),SUM(AD70,AE70)),IF($B$55&gt;0,IF(AD71&gt;AE71,AD71,0),SUM(AD71,AE71)),IF($B$56&gt;0,IF(AD72&gt;AE72,AD72,0),SUM(AD72,AE72)),IF($B$57&gt;0,IF(AD73&gt;AE73,AD73,0),SUM(AD73,AE73)),IF($B$58&gt;0,IF(AD74&gt;AE74,AD74,0),SUM(AD74,AE74)))</f>
        <v>0</v>
      </c>
      <c r="AE76" s="6">
        <f>SUM(IF($B$50&gt;0,IF(AD65&lt;AE65,AE65,0),SUM(AD65,AE65)),IF($B$51&gt;0,IF(AD66&lt;AE66,AE66,0),SUM(AD66,AE66)),IF($B$52&gt;0,IF(AD67&lt;AE67,AE67,0),SUM(AD67,AE67)),IF($B$53&gt;0,IF(AD68&lt;AE68,AE68,0),SUM(AD68,AE68)),IF($B$53&gt;0,IF(AD69&lt;AE69,AE69,0),SUM(AD69,AE69)),IF($B$54&gt;0,IF(AD70&lt;AE70,AE70,0),SUM(AD70,AE70)),IF($B$55&gt;0,IF(AD71&lt;AE71,AE71,0),SUM(AD71,AE71)),IF($B$56&gt;0,IF(AD72&lt;AE72,AE72,0),SUM(AD72,AE72)),IF($B$57&gt;0,IF(AD73&lt;AE73,AE73,0),SUM(AD73,AE73)),IF($B$58&gt;0,IF(AD74&lt;AE74,AE74,0),SUM(AD74,AE74)))</f>
        <v>0</v>
      </c>
      <c r="AF76" s="6">
        <f t="shared" si="54"/>
        <v>0</v>
      </c>
      <c r="AG76" s="6">
        <f>SUM(IF($B$50&gt;0,IF(AF65&lt;AG65,AG65,0),SUM(AF65,AG65)),IF($B$51&gt;0,IF(AF66&lt;AG66,AG66,0),SUM(AF66,AG66)),IF($B$52&gt;0,IF(AF67&lt;AG67,AG67,0),SUM(AF67,AG67)),IF($B$53&gt;0,IF(AF68&lt;AG68,AG68,0),SUM(AF68,AG68)),IF($B$53&gt;0,IF(AF69&lt;AG69,AG69,0),SUM(AF69,AG69)),IF($B$54&gt;0,IF(AF70&lt;AG70,AG70,0),SUM(AF70,AG70)),IF($B$55&gt;0,IF(AF71&lt;AG71,AG71,0),SUM(AF71,AG71)),IF($B$56&gt;0,IF(AF72&lt;AG72,AG72,0),SUM(AF72,AG72)),IF($B$57&gt;0,IF(AF73&lt;AG73,AG73,0),SUM(AF73,AG73)),IF($B$58&gt;0,IF(AF74&lt;AG74,AG74,0),SUM(AF74,AG74)))</f>
        <v>0</v>
      </c>
      <c r="AH76" s="6">
        <f t="shared" si="54"/>
        <v>0</v>
      </c>
      <c r="AI76" s="6">
        <f>SUM(IF($B$50&gt;0,IF(AH65&lt;AI65,AI65,0),SUM(AH65,AI65)),IF($B$51&gt;0,IF(AH66&lt;AI66,AI66,0),SUM(AH66,AI66)),IF($B$52&gt;0,IF(AH67&lt;AI67,AI67,0),SUM(AH67,AI67)),IF($B$53&gt;0,IF(AH68&lt;AI68,AI68,0),SUM(AH68,AI68)),IF($B$53&gt;0,IF(AH69&lt;AI69,AI69,0),SUM(AH69,AI69)),IF($B$54&gt;0,IF(AH70&lt;AI70,AI70,0),SUM(AH70,AI70)),IF($B$55&gt;0,IF(AH71&lt;AI71,AI71,0),SUM(AH71,AI71)),IF($B$56&gt;0,IF(AH72&lt;AI72,AI72,0),SUM(AH72,AI72)),IF($B$57&gt;0,IF(AH73&lt;AI73,AI73,0),SUM(AH73,AI73)),IF($B$58&gt;0,IF(AH74&lt;AI74,AI74,0),SUM(AH74,AI74)))</f>
        <v>0</v>
      </c>
      <c r="AJ76" s="6">
        <f t="shared" si="54"/>
        <v>0</v>
      </c>
      <c r="AK76" s="6">
        <f>SUM(IF($B$50&gt;0,IF(AJ65&lt;AK65,AK65,0),SUM(AJ65,AK65)),IF($B$51&gt;0,IF(AJ66&lt;AK66,AK66,0),SUM(AJ66,AK66)),IF($B$52&gt;0,IF(AJ67&lt;AK67,AK67,0),SUM(AJ67,AK67)),IF($B$53&gt;0,IF(AJ68&lt;AK68,AK68,0),SUM(AJ68,AK68)),IF($B$53&gt;0,IF(AJ69&lt;AK69,AK69,0),SUM(AJ69,AK69)),IF($B$54&gt;0,IF(AJ70&lt;AK70,AK70,0),SUM(AJ70,AK70)),IF($B$55&gt;0,IF(AJ71&lt;AK71,AK71,0),SUM(AJ71,AK71)),IF($B$56&gt;0,IF(AJ72&lt;AK72,AK72,0),SUM(AJ72,AK72)),IF($B$57&gt;0,IF(AJ73&lt;AK73,AK73,0),SUM(AJ73,AK73)),IF($B$58&gt;0,IF(AJ74&lt;AK74,AK74,0),SUM(AJ74,AK74)))</f>
        <v>0</v>
      </c>
      <c r="AL76" s="6">
        <f t="shared" si="54"/>
        <v>0</v>
      </c>
      <c r="AM76" s="6">
        <f>SUM(IF($B$50&gt;0,IF(AL65&lt;AM65,AM65,0),SUM(AL65,AM65)),IF($B$51&gt;0,IF(AL66&lt;AM66,AM66,0),SUM(AL66,AM66)),IF($B$52&gt;0,IF(AL67&lt;AM67,AM67,0),SUM(AL67,AM67)),IF($B$53&gt;0,IF(AL68&lt;AM68,AM68,0),SUM(AL68,AM68)),IF($B$53&gt;0,IF(AL69&lt;AM69,AM69,0),SUM(AL69,AM69)),IF($B$54&gt;0,IF(AL70&lt;AM70,AM70,0),SUM(AL70,AM70)),IF($B$55&gt;0,IF(AL71&lt;AM71,AM71,0),SUM(AL71,AM71)),IF($B$56&gt;0,IF(AL72&lt;AM72,AM72,0),SUM(AL72,AM72)),IF($B$57&gt;0,IF(AL73&lt;AM73,AM73,0),SUM(AL73,AM73)),IF($B$58&gt;0,IF(AL74&lt;AM74,AM74,0),SUM(AL74,AM74)))</f>
        <v>0</v>
      </c>
      <c r="AN76" s="6">
        <f t="shared" si="54"/>
        <v>0</v>
      </c>
      <c r="AO76" s="6">
        <f>SUM(IF($B$50&gt;0,IF(AN65&lt;AO65,AO65,0),SUM(AN65,AO65)),IF($B$51&gt;0,IF(AN66&lt;AO66,AO66,0),SUM(AN66,AO66)),IF($B$52&gt;0,IF(AN67&lt;AO67,AO67,0),SUM(AN67,AO67)),IF($B$53&gt;0,IF(AN68&lt;AO68,AO68,0),SUM(AN68,AO68)),IF($B$53&gt;0,IF(AN69&lt;AO69,AO69,0),SUM(AN69,AO69)),IF($B$54&gt;0,IF(AN70&lt;AO70,AO70,0),SUM(AN70,AO70)),IF($B$55&gt;0,IF(AN71&lt;AO71,AO71,0),SUM(AN71,AO71)),IF($B$56&gt;0,IF(AN72&lt;AO72,AO72,0),SUM(AN72,AO72)),IF($B$57&gt;0,IF(AN73&lt;AO73,AO73,0),SUM(AN73,AO73)),IF($B$58&gt;0,IF(AN74&lt;AO74,AO74,0),SUM(AN74,AO74)))</f>
        <v>0</v>
      </c>
    </row>
  </sheetData>
  <sheetProtection algorithmName="SHA-512" hashValue="TpEWd5UDLtWuJ3CsZeds7Y6ehqcjuZ9Um9u61drOcGaYdH+y+RSvqz7KtmBRCRTgANsReqqove2Fy6necbhpCw==" saltValue="09RSm9zLEIUIVS/k4C+G5g==" spinCount="100000" sheet="1" objects="1" scenarios="1"/>
  <dataValidations count="3">
    <dataValidation type="list" allowBlank="1" showInputMessage="1" showErrorMessage="1" sqref="F7:F48" xr:uid="{00000000-0002-0000-0C00-000000000000}">
      <formula1>$U$6:$U$7</formula1>
    </dataValidation>
    <dataValidation type="list" allowBlank="1" showInputMessage="1" showErrorMessage="1" sqref="N7:N48" xr:uid="{00000000-0002-0000-0C00-000001000000}">
      <formula1>stack</formula1>
    </dataValidation>
    <dataValidation type="list" allowBlank="1" showInputMessage="1" showErrorMessage="1" sqref="C7:C48" xr:uid="{00000000-0002-0000-0C00-000002000000}">
      <formula1>plantnames</formula1>
    </dataValidation>
  </dataValidations>
  <printOptions gridLines="1"/>
  <pageMargins left="0.25" right="0.25" top="0.75" bottom="0.75" header="0.3" footer="0.3"/>
  <pageSetup fitToWidth="3"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M102"/>
  <sheetViews>
    <sheetView workbookViewId="0"/>
  </sheetViews>
  <sheetFormatPr defaultColWidth="8.85546875" defaultRowHeight="15" x14ac:dyDescent="0.25"/>
  <cols>
    <col min="1" max="1" width="5" style="14" customWidth="1"/>
    <col min="2" max="2" width="35" style="14" customWidth="1"/>
    <col min="3" max="3" width="9" style="14" bestFit="1" customWidth="1"/>
    <col min="4" max="4" width="11.42578125" style="14" customWidth="1"/>
    <col min="5" max="5" width="11" style="14" bestFit="1" customWidth="1"/>
    <col min="6" max="6" width="11.140625" style="104" customWidth="1"/>
    <col min="7" max="7" width="11.85546875" style="14" customWidth="1"/>
    <col min="8" max="8" width="22.42578125" style="14" customWidth="1"/>
    <col min="9" max="9" width="15.85546875" style="14" hidden="1" customWidth="1"/>
    <col min="10" max="10" width="9.28515625" style="14" customWidth="1"/>
    <col min="11" max="11" width="16.7109375" style="14" hidden="1" customWidth="1"/>
    <col min="12" max="12" width="15.7109375" style="14" hidden="1" customWidth="1"/>
    <col min="13" max="13" width="10.140625" style="14" customWidth="1"/>
    <col min="14" max="16384" width="8.85546875" style="14"/>
  </cols>
  <sheetData>
    <row r="1" spans="1:13" ht="18.75" x14ac:dyDescent="0.3">
      <c r="A1" s="294" t="s">
        <v>159</v>
      </c>
      <c r="B1" s="294"/>
      <c r="C1" s="294"/>
      <c r="D1" s="294"/>
    </row>
    <row r="2" spans="1:13" ht="10.5" customHeight="1" x14ac:dyDescent="0.3">
      <c r="A2" s="226"/>
      <c r="B2" s="222"/>
      <c r="C2" s="222"/>
      <c r="D2" s="222"/>
      <c r="F2" s="223"/>
    </row>
    <row r="3" spans="1:13" s="193" customFormat="1" ht="15" customHeight="1" x14ac:dyDescent="0.25">
      <c r="A3" s="295" t="s">
        <v>16</v>
      </c>
      <c r="B3" s="295"/>
      <c r="C3" s="191"/>
      <c r="D3" s="138"/>
      <c r="E3" s="138"/>
      <c r="F3" s="192"/>
      <c r="G3" s="138"/>
      <c r="H3" s="138"/>
      <c r="I3" s="231" t="s">
        <v>258</v>
      </c>
      <c r="J3" s="138"/>
      <c r="K3" s="231" t="s">
        <v>259</v>
      </c>
      <c r="L3" s="231" t="s">
        <v>262</v>
      </c>
      <c r="M3" s="231" t="s">
        <v>263</v>
      </c>
    </row>
    <row r="4" spans="1:13" s="193" customFormat="1" ht="30.75" customHeight="1" x14ac:dyDescent="0.25">
      <c r="A4" s="236" t="s">
        <v>11</v>
      </c>
      <c r="B4" s="234" t="s">
        <v>12</v>
      </c>
      <c r="C4" s="236" t="s">
        <v>9</v>
      </c>
      <c r="D4" s="234" t="s">
        <v>10</v>
      </c>
      <c r="E4" s="231" t="s">
        <v>32</v>
      </c>
      <c r="F4" s="234" t="s">
        <v>13</v>
      </c>
      <c r="G4" s="231" t="s">
        <v>32</v>
      </c>
      <c r="H4" s="245" t="s">
        <v>256</v>
      </c>
      <c r="I4" s="232" t="s">
        <v>257</v>
      </c>
      <c r="J4" s="244" t="s">
        <v>15</v>
      </c>
      <c r="K4" s="232" t="s">
        <v>260</v>
      </c>
      <c r="L4" s="232" t="s">
        <v>261</v>
      </c>
      <c r="M4" s="232" t="s">
        <v>261</v>
      </c>
    </row>
    <row r="5" spans="1:13" s="193" customFormat="1" ht="14.25" customHeight="1" x14ac:dyDescent="0.25">
      <c r="A5" s="194" t="str">
        <f ca="1">IF(SUM('Concrete Plant (CP-1)'!Q21,'Concrete Plant (CP-2)'!Q21,'Concrete Plant (CP-3)'!Q21,'Concrete Plant (CP-4)'!Q21,'Concrete Plant (CP-5)'!Q21,'Concrete Plant (CP-6)'!Q21,'Concrete Plant (CP-7)'!Q21,'Concrete Plant (CP-8)'!Q21,'Concrete Plant (CP-9)'!Q21,'Concrete Plant (CP-10)'!Q21)&gt;0,"ALL","")</f>
        <v/>
      </c>
      <c r="B5" s="150" t="str">
        <f ca="1">IF(SUM('Concrete Plant (CP-1)'!Q21,'Concrete Plant (CP-2)'!Q21,'Concrete Plant (CP-3)'!Q21,'Concrete Plant (CP-4)'!Q21,'Concrete Plant (CP-5)'!Q21,'Concrete Plant (CP-6)'!Q21,'Concrete Plant (CP-7)'!Q21,'Concrete Plant (CP-8)'!Q21,'Concrete Plant (CP-9)'!Q21,'Concrete Plant (CP-10)'!Q21)&gt;0,"Aggregate Delivery to Ground Storage","")</f>
        <v/>
      </c>
      <c r="C5" s="195" t="str">
        <f ca="1">IF(B5="","","30501121")</f>
        <v/>
      </c>
      <c r="D5" s="194" t="str">
        <f ca="1">IF(SUM('Concrete Plant (CP-1)'!Q21,'Concrete Plant (CP-2)'!Q21,'Concrete Plant (CP-3)'!Q21,'Concrete Plant (CP-4)'!Q21,'Concrete Plant (CP-5)'!Q21,'Concrete Plant (CP-6)'!Q21,'Concrete Plant (CP-7)'!Q21,'Concrete Plant (CP-8)'!Q21,'Concrete Plant (CP-9)'!Q21,'Concrete Plant (CP-10)'!Q21)&gt;0,SUM('Concrete Plant (CP-1)'!Q21,'Concrete Plant (CP-2)'!Q21,'Concrete Plant (CP-3)'!Q21,'Concrete Plant (CP-4)'!Q21,'Concrete Plant (CP-5)'!Q21,'Concrete Plant (CP-6)'!Q21,'Concrete Plant (CP-7)'!Q21,'Concrete Plant (CP-8)'!Q21,'Concrete Plant (CP-9)'!Q21,'Concrete Plant (CP-10)'!Q21),"")</f>
        <v/>
      </c>
      <c r="E5" s="194" t="str">
        <f ca="1">IF(B5="","","cubic yd/hr")</f>
        <v/>
      </c>
      <c r="F5" s="196" t="str">
        <f ca="1">IF(B5="","",LOOKUP(B5,'Emission Factors'!$A$5:$A$16,'Emission Factors'!$D$5:$D$16))</f>
        <v/>
      </c>
      <c r="G5" s="197" t="str">
        <f ca="1">IF(B5="","","lb/cubic yd")</f>
        <v/>
      </c>
      <c r="H5" s="150" t="str">
        <f ca="1">IF(B5="","",LOOKUP(B5,'Emission Factors'!$A$5:$A$16,'Emission Factors'!$F$5:$F$16))</f>
        <v/>
      </c>
      <c r="I5" s="300" t="str">
        <f ca="1">IF(D5="","",SUM('Concrete Plant (CP-1)'!S21,'Concrete Plant (CP-2)'!S21,'Concrete Plant (CP-3)'!S21,'Concrete Plant (CP-4)'!S21,'Concrete Plant (CP-5)'!S21,'Concrete Plant (CP-6)'!S21,'Concrete Plant (CP-7)'!S21,'Concrete Plant (CP-8)'!S21,'Concrete Plant (CP-8)'!S21,'Concrete Plant (CP-10)'!S21))</f>
        <v/>
      </c>
      <c r="J5" s="194"/>
      <c r="K5" s="300" t="str">
        <f ca="1">IF(D5="","",IF(SUM('Concrete Plant (CP-1)'!T21,'Concrete Plant (CP-2)'!T21,'Concrete Plant (CP-3)'!T21,'Concrete Plant (CP-4)'!T21,'Concrete Plant (CP-5)'!T21,'Concrete Plant (CP-6)'!T21,'Concrete Plant (CP-7)'!T21,'Concrete Plant (CP-8)'!T21,'Concrete Plant (CP-9)'!T21,'Concrete Plant (CP-10)'!T21)&gt;0,SUM('Concrete Plant (CP-1)'!T21,'Concrete Plant (CP-2)'!T21,'Concrete Plant (CP-3)'!T21,'Concrete Plant (CP-4)'!T21,'Concrete Plant (CP-5)'!T21,'Concrete Plant (CP-6)'!T21,'Concrete Plant (CP-7)'!T21,'Concrete Plant (CP-8)'!T21,'Concrete Plant (CP-9)'!T21,'Concrete Plant (CP-10)'!T21),""))</f>
        <v/>
      </c>
      <c r="L5" s="300" t="str">
        <f ca="1">IF(B5="","",SUM('Concrete Plant (CP-1)'!U21,'Concrete Plant (CP-2)'!U21,'Concrete Plant (CP-3)'!U21,'Concrete Plant (CP-4)'!U21,'Concrete Plant (CP-5)'!U21,'Concrete Plant (CP-6)'!U21,'Concrete Plant (CP-7)'!U21,'Concrete Plant (CP-8)'!U21,'Concrete Plant (CP-9)'!U21,'Concrete Plant (CP-10)'!U21))</f>
        <v/>
      </c>
      <c r="M5" s="300" t="str">
        <f ca="1">IF(B5="","",SUM('Concrete Plant (CP-1)'!V21,'Concrete Plant (CP-2)'!V21,'Concrete Plant (CP-3)'!V21,'Concrete Plant (CP-4)'!V21,'Concrete Plant (CP-5)'!V21,'Concrete Plant (CP-6)'!V21,'Concrete Plant (CP-7)'!V21,'Concrete Plant (CP-8)'!V21,'Concrete Plant (CP-9)'!V21,'Concrete Plant (CP-10)'!V21))</f>
        <v/>
      </c>
    </row>
    <row r="6" spans="1:13" s="193" customFormat="1" ht="14.25" customHeight="1" x14ac:dyDescent="0.25">
      <c r="A6" s="194" t="str">
        <f ca="1">IF(SUM('Concrete Plant (CP-1)'!Q22,'Concrete Plant (CP-2)'!Q22,'Concrete Plant (CP-3)'!Q22,'Concrete Plant (CP-4)'!Q22,'Concrete Plant (CP-5)'!Q22,'Concrete Plant (CP-6)'!Q22,'Concrete Plant (CP-7)'!Q22,'Concrete Plant (CP-8)'!Q22,'Concrete Plant (CP-9)'!Q22,'Concrete Plant (CP-10)'!Q22)&gt;0,"ALL","")</f>
        <v/>
      </c>
      <c r="B6" s="150" t="str">
        <f ca="1">IF(SUM('Concrete Plant (CP-1)'!Q22,'Concrete Plant (CP-2)'!Q22,'Concrete Plant (CP-3)'!Q22,'Concrete Plant (CP-4)'!Q22,'Concrete Plant (CP-5)'!Q22,'Concrete Plant (CP-6)'!Q22,'Concrete Plant (CP-7)'!Q22,'Concrete Plant (CP-8)'!Q22,'Concrete Plant (CP-9)'!Q22,'Concrete Plant (CP-10)'!Q22)&gt;0,"Sand Delivery to Ground Storage","")</f>
        <v/>
      </c>
      <c r="C6" s="195" t="str">
        <f ca="1">IF(B6="","","30501122")</f>
        <v/>
      </c>
      <c r="D6" s="194" t="str">
        <f ca="1">IF(SUM('Concrete Plant (CP-1)'!Q22,'Concrete Plant (CP-2)'!Q22,'Concrete Plant (CP-3)'!Q22,'Concrete Plant (CP-4)'!Q22,'Concrete Plant (CP-5)'!Q22,'Concrete Plant (CP-6)'!Q22,'Concrete Plant (CP-7)'!Q22,'Concrete Plant (CP-8)'!Q22,'Concrete Plant (CP-9)'!Q22,'Concrete Plant (CP-10)'!Q22)&gt;0,SUM('Concrete Plant (CP-1)'!Q22,'Concrete Plant (CP-2)'!Q22,'Concrete Plant (CP-3)'!Q22,'Concrete Plant (CP-4)'!Q22,'Concrete Plant (CP-5)'!Q22,'Concrete Plant (CP-6)'!Q22,'Concrete Plant (CP-7)'!Q22,'Concrete Plant (CP-8)'!Q22,'Concrete Plant (CP-9)'!Q22,'Concrete Plant (CP-10)'!Q22),"")</f>
        <v/>
      </c>
      <c r="E6" s="194" t="str">
        <f t="shared" ref="E6:E15" ca="1" si="0">IF(B6="","","cubic yd/hr")</f>
        <v/>
      </c>
      <c r="F6" s="196" t="str">
        <f ca="1">IF(B6="","",LOOKUP(B6,'Emission Factors'!$A$5:$A$16,'Emission Factors'!$D$5:$D$16))</f>
        <v/>
      </c>
      <c r="G6" s="197" t="str">
        <f t="shared" ref="G6:G15" ca="1" si="1">IF(B6="","","lb/cubic yd")</f>
        <v/>
      </c>
      <c r="H6" s="150" t="str">
        <f ca="1">IF(B6="","",LOOKUP(B6,'Emission Factors'!$A$5:$A$16,'Emission Factors'!$F$5:$F$16))</f>
        <v/>
      </c>
      <c r="I6" s="198" t="str">
        <f ca="1">IF(D6="","",SUM('Concrete Plant (CP-1)'!S22,'Concrete Plant (CP-2)'!S22,'Concrete Plant (CP-3)'!S22,'Concrete Plant (CP-4)'!S22,'Concrete Plant (CP-5)'!S22,'Concrete Plant (CP-6)'!S22,'Concrete Plant (CP-7)'!S22,'Concrete Plant (CP-8)'!S22,'Concrete Plant (CP-8)'!S22,'Concrete Plant (CP-10)'!S22))</f>
        <v/>
      </c>
      <c r="J6" s="194"/>
      <c r="K6" s="198" t="str">
        <f ca="1">IF(D6="","",IF(SUM('Concrete Plant (CP-1)'!T22,'Concrete Plant (CP-2)'!T22,'Concrete Plant (CP-3)'!T22,'Concrete Plant (CP-4)'!T22,'Concrete Plant (CP-5)'!T22,'Concrete Plant (CP-6)'!T22,'Concrete Plant (CP-7)'!T22,'Concrete Plant (CP-8)'!T22,'Concrete Plant (CP-9)'!T22,'Concrete Plant (CP-10)'!T22)&gt;0,SUM('Concrete Plant (CP-1)'!T22,'Concrete Plant (CP-2)'!T22,'Concrete Plant (CP-3)'!T22,'Concrete Plant (CP-4)'!T22,'Concrete Plant (CP-5)'!T22,'Concrete Plant (CP-6)'!T22,'Concrete Plant (CP-7)'!T22,'Concrete Plant (CP-8)'!T22,'Concrete Plant (CP-9)'!T22,'Concrete Plant (CP-10)'!T22),""))</f>
        <v/>
      </c>
      <c r="L6" s="198" t="str">
        <f ca="1">IF(B6="","",SUM('Concrete Plant (CP-1)'!U22,'Concrete Plant (CP-2)'!U22,'Concrete Plant (CP-3)'!U22,'Concrete Plant (CP-4)'!U22,'Concrete Plant (CP-5)'!U22,'Concrete Plant (CP-6)'!U22,'Concrete Plant (CP-7)'!U22,'Concrete Plant (CP-8)'!U22,'Concrete Plant (CP-9)'!U22,'Concrete Plant (CP-10)'!U22))</f>
        <v/>
      </c>
      <c r="M6" s="198" t="str">
        <f ca="1">IF(B6="","",SUM('Concrete Plant (CP-1)'!V22,'Concrete Plant (CP-2)'!V22,'Concrete Plant (CP-3)'!V22,'Concrete Plant (CP-4)'!V22,'Concrete Plant (CP-5)'!V22,'Concrete Plant (CP-6)'!V22,'Concrete Plant (CP-7)'!V22,'Concrete Plant (CP-8)'!V22,'Concrete Plant (CP-9)'!V22,'Concrete Plant (CP-10)'!V22))</f>
        <v/>
      </c>
    </row>
    <row r="7" spans="1:13" s="193" customFormat="1" ht="14.25" customHeight="1" x14ac:dyDescent="0.25">
      <c r="A7" s="194" t="str">
        <f ca="1">IF(SUM('Concrete Plant (CP-1)'!Q23,'Concrete Plant (CP-2)'!Q23,'Concrete Plant (CP-3)'!Q23,'Concrete Plant (CP-4)'!Q23,'Concrete Plant (CP-5)'!Q23,'Concrete Plant (CP-6)'!Q23,'Concrete Plant (CP-7)'!Q23,'Concrete Plant (CP-8)'!Q23,'Concrete Plant (CP-9)'!Q23,'Concrete Plant (CP-10)'!Q23)&gt;0,"ALL","")</f>
        <v/>
      </c>
      <c r="B7" s="150" t="str">
        <f ca="1">IF(SUM('Concrete Plant (CP-1)'!Q23,'Concrete Plant (CP-2)'!Q23,'Concrete Plant (CP-3)'!Q23,'Concrete Plant (CP-4)'!Q23,'Concrete Plant (CP-5)'!Q23,'Concrete Plant (CP-6)'!Q23,'Concrete Plant (CP-7)'!Q23,'Concrete Plant (CP-8)'!Q23,'Concrete Plant (CP-9)'!Q23,'Concrete Plant (CP-10)'!Q23)&gt;0,"Aggregate Transfer to Conveyor","")</f>
        <v/>
      </c>
      <c r="C7" s="195" t="str">
        <f ca="1">IF(B7="","","30501123")</f>
        <v/>
      </c>
      <c r="D7" s="194" t="str">
        <f ca="1">IF(SUM('Concrete Plant (CP-1)'!Q23,'Concrete Plant (CP-2)'!Q23,'Concrete Plant (CP-3)'!Q23,'Concrete Plant (CP-4)'!Q23,'Concrete Plant (CP-5)'!Q23,'Concrete Plant (CP-6)'!Q23,'Concrete Plant (CP-7)'!Q23,'Concrete Plant (CP-8)'!Q23,'Concrete Plant (CP-9)'!Q23,'Concrete Plant (CP-10)'!Q23)&gt;0,SUM('Concrete Plant (CP-1)'!Q23,'Concrete Plant (CP-2)'!Q23,'Concrete Plant (CP-3)'!Q23,'Concrete Plant (CP-4)'!Q23,'Concrete Plant (CP-5)'!Q23,'Concrete Plant (CP-6)'!Q23,'Concrete Plant (CP-7)'!Q23,'Concrete Plant (CP-8)'!Q23,'Concrete Plant (CP-9)'!Q23,'Concrete Plant (CP-10)'!Q23),"")</f>
        <v/>
      </c>
      <c r="E7" s="194" t="str">
        <f t="shared" ca="1" si="0"/>
        <v/>
      </c>
      <c r="F7" s="196" t="str">
        <f ca="1">IF(B7="","",LOOKUP(B7,'Emission Factors'!$A$5:$A$16,'Emission Factors'!$D$5:$D$16))</f>
        <v/>
      </c>
      <c r="G7" s="197" t="str">
        <f t="shared" ca="1" si="1"/>
        <v/>
      </c>
      <c r="H7" s="150" t="str">
        <f ca="1">IF(B7="","",LOOKUP(B7,'Emission Factors'!$A$5:$A$16,'Emission Factors'!$F$5:$F$16))</f>
        <v/>
      </c>
      <c r="I7" s="198" t="str">
        <f ca="1">IF(D7="","",SUM('Concrete Plant (CP-1)'!S23,'Concrete Plant (CP-2)'!S23,'Concrete Plant (CP-3)'!S23,'Concrete Plant (CP-4)'!S23,'Concrete Plant (CP-5)'!S23,'Concrete Plant (CP-6)'!S23,'Concrete Plant (CP-7)'!S23,'Concrete Plant (CP-8)'!S23,'Concrete Plant (CP-8)'!S23,'Concrete Plant (CP-10)'!S23))</f>
        <v/>
      </c>
      <c r="J7" s="194"/>
      <c r="K7" s="198" t="str">
        <f ca="1">IF(D7="","",IF(SUM('Concrete Plant (CP-1)'!T23,'Concrete Plant (CP-2)'!T23,'Concrete Plant (CP-3)'!T23,'Concrete Plant (CP-4)'!T23,'Concrete Plant (CP-5)'!T23,'Concrete Plant (CP-6)'!T23,'Concrete Plant (CP-7)'!T23,'Concrete Plant (CP-8)'!T23,'Concrete Plant (CP-9)'!T23,'Concrete Plant (CP-10)'!T23)&gt;0,SUM('Concrete Plant (CP-1)'!T23,'Concrete Plant (CP-2)'!T23,'Concrete Plant (CP-3)'!T23,'Concrete Plant (CP-4)'!T23,'Concrete Plant (CP-5)'!T23,'Concrete Plant (CP-6)'!T23,'Concrete Plant (CP-7)'!T23,'Concrete Plant (CP-8)'!T23,'Concrete Plant (CP-9)'!T23,'Concrete Plant (CP-10)'!T23),""))</f>
        <v/>
      </c>
      <c r="L7" s="198" t="str">
        <f ca="1">IF(B7="","",SUM('Concrete Plant (CP-1)'!U23,'Concrete Plant (CP-2)'!U23,'Concrete Plant (CP-3)'!U23,'Concrete Plant (CP-4)'!U23,'Concrete Plant (CP-5)'!U23,'Concrete Plant (CP-6)'!U23,'Concrete Plant (CP-7)'!U23,'Concrete Plant (CP-8)'!U23,'Concrete Plant (CP-9)'!U23,'Concrete Plant (CP-10)'!U23))</f>
        <v/>
      </c>
      <c r="M7" s="198" t="str">
        <f ca="1">IF(B7="","",SUM('Concrete Plant (CP-1)'!V23,'Concrete Plant (CP-2)'!V23,'Concrete Plant (CP-3)'!V23,'Concrete Plant (CP-4)'!V23,'Concrete Plant (CP-5)'!V23,'Concrete Plant (CP-6)'!V23,'Concrete Plant (CP-7)'!V23,'Concrete Plant (CP-8)'!V23,'Concrete Plant (CP-9)'!V23,'Concrete Plant (CP-10)'!V23))</f>
        <v/>
      </c>
    </row>
    <row r="8" spans="1:13" s="193" customFormat="1" ht="14.25" customHeight="1" x14ac:dyDescent="0.25">
      <c r="A8" s="194" t="str">
        <f ca="1">IF(SUM('Concrete Plant (CP-1)'!Q24,'Concrete Plant (CP-2)'!Q24,'Concrete Plant (CP-3)'!Q24,'Concrete Plant (CP-4)'!Q24,'Concrete Plant (CP-5)'!Q24,'Concrete Plant (CP-6)'!Q24,'Concrete Plant (CP-7)'!Q24,'Concrete Plant (CP-8)'!Q24,'Concrete Plant (CP-9)'!Q24,'Concrete Plant (CP-10)'!Q24)&gt;0,"ALL","")</f>
        <v/>
      </c>
      <c r="B8" s="150" t="str">
        <f ca="1">IF(SUM('Concrete Plant (CP-1)'!Q24,'Concrete Plant (CP-2)'!Q24,'Concrete Plant (CP-3)'!Q24,'Concrete Plant (CP-4)'!Q24,'Concrete Plant (CP-5)'!Q24,'Concrete Plant (CP-6)'!Q24,'Concrete Plant (CP-7)'!Q24,'Concrete Plant (CP-8)'!Q24,'Concrete Plant (CP-9)'!Q24,'Concrete Plant (CP-10)'!Q24)&gt;0,"Sand Transfer to Conveyor","")</f>
        <v/>
      </c>
      <c r="C8" s="195" t="str">
        <f ca="1">IF(B8="","","30501124")</f>
        <v/>
      </c>
      <c r="D8" s="194" t="str">
        <f ca="1">IF(SUM('Concrete Plant (CP-1)'!Q24,'Concrete Plant (CP-2)'!Q24,'Concrete Plant (CP-3)'!Q24,'Concrete Plant (CP-4)'!Q24,'Concrete Plant (CP-5)'!Q24,'Concrete Plant (CP-6)'!Q24,'Concrete Plant (CP-7)'!Q24,'Concrete Plant (CP-8)'!Q24,'Concrete Plant (CP-9)'!Q24,'Concrete Plant (CP-10)'!Q24)&gt;0,SUM('Concrete Plant (CP-1)'!Q24,'Concrete Plant (CP-2)'!Q24,'Concrete Plant (CP-3)'!Q24,'Concrete Plant (CP-4)'!Q24,'Concrete Plant (CP-5)'!Q24,'Concrete Plant (CP-6)'!Q24,'Concrete Plant (CP-7)'!Q24,'Concrete Plant (CP-8)'!Q24,'Concrete Plant (CP-9)'!Q24,'Concrete Plant (CP-10)'!Q24),"")</f>
        <v/>
      </c>
      <c r="E8" s="194" t="str">
        <f t="shared" ca="1" si="0"/>
        <v/>
      </c>
      <c r="F8" s="196" t="str">
        <f ca="1">IF(B8="","",LOOKUP(B8,'Emission Factors'!$A$5:$A$16,'Emission Factors'!$D$5:$D$16))</f>
        <v/>
      </c>
      <c r="G8" s="197" t="str">
        <f t="shared" ca="1" si="1"/>
        <v/>
      </c>
      <c r="H8" s="150" t="str">
        <f ca="1">IF(B8="","",LOOKUP(B8,'Emission Factors'!$A$5:$A$16,'Emission Factors'!$F$5:$F$16))</f>
        <v/>
      </c>
      <c r="I8" s="198" t="str">
        <f ca="1">IF(D8="","",SUM('Concrete Plant (CP-1)'!S24,'Concrete Plant (CP-2)'!S24,'Concrete Plant (CP-3)'!S24,'Concrete Plant (CP-4)'!S24,'Concrete Plant (CP-5)'!S24,'Concrete Plant (CP-6)'!S24,'Concrete Plant (CP-7)'!S24,'Concrete Plant (CP-8)'!S24,'Concrete Plant (CP-8)'!S24,'Concrete Plant (CP-10)'!S24))</f>
        <v/>
      </c>
      <c r="J8" s="194"/>
      <c r="K8" s="198" t="str">
        <f ca="1">IF(D8="","",IF(SUM('Concrete Plant (CP-1)'!T24,'Concrete Plant (CP-2)'!T24,'Concrete Plant (CP-3)'!T24,'Concrete Plant (CP-4)'!T24,'Concrete Plant (CP-5)'!T24,'Concrete Plant (CP-6)'!T24,'Concrete Plant (CP-7)'!T24,'Concrete Plant (CP-8)'!T24,'Concrete Plant (CP-9)'!T24,'Concrete Plant (CP-10)'!T24)&gt;0,SUM('Concrete Plant (CP-1)'!T24,'Concrete Plant (CP-2)'!T24,'Concrete Plant (CP-3)'!T24,'Concrete Plant (CP-4)'!T24,'Concrete Plant (CP-5)'!T24,'Concrete Plant (CP-6)'!T24,'Concrete Plant (CP-7)'!T24,'Concrete Plant (CP-8)'!T24,'Concrete Plant (CP-9)'!T24,'Concrete Plant (CP-10)'!T24),""))</f>
        <v/>
      </c>
      <c r="L8" s="198" t="str">
        <f ca="1">IF(B8="","",SUM('Concrete Plant (CP-1)'!U24,'Concrete Plant (CP-2)'!U24,'Concrete Plant (CP-3)'!U24,'Concrete Plant (CP-4)'!U24,'Concrete Plant (CP-5)'!U24,'Concrete Plant (CP-6)'!U24,'Concrete Plant (CP-7)'!U24,'Concrete Plant (CP-8)'!U24,'Concrete Plant (CP-9)'!U24,'Concrete Plant (CP-10)'!U24))</f>
        <v/>
      </c>
      <c r="M8" s="198" t="str">
        <f ca="1">IF(B8="","",SUM('Concrete Plant (CP-1)'!V24,'Concrete Plant (CP-2)'!V24,'Concrete Plant (CP-3)'!V24,'Concrete Plant (CP-4)'!V24,'Concrete Plant (CP-5)'!V24,'Concrete Plant (CP-6)'!V24,'Concrete Plant (CP-7)'!V24,'Concrete Plant (CP-8)'!V24,'Concrete Plant (CP-9)'!V24,'Concrete Plant (CP-10)'!V24))</f>
        <v/>
      </c>
    </row>
    <row r="9" spans="1:13" s="193" customFormat="1" ht="14.25" customHeight="1" x14ac:dyDescent="0.25">
      <c r="A9" s="194" t="str">
        <f ca="1">IF(SUM('Concrete Plant (CP-1)'!Q25,'Concrete Plant (CP-2)'!Q25,'Concrete Plant (CP-3)'!Q25,'Concrete Plant (CP-4)'!Q25,'Concrete Plant (CP-5)'!Q25,'Concrete Plant (CP-6)'!Q25,'Concrete Plant (CP-7)'!Q25,'Concrete Plant (CP-8)'!Q25,'Concrete Plant (CP-9)'!Q25,'Concrete Plant (CP-10)'!Q25)&gt;0,"ALL","")</f>
        <v/>
      </c>
      <c r="B9" s="150" t="str">
        <f ca="1">IF(SUM('Concrete Plant (CP-1)'!Q25,'Concrete Plant (CP-2)'!Q25,'Concrete Plant (CP-3)'!Q25,'Concrete Plant (CP-4)'!Q25,'Concrete Plant (CP-5)'!Q25,'Concrete Plant (CP-6)'!Q25,'Concrete Plant (CP-7)'!Q25,'Concrete Plant (CP-8)'!Q25,'Concrete Plant (CP-9)'!Q25,'Concrete Plant (CP-10)'!Q25)&gt;0,"Aggregate Transfer to Elevated Storage","")</f>
        <v/>
      </c>
      <c r="C9" s="195" t="str">
        <f ca="1">IF(B9="","","30501104")</f>
        <v/>
      </c>
      <c r="D9" s="194" t="str">
        <f ca="1">IF(SUM('Concrete Plant (CP-1)'!Q25,'Concrete Plant (CP-2)'!Q25,'Concrete Plant (CP-3)'!Q25,'Concrete Plant (CP-4)'!Q25,'Concrete Plant (CP-5)'!Q25,'Concrete Plant (CP-6)'!Q25,'Concrete Plant (CP-7)'!Q25,'Concrete Plant (CP-8)'!Q25,'Concrete Plant (CP-9)'!Q25,'Concrete Plant (CP-10)'!Q25)&gt;0,SUM('Concrete Plant (CP-1)'!Q25,'Concrete Plant (CP-2)'!Q25,'Concrete Plant (CP-3)'!Q25,'Concrete Plant (CP-4)'!Q25,'Concrete Plant (CP-5)'!Q25,'Concrete Plant (CP-6)'!Q25,'Concrete Plant (CP-7)'!Q25,'Concrete Plant (CP-8)'!Q25,'Concrete Plant (CP-9)'!Q25,'Concrete Plant (CP-10)'!Q25),"")</f>
        <v/>
      </c>
      <c r="E9" s="194" t="str">
        <f t="shared" ca="1" si="0"/>
        <v/>
      </c>
      <c r="F9" s="196" t="str">
        <f ca="1">IF(B9="","",LOOKUP(B9,'Emission Factors'!$A$5:$A$16,'Emission Factors'!$D$5:$D$16))</f>
        <v/>
      </c>
      <c r="G9" s="197" t="str">
        <f t="shared" ca="1" si="1"/>
        <v/>
      </c>
      <c r="H9" s="150" t="str">
        <f ca="1">IF(B9="","",LOOKUP(B9,'Emission Factors'!$A$5:$A$16,'Emission Factors'!$F$5:$F$16))</f>
        <v/>
      </c>
      <c r="I9" s="198" t="str">
        <f ca="1">IF(D9="","",SUM('Concrete Plant (CP-1)'!S25,'Concrete Plant (CP-2)'!S25,'Concrete Plant (CP-3)'!S25,'Concrete Plant (CP-4)'!S25,'Concrete Plant (CP-5)'!S25,'Concrete Plant (CP-6)'!S25,'Concrete Plant (CP-7)'!S25,'Concrete Plant (CP-8)'!S25,'Concrete Plant (CP-8)'!S25,'Concrete Plant (CP-10)'!S25))</f>
        <v/>
      </c>
      <c r="J9" s="194"/>
      <c r="K9" s="198" t="str">
        <f ca="1">IF(D9="","",IF(SUM('Concrete Plant (CP-1)'!T25,'Concrete Plant (CP-2)'!T25,'Concrete Plant (CP-3)'!T25,'Concrete Plant (CP-4)'!T25,'Concrete Plant (CP-5)'!T25,'Concrete Plant (CP-6)'!T25,'Concrete Plant (CP-7)'!T25,'Concrete Plant (CP-8)'!T25,'Concrete Plant (CP-9)'!T25,'Concrete Plant (CP-10)'!T25)&gt;0,SUM('Concrete Plant (CP-1)'!T25,'Concrete Plant (CP-2)'!T25,'Concrete Plant (CP-3)'!T25,'Concrete Plant (CP-4)'!T25,'Concrete Plant (CP-5)'!T25,'Concrete Plant (CP-6)'!T25,'Concrete Plant (CP-7)'!T25,'Concrete Plant (CP-8)'!T25,'Concrete Plant (CP-9)'!T25,'Concrete Plant (CP-10)'!T25),""))</f>
        <v/>
      </c>
      <c r="L9" s="198" t="str">
        <f ca="1">IF(B9="","",SUM('Concrete Plant (CP-1)'!U25,'Concrete Plant (CP-2)'!U25,'Concrete Plant (CP-3)'!U25,'Concrete Plant (CP-4)'!U25,'Concrete Plant (CP-5)'!U25,'Concrete Plant (CP-6)'!U25,'Concrete Plant (CP-7)'!U25,'Concrete Plant (CP-8)'!U25,'Concrete Plant (CP-9)'!U25,'Concrete Plant (CP-10)'!U25))</f>
        <v/>
      </c>
      <c r="M9" s="198" t="str">
        <f ca="1">IF(B9="","",SUM('Concrete Plant (CP-1)'!V25,'Concrete Plant (CP-2)'!V25,'Concrete Plant (CP-3)'!V25,'Concrete Plant (CP-4)'!V25,'Concrete Plant (CP-5)'!V25,'Concrete Plant (CP-6)'!V25,'Concrete Plant (CP-7)'!V25,'Concrete Plant (CP-8)'!V25,'Concrete Plant (CP-9)'!V25,'Concrete Plant (CP-10)'!V25))</f>
        <v/>
      </c>
    </row>
    <row r="10" spans="1:13" s="193" customFormat="1" ht="14.25" customHeight="1" x14ac:dyDescent="0.25">
      <c r="A10" s="194" t="str">
        <f ca="1">IF(SUM('Concrete Plant (CP-1)'!Q26,'Concrete Plant (CP-2)'!Q26,'Concrete Plant (CP-3)'!Q26,'Concrete Plant (CP-4)'!Q26,'Concrete Plant (CP-5)'!Q26,'Concrete Plant (CP-6)'!Q26,'Concrete Plant (CP-7)'!Q26,'Concrete Plant (CP-8)'!Q26,'Concrete Plant (CP-9)'!Q26,'Concrete Plant (CP-10)'!Q26)&gt;0,"ALL","")</f>
        <v/>
      </c>
      <c r="B10" s="150" t="str">
        <f ca="1">IF(SUM('Concrete Plant (CP-1)'!Q26,'Concrete Plant (CP-2)'!Q26,'Concrete Plant (CP-3)'!Q26,'Concrete Plant (CP-4)'!Q26,'Concrete Plant (CP-5)'!Q26,'Concrete Plant (CP-6)'!Q26,'Concrete Plant (CP-7)'!Q26,'Concrete Plant (CP-8)'!Q26,'Concrete Plant (CP-9)'!Q26,'Concrete Plant (CP-10)'!Q26)&gt;0,"Sand Transfer to Elevated Storage","")</f>
        <v/>
      </c>
      <c r="C10" s="195" t="str">
        <f ca="1">IF(B10="","","30501105")</f>
        <v/>
      </c>
      <c r="D10" s="194" t="str">
        <f ca="1">IF(SUM('Concrete Plant (CP-1)'!Q26,'Concrete Plant (CP-2)'!Q26,'Concrete Plant (CP-3)'!Q26,'Concrete Plant (CP-4)'!Q26,'Concrete Plant (CP-5)'!Q26,'Concrete Plant (CP-6)'!Q26,'Concrete Plant (CP-7)'!Q26,'Concrete Plant (CP-8)'!Q26,'Concrete Plant (CP-9)'!Q26,'Concrete Plant (CP-10)'!Q26)&gt;0,SUM('Concrete Plant (CP-1)'!Q26,'Concrete Plant (CP-2)'!Q26,'Concrete Plant (CP-3)'!Q26,'Concrete Plant (CP-4)'!Q26,'Concrete Plant (CP-5)'!Q26,'Concrete Plant (CP-6)'!Q26,'Concrete Plant (CP-7)'!Q26,'Concrete Plant (CP-8)'!Q26,'Concrete Plant (CP-9)'!Q26,'Concrete Plant (CP-10)'!Q26),"")</f>
        <v/>
      </c>
      <c r="E10" s="194" t="str">
        <f t="shared" ca="1" si="0"/>
        <v/>
      </c>
      <c r="F10" s="196" t="str">
        <f ca="1">IF(B10="","",LOOKUP(B10,'Emission Factors'!$A$5:$A$16,'Emission Factors'!$D$5:$D$16))</f>
        <v/>
      </c>
      <c r="G10" s="197" t="str">
        <f t="shared" ca="1" si="1"/>
        <v/>
      </c>
      <c r="H10" s="150" t="str">
        <f ca="1">IF(B10="","",LOOKUP(B10,'Emission Factors'!$A$5:$A$16,'Emission Factors'!$F$5:$F$16))</f>
        <v/>
      </c>
      <c r="I10" s="198" t="str">
        <f ca="1">IF(D10="","",SUM('Concrete Plant (CP-1)'!S26,'Concrete Plant (CP-2)'!S26,'Concrete Plant (CP-3)'!S26,'Concrete Plant (CP-4)'!S26,'Concrete Plant (CP-5)'!S26,'Concrete Plant (CP-6)'!S26,'Concrete Plant (CP-7)'!S26,'Concrete Plant (CP-8)'!S26,'Concrete Plant (CP-8)'!S26,'Concrete Plant (CP-10)'!S26))</f>
        <v/>
      </c>
      <c r="J10" s="194"/>
      <c r="K10" s="198" t="str">
        <f ca="1">IF(D10="","",IF(SUM('Concrete Plant (CP-1)'!T26,'Concrete Plant (CP-2)'!T26,'Concrete Plant (CP-3)'!T26,'Concrete Plant (CP-4)'!T26,'Concrete Plant (CP-5)'!T26,'Concrete Plant (CP-6)'!T26,'Concrete Plant (CP-7)'!T26,'Concrete Plant (CP-8)'!T26,'Concrete Plant (CP-9)'!T26,'Concrete Plant (CP-10)'!T26)&gt;0,SUM('Concrete Plant (CP-1)'!T26,'Concrete Plant (CP-2)'!T26,'Concrete Plant (CP-3)'!T26,'Concrete Plant (CP-4)'!T26,'Concrete Plant (CP-5)'!T26,'Concrete Plant (CP-6)'!T26,'Concrete Plant (CP-7)'!T26,'Concrete Plant (CP-8)'!T26,'Concrete Plant (CP-9)'!T26,'Concrete Plant (CP-10)'!T26),""))</f>
        <v/>
      </c>
      <c r="L10" s="198" t="str">
        <f ca="1">IF(B10="","",SUM('Concrete Plant (CP-1)'!U26,'Concrete Plant (CP-2)'!U26,'Concrete Plant (CP-3)'!U26,'Concrete Plant (CP-4)'!U26,'Concrete Plant (CP-5)'!U26,'Concrete Plant (CP-6)'!U26,'Concrete Plant (CP-7)'!U26,'Concrete Plant (CP-8)'!U26,'Concrete Plant (CP-9)'!U26,'Concrete Plant (CP-10)'!U26))</f>
        <v/>
      </c>
      <c r="M10" s="198" t="str">
        <f ca="1">IF(B10="","",SUM('Concrete Plant (CP-1)'!V26,'Concrete Plant (CP-2)'!V26,'Concrete Plant (CP-3)'!V26,'Concrete Plant (CP-4)'!V26,'Concrete Plant (CP-5)'!V26,'Concrete Plant (CP-6)'!V26,'Concrete Plant (CP-7)'!V26,'Concrete Plant (CP-8)'!V26,'Concrete Plant (CP-9)'!V26,'Concrete Plant (CP-10)'!V26))</f>
        <v/>
      </c>
    </row>
    <row r="11" spans="1:13" s="193" customFormat="1" ht="14.25" customHeight="1" x14ac:dyDescent="0.25">
      <c r="A11" s="194" t="str">
        <f ca="1">IF(SUM('Concrete Plant (CP-1)'!Q27,'Concrete Plant (CP-2)'!Q27,'Concrete Plant (CP-3)'!Q27,'Concrete Plant (CP-4)'!Q27,'Concrete Plant (CP-5)'!Q27,'Concrete Plant (CP-6)'!Q27,'Concrete Plant (CP-7)'!Q27,'Concrete Plant (CP-8)'!Q27,'Concrete Plant (CP-9)'!Q27,'Concrete Plant (CP-10)'!Q27)&gt;0,"ALL","")</f>
        <v/>
      </c>
      <c r="B11" s="150" t="str">
        <f ca="1">IF(SUM('Concrete Plant (CP-1)'!Q27,'Concrete Plant (CP-2)'!Q27,'Concrete Plant (CP-3)'!Q27,'Concrete Plant (CP-4)'!Q27,'Concrete Plant (CP-5)'!Q27,'Concrete Plant (CP-6)'!Q27,'Concrete Plant (CP-7)'!Q27,'Concrete Plant (CP-8)'!Q27,'Concrete Plant (CP-9)'!Q27,'Concrete Plant (CP-10)'!Q27)&gt;0,"Weigh Hopper Loading","")</f>
        <v/>
      </c>
      <c r="C11" s="195" t="str">
        <f ca="1">IF(B11="","","30501108")</f>
        <v/>
      </c>
      <c r="D11" s="194" t="str">
        <f ca="1">IF(SUM('Concrete Plant (CP-1)'!Q27,'Concrete Plant (CP-2)'!Q27,'Concrete Plant (CP-3)'!Q27,'Concrete Plant (CP-4)'!Q27,'Concrete Plant (CP-5)'!Q27,'Concrete Plant (CP-6)'!Q27,'Concrete Plant (CP-7)'!Q27,'Concrete Plant (CP-8)'!Q27,'Concrete Plant (CP-9)'!Q27,'Concrete Plant (CP-10)'!Q27)&gt;0,SUM('Concrete Plant (CP-1)'!Q27,'Concrete Plant (CP-2)'!Q27,'Concrete Plant (CP-3)'!Q27,'Concrete Plant (CP-4)'!Q27,'Concrete Plant (CP-5)'!Q27,'Concrete Plant (CP-6)'!Q27,'Concrete Plant (CP-7)'!Q27,'Concrete Plant (CP-8)'!Q27,'Concrete Plant (CP-9)'!Q27,'Concrete Plant (CP-10)'!Q27),"")</f>
        <v/>
      </c>
      <c r="E11" s="194" t="str">
        <f t="shared" ca="1" si="0"/>
        <v/>
      </c>
      <c r="F11" s="196" t="str">
        <f ca="1">IF(B11="","",LOOKUP(B11,'Emission Factors'!$A$5:$A$16,'Emission Factors'!$D$5:$D$16))</f>
        <v/>
      </c>
      <c r="G11" s="197" t="str">
        <f t="shared" ca="1" si="1"/>
        <v/>
      </c>
      <c r="H11" s="150" t="str">
        <f ca="1">IF(B11="","",LOOKUP(B11,'Emission Factors'!$A$5:$A$16,'Emission Factors'!$F$5:$F$16))</f>
        <v/>
      </c>
      <c r="I11" s="198" t="str">
        <f ca="1">IF(D11="","",SUM('Concrete Plant (CP-1)'!S27,'Concrete Plant (CP-2)'!S27,'Concrete Plant (CP-3)'!S27,'Concrete Plant (CP-4)'!S27,'Concrete Plant (CP-5)'!S27,'Concrete Plant (CP-6)'!S27,'Concrete Plant (CP-7)'!S27,'Concrete Plant (CP-8)'!S27,'Concrete Plant (CP-8)'!S27,'Concrete Plant (CP-10)'!S27))</f>
        <v/>
      </c>
      <c r="J11" s="194"/>
      <c r="K11" s="198" t="str">
        <f ca="1">IF(D11="","",IF(SUM('Concrete Plant (CP-1)'!T27,'Concrete Plant (CP-2)'!T27,'Concrete Plant (CP-3)'!T27,'Concrete Plant (CP-4)'!T27,'Concrete Plant (CP-5)'!T27,'Concrete Plant (CP-6)'!T27,'Concrete Plant (CP-7)'!T27,'Concrete Plant (CP-8)'!T27,'Concrete Plant (CP-9)'!T27,'Concrete Plant (CP-10)'!T27)&gt;0,SUM('Concrete Plant (CP-1)'!T27,'Concrete Plant (CP-2)'!T27,'Concrete Plant (CP-3)'!T27,'Concrete Plant (CP-4)'!T27,'Concrete Plant (CP-5)'!T27,'Concrete Plant (CP-6)'!T27,'Concrete Plant (CP-7)'!T27,'Concrete Plant (CP-8)'!T27,'Concrete Plant (CP-9)'!T27,'Concrete Plant (CP-10)'!T27),""))</f>
        <v/>
      </c>
      <c r="L11" s="198" t="str">
        <f ca="1">IF(B11="","",SUM('Concrete Plant (CP-1)'!U27,'Concrete Plant (CP-2)'!U27,'Concrete Plant (CP-3)'!U27,'Concrete Plant (CP-4)'!U27,'Concrete Plant (CP-5)'!U27,'Concrete Plant (CP-6)'!U27,'Concrete Plant (CP-7)'!U27,'Concrete Plant (CP-8)'!U27,'Concrete Plant (CP-9)'!U27,'Concrete Plant (CP-10)'!U27))</f>
        <v/>
      </c>
      <c r="M11" s="198" t="str">
        <f ca="1">IF(B11="","",SUM('Concrete Plant (CP-1)'!V27,'Concrete Plant (CP-2)'!V27,'Concrete Plant (CP-3)'!V27,'Concrete Plant (CP-4)'!V27,'Concrete Plant (CP-5)'!V27,'Concrete Plant (CP-6)'!V27,'Concrete Plant (CP-7)'!V27,'Concrete Plant (CP-8)'!V27,'Concrete Plant (CP-9)'!V27,'Concrete Plant (CP-10)'!V27))</f>
        <v/>
      </c>
    </row>
    <row r="12" spans="1:13" s="193" customFormat="1" ht="14.25" customHeight="1" x14ac:dyDescent="0.25">
      <c r="A12" s="194" t="str">
        <f ca="1">IF(SUM('Concrete Plant (CP-1)'!Q28,'Concrete Plant (CP-2)'!Q28,'Concrete Plant (CP-3)'!Q28,'Concrete Plant (CP-4)'!Q28,'Concrete Plant (CP-5)'!Q28,'Concrete Plant (CP-6)'!Q28,'Concrete Plant (CP-7)'!Q28,'Concrete Plant (CP-8)'!Q28,'Concrete Plant (CP-9)'!Q28,'Concrete Plant (CP-10)'!Q28)&gt;0,"ALL","")</f>
        <v/>
      </c>
      <c r="B12" s="150" t="str">
        <f ca="1">IF(SUM('Concrete Plant (CP-1)'!Q28,'Concrete Plant (CP-2)'!Q28,'Concrete Plant (CP-3)'!Q28,'Concrete Plant (CP-4)'!Q28,'Concrete Plant (CP-5)'!Q28,'Concrete Plant (CP-6)'!Q28,'Concrete Plant (CP-7)'!Q28,'Concrete Plant (CP-8)'!Q28,'Concrete Plant (CP-9)'!Q28,'Concrete Plant (CP-10)'!Q28)&gt;0,"Central Mix Loading","")</f>
        <v/>
      </c>
      <c r="C12" s="195" t="str">
        <f ca="1">IF(B12="","","30501109")</f>
        <v/>
      </c>
      <c r="D12" s="194" t="str">
        <f ca="1">IF(SUM('Concrete Plant (CP-1)'!Q28,'Concrete Plant (CP-2)'!Q28,'Concrete Plant (CP-3)'!Q28,'Concrete Plant (CP-4)'!Q28,'Concrete Plant (CP-5)'!Q28,'Concrete Plant (CP-6)'!Q28,'Concrete Plant (CP-7)'!Q28,'Concrete Plant (CP-8)'!Q28,'Concrete Plant (CP-9)'!Q28,'Concrete Plant (CP-10)'!Q28)&gt;0,SUM('Concrete Plant (CP-1)'!Q28,'Concrete Plant (CP-2)'!Q28,'Concrete Plant (CP-3)'!Q28,'Concrete Plant (CP-4)'!Q28,'Concrete Plant (CP-5)'!Q28,'Concrete Plant (CP-6)'!Q28,'Concrete Plant (CP-7)'!Q28,'Concrete Plant (CP-8)'!Q28,'Concrete Plant (CP-9)'!Q28,'Concrete Plant (CP-10)'!Q28),"")</f>
        <v/>
      </c>
      <c r="E12" s="194" t="str">
        <f t="shared" ca="1" si="0"/>
        <v/>
      </c>
      <c r="F12" s="196" t="str">
        <f ca="1">IF(B12="","",LOOKUP(B12,'Emission Factors'!$A$5:$A$16,'Emission Factors'!$D$5:$D$16))</f>
        <v/>
      </c>
      <c r="G12" s="197" t="str">
        <f t="shared" ca="1" si="1"/>
        <v/>
      </c>
      <c r="H12" s="150" t="str">
        <f ca="1">IF(B12="","",LOOKUP(B12,'Emission Factors'!$A$5:$A$16,'Emission Factors'!$F$5:$F$16))</f>
        <v/>
      </c>
      <c r="I12" s="198" t="str">
        <f ca="1">IF(D12="","",SUM('Concrete Plant (CP-1)'!S28,'Concrete Plant (CP-2)'!S28,'Concrete Plant (CP-3)'!S28,'Concrete Plant (CP-4)'!S28,'Concrete Plant (CP-5)'!S28,'Concrete Plant (CP-6)'!S28,'Concrete Plant (CP-7)'!S28,'Concrete Plant (CP-8)'!S28,'Concrete Plant (CP-8)'!S28,'Concrete Plant (CP-10)'!S28))</f>
        <v/>
      </c>
      <c r="J12" s="194"/>
      <c r="K12" s="198" t="str">
        <f ca="1">IF(D12="","",IF(SUM('Concrete Plant (CP-1)'!T28,'Concrete Plant (CP-2)'!T28,'Concrete Plant (CP-3)'!T28,'Concrete Plant (CP-4)'!T28,'Concrete Plant (CP-5)'!T28,'Concrete Plant (CP-6)'!T28,'Concrete Plant (CP-7)'!T28,'Concrete Plant (CP-8)'!T28,'Concrete Plant (CP-9)'!T28,'Concrete Plant (CP-10)'!T28)&gt;0,SUM('Concrete Plant (CP-1)'!T28,'Concrete Plant (CP-2)'!T28,'Concrete Plant (CP-3)'!T28,'Concrete Plant (CP-4)'!T28,'Concrete Plant (CP-5)'!T28,'Concrete Plant (CP-6)'!T28,'Concrete Plant (CP-7)'!T28,'Concrete Plant (CP-8)'!T28,'Concrete Plant (CP-9)'!T28,'Concrete Plant (CP-10)'!T28),""))</f>
        <v/>
      </c>
      <c r="L12" s="198" t="str">
        <f ca="1">IF(B12="","",SUM('Concrete Plant (CP-1)'!U28,'Concrete Plant (CP-2)'!U28,'Concrete Plant (CP-3)'!U28,'Concrete Plant (CP-4)'!U28,'Concrete Plant (CP-5)'!U28,'Concrete Plant (CP-6)'!U28,'Concrete Plant (CP-7)'!U28,'Concrete Plant (CP-8)'!U28,'Concrete Plant (CP-9)'!U28,'Concrete Plant (CP-10)'!U28))</f>
        <v/>
      </c>
      <c r="M12" s="198" t="str">
        <f ca="1">IF(B12="","",SUM('Concrete Plant (CP-1)'!V28,'Concrete Plant (CP-2)'!V28,'Concrete Plant (CP-3)'!V28,'Concrete Plant (CP-4)'!V28,'Concrete Plant (CP-5)'!V28,'Concrete Plant (CP-6)'!V28,'Concrete Plant (CP-7)'!V28,'Concrete Plant (CP-8)'!V28,'Concrete Plant (CP-9)'!V28,'Concrete Plant (CP-10)'!V28))</f>
        <v/>
      </c>
    </row>
    <row r="13" spans="1:13" s="193" customFormat="1" ht="14.25" customHeight="1" x14ac:dyDescent="0.25">
      <c r="A13" s="194" t="str">
        <f ca="1">IF(SUM('Concrete Plant (CP-1)'!Q29,'Concrete Plant (CP-2)'!Q29,'Concrete Plant (CP-3)'!Q29,'Concrete Plant (CP-4)'!Q29,'Concrete Plant (CP-5)'!Q29,'Concrete Plant (CP-6)'!Q29,'Concrete Plant (CP-7)'!Q29,'Concrete Plant (CP-8)'!Q29,'Concrete Plant (CP-9)'!Q29,'Concrete Plant (CP-10)'!Q29)&gt;0,"ALL","")</f>
        <v/>
      </c>
      <c r="B13" s="150" t="str">
        <f ca="1">IF(SUM('Concrete Plant (CP-1)'!Q29,'Concrete Plant (CP-2)'!Q29,'Concrete Plant (CP-3)'!Q29,'Concrete Plant (CP-4)'!Q29,'Concrete Plant (CP-5)'!Q29,'Concrete Plant (CP-6)'!Q29,'Concrete Plant (CP-7)'!Q29,'Concrete Plant (CP-8)'!Q29,'Concrete Plant (CP-9)'!Q29,'Concrete Plant (CP-10)'!Q29)&gt;0,"Truck Mix Loading","")</f>
        <v/>
      </c>
      <c r="C13" s="195" t="str">
        <f ca="1">IF(B13="","","30501110")</f>
        <v/>
      </c>
      <c r="D13" s="194" t="str">
        <f ca="1">IF(SUM('Concrete Plant (CP-1)'!Q29,'Concrete Plant (CP-2)'!Q29,'Concrete Plant (CP-3)'!Q29,'Concrete Plant (CP-4)'!Q29,'Concrete Plant (CP-5)'!Q29,'Concrete Plant (CP-6)'!Q29,'Concrete Plant (CP-7)'!Q29,'Concrete Plant (CP-8)'!Q29,'Concrete Plant (CP-9)'!Q29,'Concrete Plant (CP-10)'!Q29)&gt;0,SUM('Concrete Plant (CP-1)'!Q29,'Concrete Plant (CP-2)'!Q29,'Concrete Plant (CP-3)'!Q29,'Concrete Plant (CP-4)'!Q29,'Concrete Plant (CP-5)'!Q29,'Concrete Plant (CP-6)'!Q29,'Concrete Plant (CP-7)'!Q29,'Concrete Plant (CP-8)'!Q29,'Concrete Plant (CP-9)'!Q29,'Concrete Plant (CP-10)'!Q29),"")</f>
        <v/>
      </c>
      <c r="E13" s="194" t="str">
        <f t="shared" ca="1" si="0"/>
        <v/>
      </c>
      <c r="F13" s="196" t="str">
        <f ca="1">IF(B13="","",LOOKUP(B13,'Emission Factors'!$A$5:$A$16,'Emission Factors'!$D$5:$D$16))</f>
        <v/>
      </c>
      <c r="G13" s="197" t="str">
        <f t="shared" ca="1" si="1"/>
        <v/>
      </c>
      <c r="H13" s="150" t="str">
        <f ca="1">IF(B13="","",LOOKUP(B13,'Emission Factors'!$A$5:$A$16,'Emission Factors'!$F$5:$F$16))</f>
        <v/>
      </c>
      <c r="I13" s="198" t="str">
        <f ca="1">IF(D13="","",SUM('Concrete Plant (CP-1)'!S29,'Concrete Plant (CP-2)'!S29,'Concrete Plant (CP-3)'!S29,'Concrete Plant (CP-4)'!S29,'Concrete Plant (CP-5)'!S29,'Concrete Plant (CP-6)'!S29,'Concrete Plant (CP-7)'!S29,'Concrete Plant (CP-8)'!S29,'Concrete Plant (CP-8)'!S29,'Concrete Plant (CP-10)'!S29))</f>
        <v/>
      </c>
      <c r="J13" s="199"/>
      <c r="K13" s="198" t="str">
        <f ca="1">IF(D13="","",IF(SUM('Concrete Plant (CP-1)'!T29,'Concrete Plant (CP-2)'!T29,'Concrete Plant (CP-3)'!T29,'Concrete Plant (CP-4)'!T29,'Concrete Plant (CP-5)'!T29,'Concrete Plant (CP-6)'!T29,'Concrete Plant (CP-7)'!T29,'Concrete Plant (CP-8)'!T29,'Concrete Plant (CP-9)'!T29,'Concrete Plant (CP-10)'!T29)&gt;0,SUM('Concrete Plant (CP-1)'!T29,'Concrete Plant (CP-2)'!T29,'Concrete Plant (CP-3)'!T29,'Concrete Plant (CP-4)'!T29,'Concrete Plant (CP-5)'!T29,'Concrete Plant (CP-6)'!T29,'Concrete Plant (CP-7)'!T29,'Concrete Plant (CP-8)'!T29,'Concrete Plant (CP-9)'!T29,'Concrete Plant (CP-10)'!T29),""))</f>
        <v/>
      </c>
      <c r="L13" s="198" t="str">
        <f ca="1">IF(B13="","",SUM('Concrete Plant (CP-1)'!U29,'Concrete Plant (CP-2)'!U29,'Concrete Plant (CP-3)'!U29,'Concrete Plant (CP-4)'!U29,'Concrete Plant (CP-5)'!U29,'Concrete Plant (CP-6)'!U29,'Concrete Plant (CP-7)'!U29,'Concrete Plant (CP-8)'!U29,'Concrete Plant (CP-9)'!U29,'Concrete Plant (CP-10)'!U29))</f>
        <v/>
      </c>
      <c r="M13" s="198" t="str">
        <f ca="1">IF(B13="","",SUM('Concrete Plant (CP-1)'!V29,'Concrete Plant (CP-2)'!V29,'Concrete Plant (CP-3)'!V29,'Concrete Plant (CP-4)'!V29,'Concrete Plant (CP-5)'!V29,'Concrete Plant (CP-6)'!V29,'Concrete Plant (CP-7)'!V29,'Concrete Plant (CP-8)'!V29,'Concrete Plant (CP-9)'!V29,'Concrete Plant (CP-10)'!V29))</f>
        <v/>
      </c>
    </row>
    <row r="14" spans="1:13" s="193" customFormat="1" ht="14.25" customHeight="1" x14ac:dyDescent="0.25">
      <c r="A14" s="194" t="str">
        <f ca="1">IF(SUM('Concrete Plant (CP-1)'!Q30,'Concrete Plant (CP-2)'!Q30,'Concrete Plant (CP-3)'!Q30,'Concrete Plant (CP-4)'!Q30,'Concrete Plant (CP-5)'!Q30,'Concrete Plant (CP-6)'!Q30,'Concrete Plant (CP-7)'!Q30,'Concrete Plant (CP-8)'!Q30,'Concrete Plant (CP-9)'!Q30,'Concrete Plant (CP-10)'!Q30)&gt;0,"ALL","")</f>
        <v/>
      </c>
      <c r="B14" s="150" t="str">
        <f ca="1">IF(SUM('Concrete Plant (CP-1)'!Q30,'Concrete Plant (CP-2)'!Q30,'Concrete Plant (CP-3)'!Q30,'Concrete Plant (CP-4)'!Q30,'Concrete Plant (CP-5)'!Q30,'Concrete Plant (CP-6)'!Q30,'Concrete Plant (CP-7)'!Q30,'Concrete Plant (CP-8)'!Q30,'Concrete Plant (CP-9)'!Q30,'Concrete Plant (CP-10)'!Q30)&gt;0,"Cement Delivery to Silo","")</f>
        <v/>
      </c>
      <c r="C14" s="195" t="str">
        <f ca="1">IF(B14="","","30501107")</f>
        <v/>
      </c>
      <c r="D14" s="194" t="str">
        <f ca="1">IF(SUM('Concrete Plant (CP-1)'!Q30,'Concrete Plant (CP-2)'!Q30,'Concrete Plant (CP-3)'!Q30,'Concrete Plant (CP-4)'!Q30,'Concrete Plant (CP-5)'!Q30,'Concrete Plant (CP-6)'!Q30,'Concrete Plant (CP-7)'!Q30,'Concrete Plant (CP-8)'!Q30,'Concrete Plant (CP-9)'!Q30,'Concrete Plant (CP-10)'!Q30)&gt;0,SUM('Concrete Plant (CP-1)'!Q30,'Concrete Plant (CP-2)'!Q30,'Concrete Plant (CP-3)'!Q30,'Concrete Plant (CP-4)'!Q30,'Concrete Plant (CP-5)'!Q30,'Concrete Plant (CP-6)'!Q30,'Concrete Plant (CP-7)'!Q30,'Concrete Plant (CP-8)'!Q30,'Concrete Plant (CP-9)'!Q30,'Concrete Plant (CP-10)'!Q30),"")</f>
        <v/>
      </c>
      <c r="E14" s="194" t="str">
        <f t="shared" ca="1" si="0"/>
        <v/>
      </c>
      <c r="F14" s="196" t="str">
        <f ca="1">IF(B14="","",LOOKUP(B14,'Emission Factors'!$A$5:$A$16,'Emission Factors'!$D$5:$D$16))</f>
        <v/>
      </c>
      <c r="G14" s="197" t="str">
        <f t="shared" ca="1" si="1"/>
        <v/>
      </c>
      <c r="H14" s="150" t="str">
        <f ca="1">IF(B14="","",LOOKUP(B14,'Emission Factors'!$A$5:$A$16,'Emission Factors'!$F$5:$F$16))</f>
        <v/>
      </c>
      <c r="I14" s="200" t="s">
        <v>235</v>
      </c>
      <c r="J14" s="199"/>
      <c r="K14" s="198" t="str">
        <f ca="1">IF(D14="","",IF(SUM('Concrete Plant (CP-1)'!T30,'Concrete Plant (CP-2)'!T30,'Concrete Plant (CP-3)'!T30,'Concrete Plant (CP-4)'!T30,'Concrete Plant (CP-5)'!T30,'Concrete Plant (CP-6)'!T30,'Concrete Plant (CP-7)'!T30,'Concrete Plant (CP-8)'!T30,'Concrete Plant (CP-9)'!T30,'Concrete Plant (CP-10)'!T30)&gt;0,SUM('Concrete Plant (CP-1)'!T30,'Concrete Plant (CP-2)'!T30,'Concrete Plant (CP-3)'!T30,'Concrete Plant (CP-4)'!T30,'Concrete Plant (CP-5)'!T30,'Concrete Plant (CP-6)'!T30,'Concrete Plant (CP-7)'!T30,'Concrete Plant (CP-8)'!T30,'Concrete Plant (CP-9)'!T30,'Concrete Plant (CP-10)'!T30),""))</f>
        <v/>
      </c>
      <c r="L14" s="198" t="str">
        <f ca="1">IF(B14="","",SUM('Concrete Plant (CP-1)'!U30,'Concrete Plant (CP-2)'!U30,'Concrete Plant (CP-3)'!U30,'Concrete Plant (CP-4)'!U30,'Concrete Plant (CP-5)'!U30,'Concrete Plant (CP-6)'!U30,'Concrete Plant (CP-7)'!U30,'Concrete Plant (CP-8)'!U30,'Concrete Plant (CP-9)'!U30,'Concrete Plant (CP-10)'!U30))</f>
        <v/>
      </c>
      <c r="M14" s="198" t="str">
        <f ca="1">IF(B14="","",SUM('Concrete Plant (CP-1)'!V30,'Concrete Plant (CP-2)'!V30,'Concrete Plant (CP-3)'!V30,'Concrete Plant (CP-4)'!V30,'Concrete Plant (CP-5)'!V30,'Concrete Plant (CP-6)'!V30,'Concrete Plant (CP-7)'!V30,'Concrete Plant (CP-8)'!V30,'Concrete Plant (CP-9)'!V30,'Concrete Plant (CP-10)'!V30))</f>
        <v/>
      </c>
    </row>
    <row r="15" spans="1:13" s="193" customFormat="1" ht="14.25" customHeight="1" x14ac:dyDescent="0.25">
      <c r="A15" s="194" t="str">
        <f ca="1">IF(SUM('Concrete Plant (CP-1)'!Q31,'Concrete Plant (CP-2)'!Q31,'Concrete Plant (CP-3)'!Q31,'Concrete Plant (CP-4)'!Q31,'Concrete Plant (CP-5)'!Q31,'Concrete Plant (CP-6)'!Q31,'Concrete Plant (CP-7)'!Q31,'Concrete Plant (CP-8)'!Q31,'Concrete Plant (CP-9)'!Q31,'Concrete Plant (CP-10)'!Q31)&gt;0,"ALL","")</f>
        <v/>
      </c>
      <c r="B15" s="150" t="str">
        <f ca="1">IF(SUM('Concrete Plant (CP-1)'!Q31,'Concrete Plant (CP-2)'!Q31,'Concrete Plant (CP-3)'!Q31,'Concrete Plant (CP-4)'!Q31,'Concrete Plant (CP-5)'!Q31,'Concrete Plant (CP-6)'!Q31,'Concrete Plant (CP-7)'!Q31,'Concrete Plant (CP-8)'!Q31,'Concrete Plant (CP-9)'!Q31,'Concrete Plant (CP-10)'!Q31)&gt;0,"Cement Supplement Delivery to Silo","")</f>
        <v/>
      </c>
      <c r="C15" s="195" t="str">
        <f ca="1">IF(B15="","","30501117")</f>
        <v/>
      </c>
      <c r="D15" s="194" t="str">
        <f ca="1">IF(SUM('Concrete Plant (CP-1)'!Q31,'Concrete Plant (CP-2)'!Q31,'Concrete Plant (CP-3)'!Q31,'Concrete Plant (CP-4)'!Q31,'Concrete Plant (CP-5)'!Q31,'Concrete Plant (CP-6)'!Q31,'Concrete Plant (CP-7)'!Q31,'Concrete Plant (CP-8)'!Q31,'Concrete Plant (CP-9)'!Q31,'Concrete Plant (CP-10)'!Q31)&gt;0,SUM('Concrete Plant (CP-1)'!Q31,'Concrete Plant (CP-2)'!Q31,'Concrete Plant (CP-3)'!Q31,'Concrete Plant (CP-4)'!Q31,'Concrete Plant (CP-5)'!Q31,'Concrete Plant (CP-6)'!Q31,'Concrete Plant (CP-7)'!Q31,'Concrete Plant (CP-8)'!Q31,'Concrete Plant (CP-9)'!Q31,'Concrete Plant (CP-10)'!Q31),"")</f>
        <v/>
      </c>
      <c r="E15" s="194" t="str">
        <f t="shared" ca="1" si="0"/>
        <v/>
      </c>
      <c r="F15" s="196" t="str">
        <f ca="1">IF(B15="","",LOOKUP(B15,'Emission Factors'!$A$5:$A$16,'Emission Factors'!$D$5:$D$16))</f>
        <v/>
      </c>
      <c r="G15" s="197" t="str">
        <f t="shared" ca="1" si="1"/>
        <v/>
      </c>
      <c r="H15" s="150" t="str">
        <f ca="1">IF(B15="","",LOOKUP(B15,'Emission Factors'!$A$5:$A$16,'Emission Factors'!$F$5:$F$16))</f>
        <v/>
      </c>
      <c r="I15" s="200" t="s">
        <v>235</v>
      </c>
      <c r="J15" s="199"/>
      <c r="K15" s="198" t="str">
        <f ca="1">IF(D15="","",IF(SUM('Concrete Plant (CP-1)'!T31,'Concrete Plant (CP-2)'!T31,'Concrete Plant (CP-3)'!T31,'Concrete Plant (CP-4)'!T31,'Concrete Plant (CP-5)'!T31,'Concrete Plant (CP-6)'!T31,'Concrete Plant (CP-7)'!T31,'Concrete Plant (CP-8)'!T31,'Concrete Plant (CP-9)'!T31,'Concrete Plant (CP-10)'!T31)&gt;0,SUM('Concrete Plant (CP-1)'!T31,'Concrete Plant (CP-2)'!T31,'Concrete Plant (CP-3)'!T31,'Concrete Plant (CP-4)'!T31,'Concrete Plant (CP-5)'!T31,'Concrete Plant (CP-6)'!T31,'Concrete Plant (CP-7)'!T31,'Concrete Plant (CP-8)'!T31,'Concrete Plant (CP-9)'!T31,'Concrete Plant (CP-10)'!T31),""))</f>
        <v/>
      </c>
      <c r="L15" s="198" t="str">
        <f ca="1">IF(B15="","",SUM('Concrete Plant (CP-1)'!U31,'Concrete Plant (CP-2)'!U31,'Concrete Plant (CP-3)'!U31,'Concrete Plant (CP-4)'!U31,'Concrete Plant (CP-5)'!U31,'Concrete Plant (CP-6)'!U31,'Concrete Plant (CP-7)'!U31,'Concrete Plant (CP-8)'!U31,'Concrete Plant (CP-9)'!U31,'Concrete Plant (CP-10)'!U31))</f>
        <v/>
      </c>
      <c r="M15" s="198" t="str">
        <f ca="1">IF(B15="","",SUM('Concrete Plant (CP-1)'!V31,'Concrete Plant (CP-2)'!V31,'Concrete Plant (CP-3)'!V31,'Concrete Plant (CP-4)'!V31,'Concrete Plant (CP-5)'!V31,'Concrete Plant (CP-6)'!V31,'Concrete Plant (CP-7)'!V31,'Concrete Plant (CP-8)'!V31,'Concrete Plant (CP-9)'!V31,'Concrete Plant (CP-10)'!V31))</f>
        <v/>
      </c>
    </row>
    <row r="16" spans="1:13" s="193" customFormat="1" ht="14.25" customHeight="1" x14ac:dyDescent="0.25">
      <c r="A16" s="194" t="str">
        <f>IF(SUM('Concrete Plant (CP-1)'!Q48,'Concrete Plant (CP-2)'!Q49,'Concrete Plant (CP-3)'!Q49,'Concrete Plant (CP-4)'!Q49,'Concrete Plant (CP-5)'!Q49,'Concrete Plant (CP-6)'!Q49,'Concrete Plant (CP-7)'!Q49,'Concrete Plant (CP-8)'!Q49,'Concrete Plant (CP-9)'!Q49,'Concrete Plant (CP-10)'!Q48,)&gt;0,"ALL","")</f>
        <v/>
      </c>
      <c r="B16" s="150" t="str">
        <f>IF(SUM('Concrete Plant (CP-1)'!Q48,'Concrete Plant (CP-2)'!Q49,'Concrete Plant (CP-3)'!Q49,'Concrete Plant (CP-4)'!Q49,'Concrete Plant (CP-5)'!Q49,'Concrete Plant (CP-6)'!Q49,'Concrete Plant (CP-7)'!Q49,'Concrete Plant (CP-8)'!Q49,'Concrete Plant (CP-9)'!Q49,'Concrete Plant (CP-10)'!Q48,)&gt;0,"Storage Piles","")</f>
        <v/>
      </c>
      <c r="C16" s="195" t="str">
        <f>IF(B16="","","30502007")</f>
        <v/>
      </c>
      <c r="D16" s="194" t="str">
        <f>IF(B16="","",SUM('Concrete Plant (CP-1)'!Q48,'Concrete Plant (CP-2)'!Q49,'Concrete Plant (CP-3)'!Q49,'Concrete Plant (CP-4)'!Q49,'Concrete Plant (CP-5)'!Q49,'Concrete Plant (CP-6)'!Q49,'Concrete Plant (CP-7)'!Q49,'Concrete Plant (CP-8)'!Q49,'Concrete Plant (CP-9)'!Q49,'Concrete Plant (CP-10)'!Q48))</f>
        <v/>
      </c>
      <c r="E16" s="194" t="str">
        <f>IF(B16="","","acre/day")</f>
        <v/>
      </c>
      <c r="F16" s="197" t="str">
        <f>IF(B16="","",3.64)</f>
        <v/>
      </c>
      <c r="G16" s="194" t="str">
        <f>IF(B16="","","lb/acre-day")</f>
        <v/>
      </c>
      <c r="H16" s="194" t="str">
        <f>IF(B16="","","WebFIRE")</f>
        <v/>
      </c>
      <c r="I16" s="198" t="str">
        <f>IF(B16="","",SUM('Concrete Plant (CP-1)'!S48,'Concrete Plant (CP-2)'!S49,'Concrete Plant (CP-3)'!S49,'Concrete Plant (CP-4)'!S49,'Concrete Plant (CP-5)'!S49,'Concrete Plant (CP-6)'!S49,'Concrete Plant (CP-7)'!S49,'Concrete Plant (CP-8)'!S49,'Concrete Plant (CP-9)'!S49,'Concrete Plant (CP-10)'!S48))</f>
        <v/>
      </c>
      <c r="J16" s="199"/>
      <c r="K16" s="198"/>
      <c r="L16" s="198" t="str">
        <f>IF(D16="","",SUM('Concrete Plant (CP-1)'!U48,'Concrete Plant (CP-2)'!U49,'Concrete Plant (CP-3)'!U49,'Concrete Plant (CP-4)'!U49,'Concrete Plant (CP-5)'!U49,'Concrete Plant (CP-6)'!U49,'Concrete Plant (CP-7)'!U49,'Concrete Plant (CP-8)'!U49,'Concrete Plant (CP-9)'!U49,'Concrete Plant (CP-10)'!U48))</f>
        <v/>
      </c>
      <c r="M16" s="198" t="str">
        <f>IF(D16="","",SUM('Concrete Plant (CP-1)'!V48,'Concrete Plant (CP-2)'!V49,'Concrete Plant (CP-3)'!V49,'Concrete Plant (CP-4)'!V49,'Concrete Plant (CP-5)'!V49,'Concrete Plant (CP-6)'!V49,'Concrete Plant (CP-7)'!V49,'Concrete Plant (CP-8)'!V49,'Concrete Plant (CP-9)'!V49,'Concrete Plant (CP-10)'!V48))</f>
        <v/>
      </c>
    </row>
    <row r="17" spans="1:13" s="193" customFormat="1" ht="14.25" customHeight="1" x14ac:dyDescent="0.25">
      <c r="A17" s="194" t="str">
        <f>IF('Haul Roads'!L42=0,"","ALL")</f>
        <v/>
      </c>
      <c r="B17" s="150" t="str">
        <f>IF('Haul Roads'!L42=0,"","Unpaved Haul Roads")</f>
        <v/>
      </c>
      <c r="C17" s="195" t="str">
        <f>IF('Haul Roads'!L42=0,"","30202054")</f>
        <v/>
      </c>
      <c r="D17" s="198" t="str">
        <f>IF(F17="","",'Haul Roads'!P37*'Haul Roads'!L37/8760)</f>
        <v/>
      </c>
      <c r="E17" s="194" t="str">
        <f>IF(B17="","","vmt/hr")</f>
        <v/>
      </c>
      <c r="F17" s="197" t="str">
        <f>IF(B17="","",'Haul Roads'!U37)</f>
        <v/>
      </c>
      <c r="G17" s="194" t="str">
        <f>IF(F17="","","lb/vmt")</f>
        <v/>
      </c>
      <c r="H17" s="194" t="str">
        <f>IF(F17="","","AP-42 Ch 13.2.2")</f>
        <v/>
      </c>
      <c r="I17" s="198" t="str">
        <f>IF(F17="","",D17*F17)</f>
        <v/>
      </c>
      <c r="J17" s="194" t="str">
        <f>IF(SUM('Haul Roads'!W7:W36)&gt;0,40,"")</f>
        <v/>
      </c>
      <c r="K17" s="198" t="str">
        <f>IF(SUM('Haul Roads'!W7:W36)&gt;0,(SUM('Haul Roads'!W7:W36)),"")</f>
        <v/>
      </c>
      <c r="L17" s="198" t="str">
        <f>IF(AND((SUM('Haul Roads'!$M$7:$M$36)&gt;0),'Haul Roads'!L40&gt;0),SUM('Haul Roads'!$AL$9:$AL$18),IF(B17="","",'Haul Roads'!L40))</f>
        <v/>
      </c>
      <c r="M17" s="198" t="str">
        <f>IF(AND((SUM('Haul Roads'!$M$7:$M$36)&gt;0),'Haul Roads'!L45&gt;0),SUM('Haul Roads'!$AM$9:$AM$18),IF(B17="","",'Haul Roads'!L45))</f>
        <v/>
      </c>
    </row>
    <row r="18" spans="1:13" s="193" customFormat="1" ht="14.25" customHeight="1" x14ac:dyDescent="0.25">
      <c r="A18" s="194" t="str">
        <f>IF('Haul Roads'!L43=0,"","ALL")</f>
        <v/>
      </c>
      <c r="B18" s="150" t="str">
        <f>IF('Haul Roads'!L43=0,"","Paved Haul Roads")</f>
        <v/>
      </c>
      <c r="C18" s="195" t="str">
        <f>IF('Haul Roads'!L43=0,"","30202054")</f>
        <v/>
      </c>
      <c r="D18" s="198" t="str">
        <f>IF(F18="","",'Haul Roads'!P38*'Haul Roads'!L38/8760)</f>
        <v/>
      </c>
      <c r="E18" s="194" t="str">
        <f>IF(B18="","","vmt/hr")</f>
        <v/>
      </c>
      <c r="F18" s="197" t="str">
        <f>IF(B18="","",'Haul Roads'!U38)</f>
        <v/>
      </c>
      <c r="G18" s="194" t="str">
        <f>IF(F18="","","lb/vmt")</f>
        <v/>
      </c>
      <c r="H18" s="194" t="str">
        <f>IF(F18="","","AP-42 Ch 13.2.1")</f>
        <v/>
      </c>
      <c r="I18" s="198" t="str">
        <f>IF(F18="","",D18*F18)</f>
        <v/>
      </c>
      <c r="J18" s="194"/>
      <c r="K18" s="198"/>
      <c r="L18" s="198" t="str">
        <f>IF(B18="","",IF(AND((SUM('Haul Roads'!$M$7:$M$36)&gt;0),'Haul Roads'!L41&gt;0,'Haul Roads'!L40&gt;0),"",IF(AND((SUM('Haul Roads'!$M$7:$M$36)&gt;0),'Haul Roads'!L41&gt;0),SUM('Haul Roads'!$AL$9:$AL$18),'Haul Roads'!L41)))</f>
        <v/>
      </c>
      <c r="M18" s="198" t="str">
        <f>IF(B18="","",IF(AND((SUM('Haul Roads'!$M$7:$M$36)&gt;0),'Haul Roads'!L46&gt;0,'Haul Roads'!L45&gt;0),"",IF(AND((SUM('Haul Roads'!$M$7:$M$36)&gt;0),'Haul Roads'!L46&gt;0),SUM('Haul Roads'!$AM$9:$AM$18),'Haul Roads'!L46)))</f>
        <v/>
      </c>
    </row>
    <row r="19" spans="1:13" s="193" customFormat="1" ht="14.25" customHeight="1" x14ac:dyDescent="0.25">
      <c r="A19" s="194" t="str">
        <f>IF('Permitted Diesel Engines'!R49=0,"","ALL")</f>
        <v/>
      </c>
      <c r="B19" s="150" t="str">
        <f>IF('Permitted Diesel Engines'!R49=0,"","Diesel Generator ≤ 600 bhp")</f>
        <v/>
      </c>
      <c r="C19" s="195" t="str">
        <f>IF('Permitted Diesel Engines'!R49=0,"",LOOKUP(B19,'Emission Factors'!A33:A34,'Emission Factors'!B33:B34))</f>
        <v/>
      </c>
      <c r="D19" s="194" t="str">
        <f>IF('Permitted Diesel Engines'!R49=0,"",'Permitted Diesel Engines'!R49)</f>
        <v/>
      </c>
      <c r="E19" s="194" t="str">
        <f>IF(B19="","","MMBtu/hr")</f>
        <v/>
      </c>
      <c r="F19" s="197" t="str">
        <f>IF(B19="","",LOOKUP(B19,'Emission Factors'!$A$33:$A$34,'Emission Factors'!$D$33:$D$34))</f>
        <v/>
      </c>
      <c r="G19" s="194" t="str">
        <f>IF(B19="","",LOOKUP(B19,'Emission Factors'!$A$33:$A$34,'Emission Factors'!$C$33:$C$34))</f>
        <v/>
      </c>
      <c r="H19" s="194" t="str">
        <f>IF(B19="","",LOOKUP(B19,'Emission Factors'!$A$33:$A$34,'Emission Factors'!$E$33:$E$34))</f>
        <v/>
      </c>
      <c r="I19" s="198" t="str">
        <f>IF(B19="","",'Emission Calculations'!D19*'Emission Calculations'!F19)</f>
        <v/>
      </c>
      <c r="J19" s="194"/>
      <c r="K19" s="198"/>
      <c r="L19" s="198" t="str">
        <f>IF(F19="","",'Permitted Diesel Engines'!Z76)</f>
        <v/>
      </c>
      <c r="M19" s="198" t="str">
        <f>IF(B19="","",'Permitted Diesel Engines'!$T$49*F19/2000)</f>
        <v/>
      </c>
    </row>
    <row r="20" spans="1:13" s="193" customFormat="1" ht="14.25" customHeight="1" x14ac:dyDescent="0.25">
      <c r="A20" s="194" t="str">
        <f>IF('Permitted Diesel Engines'!R50=0,"","ALL")</f>
        <v/>
      </c>
      <c r="B20" s="150" t="str">
        <f>IF('Permitted Diesel Engines'!R50=0,"","Diesel Generator&gt; 600 bhp")</f>
        <v/>
      </c>
      <c r="C20" s="195" t="str">
        <f>IF('Permitted Diesel Engines'!R50=0,"",LOOKUP(B20,'Emission Factors'!$A$33:$A$34,'Emission Factors'!$B$33:$B$34))</f>
        <v/>
      </c>
      <c r="D20" s="194" t="str">
        <f>IF('Permitted Diesel Engines'!R50=0,"",'Permitted Diesel Engines'!R50)</f>
        <v/>
      </c>
      <c r="E20" s="194" t="str">
        <f>IF(B20="","","MMBtu/hr")</f>
        <v/>
      </c>
      <c r="F20" s="197" t="str">
        <f>IF(B20="","",LOOKUP(B20,'Emission Factors'!$A$33:$A$34,'Emission Factors'!$D$33:$D$34))</f>
        <v/>
      </c>
      <c r="G20" s="194" t="str">
        <f>IF(B20="","",LOOKUP(B20,'Emission Factors'!$A$33:$A$34,'Emission Factors'!$C$33:$C$34))</f>
        <v/>
      </c>
      <c r="H20" s="194" t="str">
        <f>IF(B20="","",LOOKUP(B20,'Emission Factors'!$A$33:$A$34,'Emission Factors'!$E$33:$E$34))</f>
        <v/>
      </c>
      <c r="I20" s="198" t="str">
        <f>IF(B20="","",'Emission Calculations'!D20*'Emission Calculations'!F20)</f>
        <v/>
      </c>
      <c r="J20" s="194"/>
      <c r="K20" s="198"/>
      <c r="L20" s="198" t="str">
        <f>IF(F20="","",'Permitted Diesel Engines'!AA76)</f>
        <v/>
      </c>
      <c r="M20" s="198" t="str">
        <f>IF(B20="","",'Permitted Diesel Engines'!$T$50*F20/2000)</f>
        <v/>
      </c>
    </row>
    <row r="21" spans="1:13" s="193" customFormat="1" ht="15" customHeight="1" x14ac:dyDescent="0.25">
      <c r="A21" s="192"/>
      <c r="B21" s="138"/>
      <c r="C21" s="138"/>
      <c r="D21" s="192"/>
      <c r="E21" s="192"/>
      <c r="F21" s="192"/>
      <c r="G21" s="192"/>
      <c r="H21" s="265"/>
      <c r="I21" s="267"/>
      <c r="J21" s="260" t="s">
        <v>31</v>
      </c>
      <c r="L21" s="202">
        <f ca="1">SUM(L5:L20)</f>
        <v>0</v>
      </c>
      <c r="M21" s="198">
        <f ca="1">SUM(M5:M20)</f>
        <v>0</v>
      </c>
    </row>
    <row r="22" spans="1:13" s="193" customFormat="1" ht="15" customHeight="1" x14ac:dyDescent="0.25">
      <c r="A22" s="192"/>
      <c r="B22" s="138"/>
      <c r="C22" s="138"/>
      <c r="D22" s="192"/>
      <c r="E22" s="192"/>
      <c r="F22" s="192"/>
      <c r="G22" s="192"/>
      <c r="H22" s="192"/>
      <c r="I22" s="201"/>
      <c r="J22" s="192"/>
      <c r="K22" s="203"/>
      <c r="L22" s="203"/>
      <c r="M22" s="204"/>
    </row>
    <row r="23" spans="1:13" s="193" customFormat="1" ht="15" customHeight="1" x14ac:dyDescent="0.25">
      <c r="A23" s="295" t="s">
        <v>17</v>
      </c>
      <c r="B23" s="295"/>
      <c r="C23" s="191"/>
      <c r="D23" s="192"/>
      <c r="E23" s="192"/>
      <c r="F23" s="192"/>
      <c r="G23" s="138"/>
      <c r="H23" s="138"/>
      <c r="I23" s="231" t="s">
        <v>258</v>
      </c>
      <c r="J23" s="138"/>
      <c r="K23" s="231" t="s">
        <v>259</v>
      </c>
      <c r="L23" s="231" t="s">
        <v>262</v>
      </c>
      <c r="M23" s="231" t="s">
        <v>263</v>
      </c>
    </row>
    <row r="24" spans="1:13" s="193" customFormat="1" ht="30.75" customHeight="1" x14ac:dyDescent="0.25">
      <c r="A24" s="236" t="s">
        <v>11</v>
      </c>
      <c r="B24" s="234" t="s">
        <v>12</v>
      </c>
      <c r="C24" s="236" t="s">
        <v>9</v>
      </c>
      <c r="D24" s="234" t="s">
        <v>10</v>
      </c>
      <c r="E24" s="231" t="s">
        <v>32</v>
      </c>
      <c r="F24" s="234" t="s">
        <v>13</v>
      </c>
      <c r="G24" s="231" t="s">
        <v>32</v>
      </c>
      <c r="H24" s="245" t="s">
        <v>256</v>
      </c>
      <c r="I24" s="232" t="s">
        <v>257</v>
      </c>
      <c r="J24" s="244" t="s">
        <v>15</v>
      </c>
      <c r="K24" s="232" t="s">
        <v>260</v>
      </c>
      <c r="L24" s="232" t="s">
        <v>261</v>
      </c>
      <c r="M24" s="232" t="s">
        <v>261</v>
      </c>
    </row>
    <row r="25" spans="1:13" s="193" customFormat="1" ht="14.25" customHeight="1" x14ac:dyDescent="0.25">
      <c r="A25" s="194" t="str">
        <f ca="1">IF(SUM('Concrete Plant (CP-1)'!Q34,'Concrete Plant (CP-2)'!Q35,'Concrete Plant (CP-3)'!Q35,'Concrete Plant (CP-4)'!Q35,'Concrete Plant (CP-5)'!Q35,'Concrete Plant (CP-6)'!Q35,'Concrete Plant (CP-7)'!Q35,'Concrete Plant (CP-8)'!Q35,'Concrete Plant (CP-9)'!Q35,'Concrete Plant (CP-10)'!Q34)&gt;0,"ALL","")</f>
        <v/>
      </c>
      <c r="B25" s="195" t="str">
        <f ca="1">IF(SUM('Concrete Plant (CP-1)'!Q34,'Concrete Plant (CP-2)'!Q35,'Concrete Plant (CP-3)'!Q35,'Concrete Plant (CP-4)'!Q35,'Concrete Plant (CP-5)'!Q35,'Concrete Plant (CP-6)'!Q35,'Concrete Plant (CP-7)'!Q35,'Concrete Plant (CP-8)'!Q35,'Concrete Plant (CP-9)'!Q35,'Concrete Plant (CP-10)'!Q34)&gt;0,"Aggregate Delivery to Ground Storage","")</f>
        <v/>
      </c>
      <c r="C25" s="195" t="str">
        <f ca="1">IF(B25="","","30501121")</f>
        <v/>
      </c>
      <c r="D25" s="194" t="str">
        <f ca="1">IF(SUM('Concrete Plant (CP-1)'!Q34,'Concrete Plant (CP-2)'!Q35,'Concrete Plant (CP-3)'!Q35,'Concrete Plant (CP-4)'!Q35,'Concrete Plant (CP-5)'!Q35,'Concrete Plant (CP-6)'!Q35,'Concrete Plant (CP-7)'!Q35,'Concrete Plant (CP-8)'!Q35,'Concrete Plant (CP-9)'!Q35,'Concrete Plant (CP-10)'!Q34)&gt;0,SUM('Concrete Plant (CP-1)'!Q34,'Concrete Plant (CP-2)'!Q35,'Concrete Plant (CP-3)'!Q35,'Concrete Plant (CP-4)'!Q35,'Concrete Plant (CP-5)'!Q35,'Concrete Plant (CP-6)'!Q35,'Concrete Plant (CP-7)'!Q35,'Concrete Plant (CP-8)'!Q35,'Concrete Plant (CP-9)'!Q35,'Concrete Plant (CP-10)'!Q34),"")</f>
        <v/>
      </c>
      <c r="E25" s="194" t="str">
        <f ca="1">IF(B25="","","cubic yd/hr")</f>
        <v/>
      </c>
      <c r="F25" s="196" t="str">
        <f ca="1">IF(B25="","",LOOKUP(B25,'Emission Factors'!$A$5:$A$16,'Emission Factors'!$H$5:$H$16))</f>
        <v/>
      </c>
      <c r="G25" s="194" t="str">
        <f ca="1">IF(B25="","","lb/cubic yd")</f>
        <v/>
      </c>
      <c r="H25" s="150" t="str">
        <f ca="1">IF(B25="","",LOOKUP(B25,'Emission Factors'!$A$5:$A$16,'Emission Factors'!$J$5:$J$16))</f>
        <v/>
      </c>
      <c r="I25" s="198" t="str">
        <f ca="1">IF(D5="","",SUM('Concrete Plant (CP-1)'!S34,'Concrete Plant (CP-2)'!S35,'Concrete Plant (CP-3)'!S35,'Concrete Plant (CP-4)'!S35,'Concrete Plant (CP-5)'!S35,'Concrete Plant (CP-6)'!S35,'Concrete Plant (CP-7)'!S35,'Concrete Plant (CP-8)'!S35,'Concrete Plant (CP-8)'!S35,'Concrete Plant (CP-10)'!S34))</f>
        <v/>
      </c>
      <c r="J25" s="194"/>
      <c r="K25" s="198" t="str">
        <f ca="1">IF(D25="","",IF(SUM('Concrete Plant (CP-1)'!T34,'Concrete Plant (CP-2)'!T35,'Concrete Plant (CP-3)'!T35,'Concrete Plant (CP-4)'!T35,'Concrete Plant (CP-5)'!T35,'Concrete Plant (CP-6)'!T35,'Concrete Plant (CP-7)'!T35,'Concrete Plant (CP-8)'!T35,'Concrete Plant (CP-9)'!T35,'Concrete Plant (CP-10)'!T34)&gt;0,SUM('Concrete Plant (CP-1)'!T34,'Concrete Plant (CP-2)'!T35,'Concrete Plant (CP-3)'!T35,'Concrete Plant (CP-4)'!T35,'Concrete Plant (CP-5)'!T35,'Concrete Plant (CP-6)'!T35,'Concrete Plant (CP-7)'!T35,'Concrete Plant (CP-8)'!T35,'Concrete Plant (CP-9)'!T35,'Concrete Plant (CP-10)'!T34),""))</f>
        <v/>
      </c>
      <c r="L25" s="198" t="str">
        <f ca="1">IF(B25="","",SUM('Concrete Plant (CP-1)'!U34,'Concrete Plant (CP-2)'!U35,'Concrete Plant (CP-3)'!U35,'Concrete Plant (CP-4)'!U35,'Concrete Plant (CP-5)'!U35,'Concrete Plant (CP-6)'!U35,'Concrete Plant (CP-7)'!U35,'Concrete Plant (CP-8)'!U35,'Concrete Plant (CP-9)'!U35,'Concrete Plant (CP-10)'!U34))</f>
        <v/>
      </c>
      <c r="M25" s="198" t="str">
        <f ca="1">IF(B25="","",SUM('Concrete Plant (CP-1)'!V34,'Concrete Plant (CP-2)'!V35,'Concrete Plant (CP-3)'!V35,'Concrete Plant (CP-4)'!V35,'Concrete Plant (CP-5)'!V35,'Concrete Plant (CP-6)'!V35,'Concrete Plant (CP-7)'!V35,'Concrete Plant (CP-8)'!V35,'Concrete Plant (CP-9)'!V35,'Concrete Plant (CP-10)'!V34))</f>
        <v/>
      </c>
    </row>
    <row r="26" spans="1:13" s="193" customFormat="1" ht="14.25" customHeight="1" x14ac:dyDescent="0.25">
      <c r="A26" s="194" t="str">
        <f ca="1">IF(SUM('Concrete Plant (CP-1)'!Q35,'Concrete Plant (CP-2)'!Q36,'Concrete Plant (CP-3)'!Q36,'Concrete Plant (CP-4)'!Q36,'Concrete Plant (CP-5)'!Q36,'Concrete Plant (CP-6)'!Q36,'Concrete Plant (CP-7)'!Q36,'Concrete Plant (CP-8)'!Q36,'Concrete Plant (CP-9)'!Q36,'Concrete Plant (CP-10)'!Q35)&gt;0,"ALL","")</f>
        <v/>
      </c>
      <c r="B26" s="195" t="str">
        <f ca="1">IF(SUM('Concrete Plant (CP-1)'!Q35,'Concrete Plant (CP-2)'!Q36,'Concrete Plant (CP-3)'!Q36,'Concrete Plant (CP-4)'!Q36,'Concrete Plant (CP-5)'!Q36,'Concrete Plant (CP-6)'!Q36,'Concrete Plant (CP-7)'!Q36,'Concrete Plant (CP-8)'!Q36,'Concrete Plant (CP-9)'!Q36,'Concrete Plant (CP-10)'!Q35)&gt;0,"Sand Delivery to Ground Storage","")</f>
        <v/>
      </c>
      <c r="C26" s="195" t="str">
        <f ca="1">IF(B26="","","30501122")</f>
        <v/>
      </c>
      <c r="D26" s="194" t="str">
        <f ca="1">IF(SUM('Concrete Plant (CP-1)'!Q35,'Concrete Plant (CP-2)'!Q36,'Concrete Plant (CP-3)'!Q36,'Concrete Plant (CP-4)'!Q36,'Concrete Plant (CP-5)'!Q36,'Concrete Plant (CP-6)'!Q36,'Concrete Plant (CP-7)'!Q36,'Concrete Plant (CP-8)'!Q36,'Concrete Plant (CP-9)'!Q36,'Concrete Plant (CP-10)'!Q35)&gt;0,SUM('Concrete Plant (CP-1)'!Q35,'Concrete Plant (CP-2)'!Q36,'Concrete Plant (CP-3)'!Q36,'Concrete Plant (CP-4)'!Q36,'Concrete Plant (CP-5)'!Q36,'Concrete Plant (CP-6)'!Q36,'Concrete Plant (CP-7)'!Q36,'Concrete Plant (CP-8)'!Q36,'Concrete Plant (CP-9)'!Q36,'Concrete Plant (CP-10)'!Q35),"")</f>
        <v/>
      </c>
      <c r="E26" s="194" t="str">
        <f t="shared" ref="E26:E35" ca="1" si="2">IF(B26="","","cubic yd/hr")</f>
        <v/>
      </c>
      <c r="F26" s="196" t="str">
        <f ca="1">IF(B26="","",LOOKUP(B26,'Emission Factors'!$A$5:$A$16,'Emission Factors'!$H$5:$H$16))</f>
        <v/>
      </c>
      <c r="G26" s="194" t="str">
        <f t="shared" ref="G26:G35" ca="1" si="3">IF(B26="","","lb/cubic yd")</f>
        <v/>
      </c>
      <c r="H26" s="150" t="str">
        <f ca="1">IF(B26="","",LOOKUP(B26,'Emission Factors'!$A$5:$A$16,'Emission Factors'!$J$5:$J$16))</f>
        <v/>
      </c>
      <c r="I26" s="198" t="str">
        <f ca="1">IF(D6="","",SUM('Concrete Plant (CP-1)'!S35,'Concrete Plant (CP-2)'!S36,'Concrete Plant (CP-3)'!S36,'Concrete Plant (CP-4)'!S36,'Concrete Plant (CP-5)'!S36,'Concrete Plant (CP-6)'!S36,'Concrete Plant (CP-7)'!S36,'Concrete Plant (CP-8)'!S36,'Concrete Plant (CP-8)'!S36,'Concrete Plant (CP-10)'!S35))</f>
        <v/>
      </c>
      <c r="J26" s="194"/>
      <c r="K26" s="198" t="str">
        <f ca="1">IF(D26="","",IF(SUM('Concrete Plant (CP-1)'!T35,'Concrete Plant (CP-2)'!T36,'Concrete Plant (CP-3)'!T36,'Concrete Plant (CP-4)'!T36,'Concrete Plant (CP-5)'!T36,'Concrete Plant (CP-6)'!T36,'Concrete Plant (CP-7)'!T36,'Concrete Plant (CP-8)'!T36,'Concrete Plant (CP-9)'!T36,'Concrete Plant (CP-10)'!T35)&gt;0,SUM('Concrete Plant (CP-1)'!T35,'Concrete Plant (CP-2)'!T36,'Concrete Plant (CP-3)'!T36,'Concrete Plant (CP-4)'!T36,'Concrete Plant (CP-5)'!T36,'Concrete Plant (CP-6)'!T36,'Concrete Plant (CP-7)'!T36,'Concrete Plant (CP-8)'!T36,'Concrete Plant (CP-9)'!T36,'Concrete Plant (CP-10)'!T35),""))</f>
        <v/>
      </c>
      <c r="L26" s="198" t="str">
        <f ca="1">IF(B26="","",SUM('Concrete Plant (CP-1)'!U35,'Concrete Plant (CP-2)'!U36,'Concrete Plant (CP-3)'!U36,'Concrete Plant (CP-4)'!U36,'Concrete Plant (CP-5)'!U36,'Concrete Plant (CP-6)'!U36,'Concrete Plant (CP-7)'!U36,'Concrete Plant (CP-8)'!U36,'Concrete Plant (CP-9)'!U36,'Concrete Plant (CP-10)'!U35))</f>
        <v/>
      </c>
      <c r="M26" s="198" t="str">
        <f ca="1">IF(B26="","",SUM('Concrete Plant (CP-1)'!V35,'Concrete Plant (CP-2)'!V36,'Concrete Plant (CP-3)'!V36,'Concrete Plant (CP-4)'!V36,'Concrete Plant (CP-5)'!V36,'Concrete Plant (CP-6)'!V36,'Concrete Plant (CP-7)'!V36,'Concrete Plant (CP-8)'!V36,'Concrete Plant (CP-9)'!V36,'Concrete Plant (CP-10)'!V35))</f>
        <v/>
      </c>
    </row>
    <row r="27" spans="1:13" s="193" customFormat="1" ht="14.25" customHeight="1" x14ac:dyDescent="0.25">
      <c r="A27" s="194" t="str">
        <f ca="1">IF(SUM('Concrete Plant (CP-1)'!Q36,'Concrete Plant (CP-2)'!Q37,'Concrete Plant (CP-3)'!Q37,'Concrete Plant (CP-4)'!Q37,'Concrete Plant (CP-5)'!Q37,'Concrete Plant (CP-6)'!Q37,'Concrete Plant (CP-7)'!Q37,'Concrete Plant (CP-8)'!Q37,'Concrete Plant (CP-9)'!Q37,'Concrete Plant (CP-10)'!Q36)&gt;0,"ALL","")</f>
        <v/>
      </c>
      <c r="B27" s="195" t="str">
        <f ca="1">IF(SUM('Concrete Plant (CP-1)'!Q36,'Concrete Plant (CP-2)'!Q37,'Concrete Plant (CP-3)'!Q37,'Concrete Plant (CP-4)'!Q37,'Concrete Plant (CP-5)'!Q37,'Concrete Plant (CP-6)'!Q37,'Concrete Plant (CP-7)'!Q37,'Concrete Plant (CP-8)'!Q37,'Concrete Plant (CP-9)'!Q37,'Concrete Plant (CP-10)'!Q36)&gt;0,"Aggregate Transfer to Conveyor","")</f>
        <v/>
      </c>
      <c r="C27" s="195" t="str">
        <f ca="1">IF(B27="","","30501123")</f>
        <v/>
      </c>
      <c r="D27" s="194" t="str">
        <f ca="1">IF(SUM('Concrete Plant (CP-1)'!Q36,'Concrete Plant (CP-2)'!Q37,'Concrete Plant (CP-3)'!Q37,'Concrete Plant (CP-4)'!Q37,'Concrete Plant (CP-5)'!Q37,'Concrete Plant (CP-6)'!Q37,'Concrete Plant (CP-7)'!Q37,'Concrete Plant (CP-8)'!Q37,'Concrete Plant (CP-9)'!Q37,'Concrete Plant (CP-10)'!Q36)&gt;0,SUM('Concrete Plant (CP-1)'!Q36,'Concrete Plant (CP-2)'!Q37,'Concrete Plant (CP-3)'!Q37,'Concrete Plant (CP-4)'!Q37,'Concrete Plant (CP-5)'!Q37,'Concrete Plant (CP-6)'!Q37,'Concrete Plant (CP-7)'!Q37,'Concrete Plant (CP-8)'!Q37,'Concrete Plant (CP-9)'!Q37,'Concrete Plant (CP-10)'!Q36),"")</f>
        <v/>
      </c>
      <c r="E27" s="194" t="str">
        <f t="shared" ca="1" si="2"/>
        <v/>
      </c>
      <c r="F27" s="196" t="str">
        <f ca="1">IF(B27="","",LOOKUP(B27,'Emission Factors'!$A$5:$A$16,'Emission Factors'!$H$5:$H$16))</f>
        <v/>
      </c>
      <c r="G27" s="194" t="str">
        <f t="shared" ca="1" si="3"/>
        <v/>
      </c>
      <c r="H27" s="150" t="str">
        <f ca="1">IF(B27="","",LOOKUP(B27,'Emission Factors'!$A$5:$A$16,'Emission Factors'!$J$5:$J$16))</f>
        <v/>
      </c>
      <c r="I27" s="198" t="str">
        <f ca="1">IF(D7="","",SUM('Concrete Plant (CP-1)'!S36,'Concrete Plant (CP-2)'!S37,'Concrete Plant (CP-3)'!S37,'Concrete Plant (CP-4)'!S37,'Concrete Plant (CP-5)'!S37,'Concrete Plant (CP-6)'!S37,'Concrete Plant (CP-7)'!S37,'Concrete Plant (CP-8)'!S37,'Concrete Plant (CP-8)'!S37,'Concrete Plant (CP-10)'!S36))</f>
        <v/>
      </c>
      <c r="J27" s="194"/>
      <c r="K27" s="198" t="str">
        <f ca="1">IF(D27="","",IF(SUM('Concrete Plant (CP-1)'!T36,'Concrete Plant (CP-2)'!T37,'Concrete Plant (CP-3)'!T37,'Concrete Plant (CP-4)'!T37,'Concrete Plant (CP-5)'!T37,'Concrete Plant (CP-6)'!T37,'Concrete Plant (CP-7)'!T37,'Concrete Plant (CP-8)'!T37,'Concrete Plant (CP-9)'!T37,'Concrete Plant (CP-10)'!T36)&gt;0,SUM('Concrete Plant (CP-1)'!T36,'Concrete Plant (CP-2)'!T37,'Concrete Plant (CP-3)'!T37,'Concrete Plant (CP-4)'!T37,'Concrete Plant (CP-5)'!T37,'Concrete Plant (CP-6)'!T37,'Concrete Plant (CP-7)'!T37,'Concrete Plant (CP-8)'!T37,'Concrete Plant (CP-9)'!T37,'Concrete Plant (CP-10)'!T36),""))</f>
        <v/>
      </c>
      <c r="L27" s="198" t="str">
        <f ca="1">IF(B27="","",SUM('Concrete Plant (CP-1)'!U36,'Concrete Plant (CP-2)'!U37,'Concrete Plant (CP-3)'!U37,'Concrete Plant (CP-4)'!U37,'Concrete Plant (CP-5)'!U37,'Concrete Plant (CP-6)'!U37,'Concrete Plant (CP-7)'!U37,'Concrete Plant (CP-8)'!U37,'Concrete Plant (CP-9)'!U37,'Concrete Plant (CP-10)'!U36))</f>
        <v/>
      </c>
      <c r="M27" s="198" t="str">
        <f ca="1">IF(B27="","",SUM('Concrete Plant (CP-1)'!V36,'Concrete Plant (CP-2)'!V37,'Concrete Plant (CP-3)'!V37,'Concrete Plant (CP-4)'!V37,'Concrete Plant (CP-5)'!V37,'Concrete Plant (CP-6)'!V37,'Concrete Plant (CP-7)'!V37,'Concrete Plant (CP-8)'!V37,'Concrete Plant (CP-9)'!V37,'Concrete Plant (CP-10)'!V36))</f>
        <v/>
      </c>
    </row>
    <row r="28" spans="1:13" s="193" customFormat="1" ht="14.25" customHeight="1" x14ac:dyDescent="0.25">
      <c r="A28" s="194" t="str">
        <f ca="1">IF(SUM('Concrete Plant (CP-1)'!Q37,'Concrete Plant (CP-2)'!Q38,'Concrete Plant (CP-3)'!Q38,'Concrete Plant (CP-4)'!Q38,'Concrete Plant (CP-5)'!Q38,'Concrete Plant (CP-6)'!Q38,'Concrete Plant (CP-7)'!Q38,'Concrete Plant (CP-8)'!Q38,'Concrete Plant (CP-9)'!Q38,'Concrete Plant (CP-10)'!Q37)&gt;0,"ALL","")</f>
        <v/>
      </c>
      <c r="B28" s="195" t="str">
        <f ca="1">IF(SUM('Concrete Plant (CP-1)'!Q37,'Concrete Plant (CP-2)'!Q38,'Concrete Plant (CP-3)'!Q38,'Concrete Plant (CP-4)'!Q38,'Concrete Plant (CP-5)'!Q38,'Concrete Plant (CP-6)'!Q38,'Concrete Plant (CP-7)'!Q38,'Concrete Plant (CP-8)'!Q38,'Concrete Plant (CP-9)'!Q38,'Concrete Plant (CP-10)'!Q37)&gt;0,"Sand Transfer to Conveyor","")</f>
        <v/>
      </c>
      <c r="C28" s="195" t="str">
        <f ca="1">IF(B28="","","30501124")</f>
        <v/>
      </c>
      <c r="D28" s="194" t="str">
        <f ca="1">IF(SUM('Concrete Plant (CP-1)'!Q37,'Concrete Plant (CP-2)'!Q38,'Concrete Plant (CP-3)'!Q38,'Concrete Plant (CP-4)'!Q38,'Concrete Plant (CP-5)'!Q38,'Concrete Plant (CP-6)'!Q38,'Concrete Plant (CP-7)'!Q38,'Concrete Plant (CP-8)'!Q38,'Concrete Plant (CP-9)'!Q38,'Concrete Plant (CP-10)'!Q37)&gt;0,SUM('Concrete Plant (CP-1)'!Q37,'Concrete Plant (CP-2)'!Q38,'Concrete Plant (CP-3)'!Q38,'Concrete Plant (CP-4)'!Q38,'Concrete Plant (CP-5)'!Q38,'Concrete Plant (CP-6)'!Q38,'Concrete Plant (CP-7)'!Q38,'Concrete Plant (CP-8)'!Q38,'Concrete Plant (CP-9)'!Q38,'Concrete Plant (CP-10)'!Q37),"")</f>
        <v/>
      </c>
      <c r="E28" s="194" t="str">
        <f t="shared" ca="1" si="2"/>
        <v/>
      </c>
      <c r="F28" s="196" t="str">
        <f ca="1">IF(B28="","",LOOKUP(B28,'Emission Factors'!$A$5:$A$16,'Emission Factors'!$H$5:$H$16))</f>
        <v/>
      </c>
      <c r="G28" s="194" t="str">
        <f t="shared" ca="1" si="3"/>
        <v/>
      </c>
      <c r="H28" s="150" t="str">
        <f ca="1">IF(B28="","",LOOKUP(B28,'Emission Factors'!$A$5:$A$16,'Emission Factors'!$J$5:$J$16))</f>
        <v/>
      </c>
      <c r="I28" s="198" t="str">
        <f ca="1">IF(D8="","",SUM('Concrete Plant (CP-1)'!S37,'Concrete Plant (CP-2)'!S38,'Concrete Plant (CP-3)'!S38,'Concrete Plant (CP-4)'!S38,'Concrete Plant (CP-5)'!S38,'Concrete Plant (CP-6)'!S38,'Concrete Plant (CP-7)'!S38,'Concrete Plant (CP-8)'!S38,'Concrete Plant (CP-8)'!S38,'Concrete Plant (CP-10)'!S37))</f>
        <v/>
      </c>
      <c r="J28" s="194"/>
      <c r="K28" s="198" t="str">
        <f ca="1">IF(D28="","",IF(SUM('Concrete Plant (CP-1)'!T37,'Concrete Plant (CP-2)'!T38,'Concrete Plant (CP-3)'!T38,'Concrete Plant (CP-4)'!T38,'Concrete Plant (CP-5)'!T38,'Concrete Plant (CP-6)'!T38,'Concrete Plant (CP-7)'!T38,'Concrete Plant (CP-8)'!T38,'Concrete Plant (CP-9)'!T38,'Concrete Plant (CP-10)'!T37)&gt;0,SUM('Concrete Plant (CP-1)'!T37,'Concrete Plant (CP-2)'!T38,'Concrete Plant (CP-3)'!T38,'Concrete Plant (CP-4)'!T38,'Concrete Plant (CP-5)'!T38,'Concrete Plant (CP-6)'!T38,'Concrete Plant (CP-7)'!T38,'Concrete Plant (CP-8)'!T38,'Concrete Plant (CP-9)'!T38,'Concrete Plant (CP-10)'!T37),""))</f>
        <v/>
      </c>
      <c r="L28" s="198" t="str">
        <f ca="1">IF(B28="","",SUM('Concrete Plant (CP-1)'!U37,'Concrete Plant (CP-2)'!U38,'Concrete Plant (CP-3)'!U38,'Concrete Plant (CP-4)'!U38,'Concrete Plant (CP-5)'!U38,'Concrete Plant (CP-6)'!U38,'Concrete Plant (CP-7)'!U38,'Concrete Plant (CP-8)'!U38,'Concrete Plant (CP-9)'!U38,'Concrete Plant (CP-10)'!U37))</f>
        <v/>
      </c>
      <c r="M28" s="198" t="str">
        <f ca="1">IF(B28="","",SUM('Concrete Plant (CP-1)'!V37,'Concrete Plant (CP-2)'!V38,'Concrete Plant (CP-3)'!V38,'Concrete Plant (CP-4)'!V38,'Concrete Plant (CP-5)'!V38,'Concrete Plant (CP-6)'!V38,'Concrete Plant (CP-7)'!V38,'Concrete Plant (CP-8)'!V38,'Concrete Plant (CP-9)'!V38,'Concrete Plant (CP-10)'!V37))</f>
        <v/>
      </c>
    </row>
    <row r="29" spans="1:13" s="193" customFormat="1" ht="14.25" customHeight="1" x14ac:dyDescent="0.25">
      <c r="A29" s="194" t="str">
        <f ca="1">IF(SUM('Concrete Plant (CP-1)'!Q38,'Concrete Plant (CP-2)'!Q39,'Concrete Plant (CP-3)'!Q39,'Concrete Plant (CP-4)'!Q39,'Concrete Plant (CP-5)'!Q39,'Concrete Plant (CP-6)'!Q39,'Concrete Plant (CP-7)'!Q39,'Concrete Plant (CP-8)'!Q39,'Concrete Plant (CP-9)'!Q39,'Concrete Plant (CP-10)'!Q38)&gt;0,"ALL","")</f>
        <v/>
      </c>
      <c r="B29" s="195" t="str">
        <f ca="1">IF(SUM('Concrete Plant (CP-1)'!Q38,'Concrete Plant (CP-2)'!Q39,'Concrete Plant (CP-3)'!Q39,'Concrete Plant (CP-4)'!Q39,'Concrete Plant (CP-5)'!Q39,'Concrete Plant (CP-6)'!Q39,'Concrete Plant (CP-7)'!Q39,'Concrete Plant (CP-8)'!Q39,'Concrete Plant (CP-9)'!Q39,'Concrete Plant (CP-10)'!Q38)&gt;0,"Aggregate Transfer to Elevated Storage","")</f>
        <v/>
      </c>
      <c r="C29" s="195" t="str">
        <f ca="1">IF(B29="","","30501104")</f>
        <v/>
      </c>
      <c r="D29" s="194" t="str">
        <f ca="1">IF(SUM('Concrete Plant (CP-1)'!Q38,'Concrete Plant (CP-2)'!Q39,'Concrete Plant (CP-3)'!Q39,'Concrete Plant (CP-4)'!Q39,'Concrete Plant (CP-5)'!Q39,'Concrete Plant (CP-6)'!Q39,'Concrete Plant (CP-7)'!Q39,'Concrete Plant (CP-8)'!Q39,'Concrete Plant (CP-9)'!Q39,'Concrete Plant (CP-10)'!Q38)&gt;0,SUM('Concrete Plant (CP-1)'!Q38,'Concrete Plant (CP-2)'!Q39,'Concrete Plant (CP-3)'!Q39,'Concrete Plant (CP-4)'!Q39,'Concrete Plant (CP-5)'!Q39,'Concrete Plant (CP-6)'!Q39,'Concrete Plant (CP-7)'!Q39,'Concrete Plant (CP-8)'!Q39,'Concrete Plant (CP-9)'!Q39,'Concrete Plant (CP-10)'!Q38),"")</f>
        <v/>
      </c>
      <c r="E29" s="194" t="str">
        <f t="shared" ca="1" si="2"/>
        <v/>
      </c>
      <c r="F29" s="196" t="str">
        <f ca="1">IF(B29="","",LOOKUP(B29,'Emission Factors'!$A$5:$A$16,'Emission Factors'!$H$5:$H$16))</f>
        <v/>
      </c>
      <c r="G29" s="194" t="str">
        <f t="shared" ca="1" si="3"/>
        <v/>
      </c>
      <c r="H29" s="150" t="str">
        <f ca="1">IF(B29="","",LOOKUP(B29,'Emission Factors'!$A$5:$A$16,'Emission Factors'!$J$5:$J$16))</f>
        <v/>
      </c>
      <c r="I29" s="198" t="str">
        <f ca="1">IF(D9="","",SUM('Concrete Plant (CP-1)'!S38,'Concrete Plant (CP-2)'!S39,'Concrete Plant (CP-3)'!S39,'Concrete Plant (CP-4)'!S39,'Concrete Plant (CP-5)'!S39,'Concrete Plant (CP-6)'!S39,'Concrete Plant (CP-7)'!S39,'Concrete Plant (CP-8)'!S39,'Concrete Plant (CP-8)'!S39,'Concrete Plant (CP-10)'!S38))</f>
        <v/>
      </c>
      <c r="J29" s="194"/>
      <c r="K29" s="198" t="str">
        <f ca="1">IF(D29="","",IF(SUM('Concrete Plant (CP-1)'!T38,'Concrete Plant (CP-2)'!T39,'Concrete Plant (CP-3)'!T39,'Concrete Plant (CP-4)'!T39,'Concrete Plant (CP-5)'!T39,'Concrete Plant (CP-6)'!T39,'Concrete Plant (CP-7)'!T39,'Concrete Plant (CP-8)'!T39,'Concrete Plant (CP-9)'!T39,'Concrete Plant (CP-10)'!T38)&gt;0,SUM('Concrete Plant (CP-1)'!T38,'Concrete Plant (CP-2)'!T39,'Concrete Plant (CP-3)'!T39,'Concrete Plant (CP-4)'!T39,'Concrete Plant (CP-5)'!T39,'Concrete Plant (CP-6)'!T39,'Concrete Plant (CP-7)'!T39,'Concrete Plant (CP-8)'!T39,'Concrete Plant (CP-9)'!T39,'Concrete Plant (CP-10)'!T38),""))</f>
        <v/>
      </c>
      <c r="L29" s="198" t="str">
        <f ca="1">IF(B29="","",SUM('Concrete Plant (CP-1)'!U38,'Concrete Plant (CP-2)'!U39,'Concrete Plant (CP-3)'!U39,'Concrete Plant (CP-4)'!U39,'Concrete Plant (CP-5)'!U39,'Concrete Plant (CP-6)'!U39,'Concrete Plant (CP-7)'!U39,'Concrete Plant (CP-8)'!U39,'Concrete Plant (CP-9)'!U39,'Concrete Plant (CP-10)'!U38))</f>
        <v/>
      </c>
      <c r="M29" s="198" t="str">
        <f ca="1">IF(B29="","",SUM('Concrete Plant (CP-1)'!V38,'Concrete Plant (CP-2)'!V39,'Concrete Plant (CP-3)'!V39,'Concrete Plant (CP-4)'!V39,'Concrete Plant (CP-5)'!V39,'Concrete Plant (CP-6)'!V39,'Concrete Plant (CP-7)'!V39,'Concrete Plant (CP-8)'!V39,'Concrete Plant (CP-9)'!V39,'Concrete Plant (CP-10)'!V38))</f>
        <v/>
      </c>
    </row>
    <row r="30" spans="1:13" s="193" customFormat="1" ht="14.25" customHeight="1" x14ac:dyDescent="0.25">
      <c r="A30" s="194" t="str">
        <f ca="1">IF(SUM('Concrete Plant (CP-1)'!Q39,'Concrete Plant (CP-2)'!Q40,'Concrete Plant (CP-3)'!Q40,'Concrete Plant (CP-4)'!Q40,'Concrete Plant (CP-5)'!Q40,'Concrete Plant (CP-6)'!Q40,'Concrete Plant (CP-7)'!Q40,'Concrete Plant (CP-8)'!Q40,'Concrete Plant (CP-9)'!Q40,'Concrete Plant (CP-10)'!Q39)&gt;0,"ALL","")</f>
        <v/>
      </c>
      <c r="B30" s="195" t="str">
        <f ca="1">IF(SUM('Concrete Plant (CP-1)'!Q39,'Concrete Plant (CP-2)'!Q40,'Concrete Plant (CP-3)'!Q40,'Concrete Plant (CP-4)'!Q40,'Concrete Plant (CP-5)'!Q40,'Concrete Plant (CP-6)'!Q40,'Concrete Plant (CP-7)'!Q40,'Concrete Plant (CP-8)'!Q40,'Concrete Plant (CP-9)'!Q40,'Concrete Plant (CP-10)'!Q39)&gt;0,"Sand Transfer to Elevated Storage","")</f>
        <v/>
      </c>
      <c r="C30" s="195" t="str">
        <f ca="1">IF(B30="","","30501105")</f>
        <v/>
      </c>
      <c r="D30" s="194" t="str">
        <f ca="1">IF(SUM('Concrete Plant (CP-1)'!Q39,'Concrete Plant (CP-2)'!Q40,'Concrete Plant (CP-3)'!Q40,'Concrete Plant (CP-4)'!Q40,'Concrete Plant (CP-5)'!Q40,'Concrete Plant (CP-6)'!Q40,'Concrete Plant (CP-7)'!Q40,'Concrete Plant (CP-8)'!Q40,'Concrete Plant (CP-9)'!Q40,'Concrete Plant (CP-10)'!Q39)&gt;0,SUM('Concrete Plant (CP-1)'!Q39,'Concrete Plant (CP-2)'!Q40,'Concrete Plant (CP-3)'!Q40,'Concrete Plant (CP-4)'!Q40,'Concrete Plant (CP-5)'!Q40,'Concrete Plant (CP-6)'!Q40,'Concrete Plant (CP-7)'!Q40,'Concrete Plant (CP-8)'!Q40,'Concrete Plant (CP-9)'!Q40,'Concrete Plant (CP-10)'!Q39),"")</f>
        <v/>
      </c>
      <c r="E30" s="194" t="str">
        <f t="shared" ca="1" si="2"/>
        <v/>
      </c>
      <c r="F30" s="196" t="str">
        <f ca="1">IF(B30="","",LOOKUP(B30,'Emission Factors'!$A$5:$A$16,'Emission Factors'!$H$5:$H$16))</f>
        <v/>
      </c>
      <c r="G30" s="194" t="str">
        <f t="shared" ca="1" si="3"/>
        <v/>
      </c>
      <c r="H30" s="150" t="str">
        <f ca="1">IF(B30="","",LOOKUP(B30,'Emission Factors'!$A$5:$A$16,'Emission Factors'!$J$5:$J$16))</f>
        <v/>
      </c>
      <c r="I30" s="198" t="str">
        <f ca="1">IF(D10="","",SUM('Concrete Plant (CP-1)'!S39,'Concrete Plant (CP-2)'!S40,'Concrete Plant (CP-3)'!S40,'Concrete Plant (CP-4)'!S40,'Concrete Plant (CP-5)'!S40,'Concrete Plant (CP-6)'!S40,'Concrete Plant (CP-7)'!S40,'Concrete Plant (CP-8)'!S40,'Concrete Plant (CP-8)'!S40,'Concrete Plant (CP-10)'!S39))</f>
        <v/>
      </c>
      <c r="J30" s="194"/>
      <c r="K30" s="198" t="str">
        <f ca="1">IF(D30="","",IF(SUM('Concrete Plant (CP-1)'!T39,'Concrete Plant (CP-2)'!T40,'Concrete Plant (CP-3)'!T40,'Concrete Plant (CP-4)'!T40,'Concrete Plant (CP-5)'!T40,'Concrete Plant (CP-6)'!T40,'Concrete Plant (CP-7)'!T40,'Concrete Plant (CP-8)'!T40,'Concrete Plant (CP-9)'!T40,'Concrete Plant (CP-10)'!T39)&gt;0,SUM('Concrete Plant (CP-1)'!T39,'Concrete Plant (CP-2)'!T40,'Concrete Plant (CP-3)'!T40,'Concrete Plant (CP-4)'!T40,'Concrete Plant (CP-5)'!T40,'Concrete Plant (CP-6)'!T40,'Concrete Plant (CP-7)'!T40,'Concrete Plant (CP-8)'!T40,'Concrete Plant (CP-9)'!T40,'Concrete Plant (CP-10)'!T39),""))</f>
        <v/>
      </c>
      <c r="L30" s="198" t="str">
        <f ca="1">IF(B30="","",SUM('Concrete Plant (CP-1)'!U39,'Concrete Plant (CP-2)'!U40,'Concrete Plant (CP-3)'!U40,'Concrete Plant (CP-4)'!U40,'Concrete Plant (CP-5)'!U40,'Concrete Plant (CP-6)'!U40,'Concrete Plant (CP-7)'!U40,'Concrete Plant (CP-8)'!U40,'Concrete Plant (CP-9)'!U40,'Concrete Plant (CP-10)'!U39))</f>
        <v/>
      </c>
      <c r="M30" s="198" t="str">
        <f ca="1">IF(B30="","",SUM('Concrete Plant (CP-1)'!V39,'Concrete Plant (CP-2)'!V40,'Concrete Plant (CP-3)'!V40,'Concrete Plant (CP-4)'!V40,'Concrete Plant (CP-5)'!V40,'Concrete Plant (CP-6)'!V40,'Concrete Plant (CP-7)'!V40,'Concrete Plant (CP-8)'!V40,'Concrete Plant (CP-9)'!V40,'Concrete Plant (CP-10)'!V39))</f>
        <v/>
      </c>
    </row>
    <row r="31" spans="1:13" s="193" customFormat="1" ht="14.25" customHeight="1" x14ac:dyDescent="0.25">
      <c r="A31" s="194" t="str">
        <f ca="1">IF(SUM('Concrete Plant (CP-1)'!Q40,'Concrete Plant (CP-2)'!Q41,'Concrete Plant (CP-3)'!Q41,'Concrete Plant (CP-4)'!Q41,'Concrete Plant (CP-5)'!Q41,'Concrete Plant (CP-6)'!Q41,'Concrete Plant (CP-7)'!Q41,'Concrete Plant (CP-8)'!Q41,'Concrete Plant (CP-9)'!Q41,'Concrete Plant (CP-10)'!Q40)&gt;0,"ALL","")</f>
        <v/>
      </c>
      <c r="B31" s="195" t="str">
        <f ca="1">IF(SUM('Concrete Plant (CP-1)'!Q40,'Concrete Plant (CP-2)'!Q41,'Concrete Plant (CP-3)'!Q41,'Concrete Plant (CP-4)'!Q41,'Concrete Plant (CP-5)'!Q41,'Concrete Plant (CP-6)'!Q41,'Concrete Plant (CP-7)'!Q41,'Concrete Plant (CP-8)'!Q41,'Concrete Plant (CP-9)'!Q41,'Concrete Plant (CP-10)'!Q40)&gt;0,"Weigh Hopper Loading","")</f>
        <v/>
      </c>
      <c r="C31" s="195" t="str">
        <f ca="1">IF(B31="","","30501108")</f>
        <v/>
      </c>
      <c r="D31" s="194" t="str">
        <f ca="1">IF(SUM('Concrete Plant (CP-1)'!Q40,'Concrete Plant (CP-2)'!Q41,'Concrete Plant (CP-3)'!Q41,'Concrete Plant (CP-4)'!Q41,'Concrete Plant (CP-5)'!Q41,'Concrete Plant (CP-6)'!Q41,'Concrete Plant (CP-7)'!Q41,'Concrete Plant (CP-8)'!Q41,'Concrete Plant (CP-9)'!Q41,'Concrete Plant (CP-10)'!Q40)&gt;0,SUM('Concrete Plant (CP-1)'!Q40,'Concrete Plant (CP-2)'!Q41,'Concrete Plant (CP-3)'!Q41,'Concrete Plant (CP-4)'!Q41,'Concrete Plant (CP-5)'!Q41,'Concrete Plant (CP-6)'!Q41,'Concrete Plant (CP-7)'!Q41,'Concrete Plant (CP-8)'!Q41,'Concrete Plant (CP-9)'!Q41,'Concrete Plant (CP-10)'!Q40),"")</f>
        <v/>
      </c>
      <c r="E31" s="194" t="str">
        <f t="shared" ca="1" si="2"/>
        <v/>
      </c>
      <c r="F31" s="196" t="str">
        <f ca="1">IF(B31="","",LOOKUP(B31,'Emission Factors'!$A$5:$A$16,'Emission Factors'!$H$5:$H$16))</f>
        <v/>
      </c>
      <c r="G31" s="194" t="str">
        <f t="shared" ca="1" si="3"/>
        <v/>
      </c>
      <c r="H31" s="150" t="str">
        <f ca="1">IF(B31="","",LOOKUP(B31,'Emission Factors'!$A$5:$A$16,'Emission Factors'!$J$5:$J$16))</f>
        <v/>
      </c>
      <c r="I31" s="198" t="str">
        <f ca="1">IF(D11="","",SUM('Concrete Plant (CP-1)'!S40,'Concrete Plant (CP-2)'!S41,'Concrete Plant (CP-3)'!S41,'Concrete Plant (CP-4)'!S41,'Concrete Plant (CP-5)'!S41,'Concrete Plant (CP-6)'!S41,'Concrete Plant (CP-7)'!S41,'Concrete Plant (CP-8)'!S41,'Concrete Plant (CP-8)'!S41,'Concrete Plant (CP-10)'!S40))</f>
        <v/>
      </c>
      <c r="J31" s="194"/>
      <c r="K31" s="198" t="str">
        <f ca="1">IF(D31="","",IF(SUM('Concrete Plant (CP-1)'!T40,'Concrete Plant (CP-2)'!T41,'Concrete Plant (CP-3)'!T41,'Concrete Plant (CP-4)'!T41,'Concrete Plant (CP-5)'!T41,'Concrete Plant (CP-6)'!T41,'Concrete Plant (CP-7)'!T41,'Concrete Plant (CP-8)'!T41,'Concrete Plant (CP-9)'!T41,'Concrete Plant (CP-10)'!T40)&gt;0,SUM('Concrete Plant (CP-1)'!T40,'Concrete Plant (CP-2)'!T41,'Concrete Plant (CP-3)'!T41,'Concrete Plant (CP-4)'!T41,'Concrete Plant (CP-5)'!T41,'Concrete Plant (CP-6)'!T41,'Concrete Plant (CP-7)'!T41,'Concrete Plant (CP-8)'!T41,'Concrete Plant (CP-9)'!T41,'Concrete Plant (CP-10)'!T40),""))</f>
        <v/>
      </c>
      <c r="L31" s="198" t="str">
        <f ca="1">IF(B31="","",SUM('Concrete Plant (CP-1)'!U40,'Concrete Plant (CP-2)'!U41,'Concrete Plant (CP-3)'!U41,'Concrete Plant (CP-4)'!U41,'Concrete Plant (CP-5)'!U41,'Concrete Plant (CP-6)'!U41,'Concrete Plant (CP-7)'!U41,'Concrete Plant (CP-8)'!U41,'Concrete Plant (CP-9)'!U41,'Concrete Plant (CP-10)'!U40))</f>
        <v/>
      </c>
      <c r="M31" s="198" t="str">
        <f ca="1">IF(B31="","",SUM('Concrete Plant (CP-1)'!V40,'Concrete Plant (CP-2)'!V41,'Concrete Plant (CP-3)'!V41,'Concrete Plant (CP-4)'!V41,'Concrete Plant (CP-5)'!V41,'Concrete Plant (CP-6)'!V41,'Concrete Plant (CP-7)'!V41,'Concrete Plant (CP-8)'!V41,'Concrete Plant (CP-9)'!V41,'Concrete Plant (CP-10)'!V40))</f>
        <v/>
      </c>
    </row>
    <row r="32" spans="1:13" s="193" customFormat="1" ht="14.25" customHeight="1" x14ac:dyDescent="0.25">
      <c r="A32" s="194" t="str">
        <f ca="1">IF(SUM('Concrete Plant (CP-1)'!Q41,'Concrete Plant (CP-2)'!Q42,'Concrete Plant (CP-3)'!Q42,'Concrete Plant (CP-4)'!Q42,'Concrete Plant (CP-5)'!Q42,'Concrete Plant (CP-6)'!Q42,'Concrete Plant (CP-7)'!Q42,'Concrete Plant (CP-8)'!Q42,'Concrete Plant (CP-9)'!Q42,'Concrete Plant (CP-10)'!Q41)&gt;0,"ALL","")</f>
        <v/>
      </c>
      <c r="B32" s="195" t="str">
        <f ca="1">IF(SUM('Concrete Plant (CP-1)'!Q41,'Concrete Plant (CP-2)'!Q42,'Concrete Plant (CP-3)'!Q42,'Concrete Plant (CP-4)'!Q42,'Concrete Plant (CP-5)'!Q42,'Concrete Plant (CP-6)'!Q42,'Concrete Plant (CP-7)'!Q42,'Concrete Plant (CP-8)'!Q42,'Concrete Plant (CP-9)'!Q42,'Concrete Plant (CP-10)'!Q41)&gt;0,"Central Mix Loading","")</f>
        <v/>
      </c>
      <c r="C32" s="195" t="str">
        <f ca="1">IF(B32="","","30501109")</f>
        <v/>
      </c>
      <c r="D32" s="194" t="str">
        <f ca="1">IF(SUM('Concrete Plant (CP-1)'!Q41,'Concrete Plant (CP-2)'!Q42,'Concrete Plant (CP-3)'!Q42,'Concrete Plant (CP-4)'!Q42,'Concrete Plant (CP-5)'!Q42,'Concrete Plant (CP-6)'!Q42,'Concrete Plant (CP-7)'!Q42,'Concrete Plant (CP-8)'!Q42,'Concrete Plant (CP-9)'!Q42,'Concrete Plant (CP-10)'!Q41)&gt;0,SUM('Concrete Plant (CP-1)'!Q41,'Concrete Plant (CP-2)'!Q42,'Concrete Plant (CP-3)'!Q42,'Concrete Plant (CP-4)'!Q42,'Concrete Plant (CP-5)'!Q42,'Concrete Plant (CP-6)'!Q42,'Concrete Plant (CP-7)'!Q42,'Concrete Plant (CP-8)'!Q42,'Concrete Plant (CP-9)'!Q42,'Concrete Plant (CP-10)'!Q41),"")</f>
        <v/>
      </c>
      <c r="E32" s="194" t="str">
        <f t="shared" ca="1" si="2"/>
        <v/>
      </c>
      <c r="F32" s="196" t="str">
        <f ca="1">IF(B32="","",LOOKUP(B32,'Emission Factors'!$A$5:$A$16,'Emission Factors'!$H$5:$H$16))</f>
        <v/>
      </c>
      <c r="G32" s="194" t="str">
        <f t="shared" ca="1" si="3"/>
        <v/>
      </c>
      <c r="H32" s="150" t="str">
        <f ca="1">IF(B32="","",LOOKUP(B32,'Emission Factors'!$A$5:$A$16,'Emission Factors'!$J$5:$J$16))</f>
        <v/>
      </c>
      <c r="I32" s="198" t="str">
        <f ca="1">IF(D12="","",SUM('Concrete Plant (CP-1)'!S41,'Concrete Plant (CP-2)'!S42,'Concrete Plant (CP-3)'!S42,'Concrete Plant (CP-4)'!S42,'Concrete Plant (CP-5)'!S42,'Concrete Plant (CP-6)'!S42,'Concrete Plant (CP-7)'!S42,'Concrete Plant (CP-8)'!S42,'Concrete Plant (CP-8)'!S42,'Concrete Plant (CP-10)'!S41))</f>
        <v/>
      </c>
      <c r="J32" s="194"/>
      <c r="K32" s="198" t="str">
        <f ca="1">IF(D32="","",IF(SUM('Concrete Plant (CP-1)'!T41,'Concrete Plant (CP-2)'!T42,'Concrete Plant (CP-3)'!T42,'Concrete Plant (CP-4)'!T42,'Concrete Plant (CP-5)'!T42,'Concrete Plant (CP-6)'!T42,'Concrete Plant (CP-7)'!T42,'Concrete Plant (CP-8)'!T42,'Concrete Plant (CP-9)'!T42,'Concrete Plant (CP-10)'!T41)&gt;0,SUM('Concrete Plant (CP-1)'!T41,'Concrete Plant (CP-2)'!T42,'Concrete Plant (CP-3)'!T42,'Concrete Plant (CP-4)'!T42,'Concrete Plant (CP-5)'!T42,'Concrete Plant (CP-6)'!T42,'Concrete Plant (CP-7)'!T42,'Concrete Plant (CP-8)'!T42,'Concrete Plant (CP-9)'!T42,'Concrete Plant (CP-10)'!T41),""))</f>
        <v/>
      </c>
      <c r="L32" s="198" t="str">
        <f ca="1">IF(B32="","",SUM('Concrete Plant (CP-1)'!U41,'Concrete Plant (CP-2)'!U42,'Concrete Plant (CP-3)'!U42,'Concrete Plant (CP-4)'!U42,'Concrete Plant (CP-5)'!U42,'Concrete Plant (CP-6)'!U42,'Concrete Plant (CP-7)'!U42,'Concrete Plant (CP-8)'!U42,'Concrete Plant (CP-9)'!U42,'Concrete Plant (CP-10)'!U41))</f>
        <v/>
      </c>
      <c r="M32" s="198" t="str">
        <f ca="1">IF(B32="","",SUM('Concrete Plant (CP-1)'!V41,'Concrete Plant (CP-2)'!V42,'Concrete Plant (CP-3)'!V42,'Concrete Plant (CP-4)'!V42,'Concrete Plant (CP-5)'!V42,'Concrete Plant (CP-6)'!V42,'Concrete Plant (CP-7)'!V42,'Concrete Plant (CP-8)'!V42,'Concrete Plant (CP-9)'!V42,'Concrete Plant (CP-10)'!V41))</f>
        <v/>
      </c>
    </row>
    <row r="33" spans="1:13" s="193" customFormat="1" ht="14.25" customHeight="1" x14ac:dyDescent="0.25">
      <c r="A33" s="194" t="str">
        <f ca="1">IF(SUM('Concrete Plant (CP-1)'!Q42,'Concrete Plant (CP-2)'!Q43,'Concrete Plant (CP-3)'!Q43,'Concrete Plant (CP-4)'!Q43,'Concrete Plant (CP-5)'!Q43,'Concrete Plant (CP-6)'!Q43,'Concrete Plant (CP-7)'!Q43,'Concrete Plant (CP-8)'!Q43,'Concrete Plant (CP-9)'!Q43,'Concrete Plant (CP-10)'!Q42)&gt;0,"ALL","")</f>
        <v/>
      </c>
      <c r="B33" s="195" t="str">
        <f ca="1">IF(SUM('Concrete Plant (CP-1)'!Q42,'Concrete Plant (CP-2)'!Q43,'Concrete Plant (CP-3)'!Q43,'Concrete Plant (CP-4)'!Q43,'Concrete Plant (CP-5)'!Q43,'Concrete Plant (CP-6)'!Q43,'Concrete Plant (CP-7)'!Q43,'Concrete Plant (CP-8)'!Q43,'Concrete Plant (CP-9)'!Q43,'Concrete Plant (CP-10)'!Q42)&gt;0,"Truck Mix Loading","")</f>
        <v/>
      </c>
      <c r="C33" s="195" t="str">
        <f ca="1">IF(B33="","","30501110")</f>
        <v/>
      </c>
      <c r="D33" s="194" t="str">
        <f ca="1">IF(SUM('Concrete Plant (CP-1)'!Q42,'Concrete Plant (CP-2)'!Q43,'Concrete Plant (CP-3)'!Q43,'Concrete Plant (CP-4)'!Q43,'Concrete Plant (CP-5)'!Q43,'Concrete Plant (CP-6)'!Q43,'Concrete Plant (CP-7)'!Q43,'Concrete Plant (CP-8)'!Q43,'Concrete Plant (CP-9)'!Q43,'Concrete Plant (CP-10)'!Q42)&gt;0,SUM('Concrete Plant (CP-1)'!Q42,'Concrete Plant (CP-2)'!Q43,'Concrete Plant (CP-3)'!Q43,'Concrete Plant (CP-4)'!Q43,'Concrete Plant (CP-5)'!Q43,'Concrete Plant (CP-6)'!Q43,'Concrete Plant (CP-7)'!Q43,'Concrete Plant (CP-8)'!Q43,'Concrete Plant (CP-9)'!Q43,'Concrete Plant (CP-10)'!Q42),"")</f>
        <v/>
      </c>
      <c r="E33" s="194" t="str">
        <f t="shared" ca="1" si="2"/>
        <v/>
      </c>
      <c r="F33" s="196" t="str">
        <f ca="1">IF(B33="","",LOOKUP(B33,'Emission Factors'!$A$5:$A$16,'Emission Factors'!$H$5:$H$16))</f>
        <v/>
      </c>
      <c r="G33" s="194" t="str">
        <f t="shared" ca="1" si="3"/>
        <v/>
      </c>
      <c r="H33" s="150" t="str">
        <f ca="1">IF(B33="","",LOOKUP(B33,'Emission Factors'!$A$5:$A$16,'Emission Factors'!$J$5:$J$16))</f>
        <v/>
      </c>
      <c r="I33" s="198" t="str">
        <f ca="1">IF(D13="","",SUM('Concrete Plant (CP-1)'!S42,'Concrete Plant (CP-2)'!S43,'Concrete Plant (CP-3)'!S43,'Concrete Plant (CP-4)'!S43,'Concrete Plant (CP-5)'!S43,'Concrete Plant (CP-6)'!S43,'Concrete Plant (CP-7)'!S43,'Concrete Plant (CP-8)'!S43,'Concrete Plant (CP-8)'!S43,'Concrete Plant (CP-10)'!S42))</f>
        <v/>
      </c>
      <c r="J33" s="205"/>
      <c r="K33" s="198" t="str">
        <f ca="1">IF(D33="","",IF(SUM('Concrete Plant (CP-1)'!T42,'Concrete Plant (CP-2)'!T43,'Concrete Plant (CP-3)'!T43,'Concrete Plant (CP-4)'!T43,'Concrete Plant (CP-5)'!T43,'Concrete Plant (CP-6)'!T43,'Concrete Plant (CP-7)'!T43,'Concrete Plant (CP-8)'!T43,'Concrete Plant (CP-9)'!T43,'Concrete Plant (CP-10)'!T42)&gt;0,SUM('Concrete Plant (CP-1)'!T42,'Concrete Plant (CP-2)'!T43,'Concrete Plant (CP-3)'!T43,'Concrete Plant (CP-4)'!T43,'Concrete Plant (CP-5)'!T43,'Concrete Plant (CP-6)'!T43,'Concrete Plant (CP-7)'!T43,'Concrete Plant (CP-8)'!T43,'Concrete Plant (CP-9)'!T43,'Concrete Plant (CP-10)'!T42),""))</f>
        <v/>
      </c>
      <c r="L33" s="198" t="str">
        <f ca="1">IF(B33="","",SUM('Concrete Plant (CP-1)'!U42,'Concrete Plant (CP-2)'!U43,'Concrete Plant (CP-3)'!U43,'Concrete Plant (CP-4)'!U43,'Concrete Plant (CP-5)'!U43,'Concrete Plant (CP-6)'!U43,'Concrete Plant (CP-7)'!U43,'Concrete Plant (CP-8)'!U43,'Concrete Plant (CP-9)'!U43,'Concrete Plant (CP-10)'!U42))</f>
        <v/>
      </c>
      <c r="M33" s="198" t="str">
        <f ca="1">IF(B33="","",SUM('Concrete Plant (CP-1)'!V42,'Concrete Plant (CP-2)'!V43,'Concrete Plant (CP-3)'!V43,'Concrete Plant (CP-4)'!V43,'Concrete Plant (CP-5)'!V43,'Concrete Plant (CP-6)'!V43,'Concrete Plant (CP-7)'!V43,'Concrete Plant (CP-8)'!V43,'Concrete Plant (CP-9)'!V43,'Concrete Plant (CP-10)'!V42))</f>
        <v/>
      </c>
    </row>
    <row r="34" spans="1:13" s="193" customFormat="1" ht="14.25" customHeight="1" x14ac:dyDescent="0.25">
      <c r="A34" s="194" t="str">
        <f ca="1">IF(SUM('Concrete Plant (CP-1)'!Q43,'Concrete Plant (CP-2)'!Q44,'Concrete Plant (CP-3)'!Q44,'Concrete Plant (CP-4)'!Q44,'Concrete Plant (CP-5)'!Q44,'Concrete Plant (CP-6)'!Q44,'Concrete Plant (CP-7)'!Q44,'Concrete Plant (CP-8)'!Q44,'Concrete Plant (CP-9)'!Q44,'Concrete Plant (CP-10)'!Q43)&gt;0,"ALL","")</f>
        <v/>
      </c>
      <c r="B34" s="195" t="str">
        <f ca="1">IF(SUM('Concrete Plant (CP-1)'!Q43,'Concrete Plant (CP-2)'!Q44,'Concrete Plant (CP-3)'!Q44,'Concrete Plant (CP-4)'!Q44,'Concrete Plant (CP-5)'!Q44,'Concrete Plant (CP-6)'!Q44,'Concrete Plant (CP-7)'!Q44,'Concrete Plant (CP-8)'!Q44,'Concrete Plant (CP-9)'!Q44,'Concrete Plant (CP-10)'!Q43)&gt;0,"Cement Delivery to Silo","")</f>
        <v/>
      </c>
      <c r="C34" s="195" t="str">
        <f ca="1">IF(B34="","","30501107")</f>
        <v/>
      </c>
      <c r="D34" s="194" t="str">
        <f ca="1">IF(SUM('Concrete Plant (CP-1)'!Q43,'Concrete Plant (CP-2)'!Q44,'Concrete Plant (CP-3)'!Q44,'Concrete Plant (CP-4)'!Q44,'Concrete Plant (CP-5)'!Q44,'Concrete Plant (CP-6)'!Q44,'Concrete Plant (CP-7)'!Q44,'Concrete Plant (CP-8)'!Q44,'Concrete Plant (CP-9)'!Q44,'Concrete Plant (CP-10)'!Q43)&gt;0,SUM('Concrete Plant (CP-1)'!Q43,'Concrete Plant (CP-2)'!Q44,'Concrete Plant (CP-3)'!Q44,'Concrete Plant (CP-4)'!Q44,'Concrete Plant (CP-5)'!Q44,'Concrete Plant (CP-6)'!Q44,'Concrete Plant (CP-7)'!Q44,'Concrete Plant (CP-8)'!Q44,'Concrete Plant (CP-9)'!Q44,'Concrete Plant (CP-10)'!Q43),"")</f>
        <v/>
      </c>
      <c r="E34" s="194" t="str">
        <f t="shared" ca="1" si="2"/>
        <v/>
      </c>
      <c r="F34" s="196" t="str">
        <f ca="1">IF(B34="","",LOOKUP(B34,'Emission Factors'!$A$5:$A$16,'Emission Factors'!$H$5:$H$16))</f>
        <v/>
      </c>
      <c r="G34" s="194" t="str">
        <f t="shared" ca="1" si="3"/>
        <v/>
      </c>
      <c r="H34" s="150" t="str">
        <f ca="1">IF(B34="","",LOOKUP(B34,'Emission Factors'!$A$5:$A$16,'Emission Factors'!$J$5:$J$16))</f>
        <v/>
      </c>
      <c r="I34" s="198"/>
      <c r="J34" s="199"/>
      <c r="K34" s="198" t="str">
        <f ca="1">IF(D34="","",IF(SUM('Concrete Plant (CP-1)'!T43,'Concrete Plant (CP-2)'!T44,'Concrete Plant (CP-3)'!T44,'Concrete Plant (CP-4)'!T44,'Concrete Plant (CP-5)'!T44,'Concrete Plant (CP-6)'!T44,'Concrete Plant (CP-7)'!T44,'Concrete Plant (CP-8)'!T44,'Concrete Plant (CP-9)'!T44,'Concrete Plant (CP-10)'!T43)&gt;0,SUM('Concrete Plant (CP-1)'!T43,'Concrete Plant (CP-2)'!T44,'Concrete Plant (CP-3)'!T44,'Concrete Plant (CP-4)'!T44,'Concrete Plant (CP-5)'!T44,'Concrete Plant (CP-6)'!T44,'Concrete Plant (CP-7)'!T44,'Concrete Plant (CP-8)'!T44,'Concrete Plant (CP-9)'!T44,'Concrete Plant (CP-10)'!T43),""))</f>
        <v/>
      </c>
      <c r="L34" s="198" t="str">
        <f ca="1">IF(B34="","",SUM('Concrete Plant (CP-1)'!U43,'Concrete Plant (CP-2)'!U44,'Concrete Plant (CP-3)'!U44,'Concrete Plant (CP-4)'!U44,'Concrete Plant (CP-5)'!U44,'Concrete Plant (CP-6)'!U44,'Concrete Plant (CP-7)'!U44,'Concrete Plant (CP-8)'!U44,'Concrete Plant (CP-9)'!U44,'Concrete Plant (CP-10)'!U43))</f>
        <v/>
      </c>
      <c r="M34" s="198" t="str">
        <f ca="1">IF(B34="","",SUM('Concrete Plant (CP-1)'!V43,'Concrete Plant (CP-2)'!V44,'Concrete Plant (CP-3)'!V44,'Concrete Plant (CP-4)'!V44,'Concrete Plant (CP-5)'!V44,'Concrete Plant (CP-6)'!V44,'Concrete Plant (CP-7)'!V44,'Concrete Plant (CP-8)'!V44,'Concrete Plant (CP-9)'!V44,'Concrete Plant (CP-10)'!V43))</f>
        <v/>
      </c>
    </row>
    <row r="35" spans="1:13" s="193" customFormat="1" ht="14.25" customHeight="1" x14ac:dyDescent="0.25">
      <c r="A35" s="194" t="str">
        <f ca="1">IF(SUM('Concrete Plant (CP-1)'!Q44,'Concrete Plant (CP-2)'!Q45,'Concrete Plant (CP-3)'!Q45,'Concrete Plant (CP-4)'!Q45,'Concrete Plant (CP-5)'!Q45,'Concrete Plant (CP-6)'!Q45,'Concrete Plant (CP-7)'!Q45,'Concrete Plant (CP-8)'!Q45,'Concrete Plant (CP-9)'!Q45,'Concrete Plant (CP-10)'!Q44)&gt;0,"ALL","")</f>
        <v/>
      </c>
      <c r="B35" s="195" t="str">
        <f ca="1">IF(SUM('Concrete Plant (CP-1)'!Q44,'Concrete Plant (CP-2)'!Q45,'Concrete Plant (CP-3)'!Q45,'Concrete Plant (CP-4)'!Q45,'Concrete Plant (CP-5)'!Q45,'Concrete Plant (CP-6)'!Q45,'Concrete Plant (CP-7)'!Q45,'Concrete Plant (CP-8)'!Q45,'Concrete Plant (CP-9)'!Q45,'Concrete Plant (CP-10)'!Q44)&gt;0,"Cement Supplement Delivery to Silo","")</f>
        <v/>
      </c>
      <c r="C35" s="195" t="str">
        <f ca="1">IF(B35="","","30501117")</f>
        <v/>
      </c>
      <c r="D35" s="194" t="str">
        <f ca="1">IF(SUM('Concrete Plant (CP-1)'!Q44,'Concrete Plant (CP-2)'!Q45,'Concrete Plant (CP-3)'!Q45,'Concrete Plant (CP-4)'!Q45,'Concrete Plant (CP-5)'!Q45,'Concrete Plant (CP-6)'!Q45,'Concrete Plant (CP-7)'!Q45,'Concrete Plant (CP-8)'!Q45,'Concrete Plant (CP-9)'!Q45,'Concrete Plant (CP-10)'!Q44)&gt;0,SUM('Concrete Plant (CP-1)'!Q44,'Concrete Plant (CP-2)'!Q45,'Concrete Plant (CP-3)'!Q45,'Concrete Plant (CP-4)'!Q45,'Concrete Plant (CP-5)'!Q45,'Concrete Plant (CP-6)'!Q45,'Concrete Plant (CP-7)'!Q45,'Concrete Plant (CP-8)'!Q45,'Concrete Plant (CP-9)'!Q45,'Concrete Plant (CP-10)'!Q44),"")</f>
        <v/>
      </c>
      <c r="E35" s="194" t="str">
        <f t="shared" ca="1" si="2"/>
        <v/>
      </c>
      <c r="F35" s="196" t="str">
        <f ca="1">IF(B35="","",LOOKUP(B35,'Emission Factors'!$A$5:$A$16,'Emission Factors'!$H$5:$H$16))</f>
        <v/>
      </c>
      <c r="G35" s="194" t="str">
        <f t="shared" ca="1" si="3"/>
        <v/>
      </c>
      <c r="H35" s="150" t="str">
        <f ca="1">IF(B35="","",LOOKUP(B35,'Emission Factors'!$A$5:$A$16,'Emission Factors'!$J$5:$J$16))</f>
        <v/>
      </c>
      <c r="I35" s="198"/>
      <c r="J35" s="199"/>
      <c r="K35" s="198" t="str">
        <f ca="1">IF(D35="","",IF(SUM('Concrete Plant (CP-1)'!T44,'Concrete Plant (CP-2)'!T45,'Concrete Plant (CP-3)'!T45,'Concrete Plant (CP-4)'!T45,'Concrete Plant (CP-5)'!T45,'Concrete Plant (CP-6)'!T45,'Concrete Plant (CP-7)'!T45,'Concrete Plant (CP-8)'!T45,'Concrete Plant (CP-9)'!T45,'Concrete Plant (CP-10)'!T44)&gt;0,SUM('Concrete Plant (CP-1)'!T44,'Concrete Plant (CP-2)'!T45,'Concrete Plant (CP-3)'!T45,'Concrete Plant (CP-4)'!T45,'Concrete Plant (CP-5)'!T45,'Concrete Plant (CP-6)'!T45,'Concrete Plant (CP-7)'!T45,'Concrete Plant (CP-8)'!T45,'Concrete Plant (CP-9)'!T45,'Concrete Plant (CP-10)'!T44),""))</f>
        <v/>
      </c>
      <c r="L35" s="198" t="str">
        <f ca="1">IF(B35="","",SUM('Concrete Plant (CP-1)'!U44,'Concrete Plant (CP-2)'!U45,'Concrete Plant (CP-3)'!U45,'Concrete Plant (CP-4)'!U45,'Concrete Plant (CP-5)'!U45,'Concrete Plant (CP-6)'!U45,'Concrete Plant (CP-7)'!U45,'Concrete Plant (CP-8)'!U45,'Concrete Plant (CP-9)'!U45,'Concrete Plant (CP-10)'!U44))</f>
        <v/>
      </c>
      <c r="M35" s="198" t="str">
        <f ca="1">IF(B35="","",SUM('Concrete Plant (CP-1)'!V44,'Concrete Plant (CP-2)'!V45,'Concrete Plant (CP-3)'!V45,'Concrete Plant (CP-4)'!V45,'Concrete Plant (CP-5)'!V45,'Concrete Plant (CP-6)'!V45,'Concrete Plant (CP-7)'!V45,'Concrete Plant (CP-8)'!V45,'Concrete Plant (CP-9)'!V45,'Concrete Plant (CP-10)'!V44))</f>
        <v/>
      </c>
    </row>
    <row r="36" spans="1:13" s="193" customFormat="1" ht="14.25" customHeight="1" x14ac:dyDescent="0.25">
      <c r="A36" s="194" t="str">
        <f>IF(SUM('Concrete Plant (CP-1)'!Q48,'Concrete Plant (CP-2)'!Q49,'Concrete Plant (CP-3)'!Q49,'Concrete Plant (CP-4)'!Q49,'Concrete Plant (CP-5)'!Q49,'Concrete Plant (CP-6)'!Q49,'Concrete Plant (CP-7)'!Q49,'Concrete Plant (CP-8)'!Q49,'Concrete Plant (CP-9)'!Q49,'Concrete Plant (CP-10)'!Q48,)&gt;0,"ALL","")</f>
        <v/>
      </c>
      <c r="B36" s="150" t="str">
        <f>IF(SUM('Concrete Plant (CP-1)'!Q48,'Concrete Plant (CP-2)'!Q49,'Concrete Plant (CP-3)'!Q49,'Concrete Plant (CP-4)'!Q49,'Concrete Plant (CP-5)'!Q49,'Concrete Plant (CP-6)'!Q49,'Concrete Plant (CP-7)'!Q49,'Concrete Plant (CP-8)'!Q49,'Concrete Plant (CP-9)'!Q49,'Concrete Plant (CP-10)'!Q48,)&gt;0,"Storage Piles","")</f>
        <v/>
      </c>
      <c r="C36" s="195" t="str">
        <f>IF(B36="","","30502007")</f>
        <v/>
      </c>
      <c r="D36" s="194" t="str">
        <f>IF(B16="","",SUM('Concrete Plant (CP-1)'!Q48,'Concrete Plant (CP-2)'!Q49,'Concrete Plant (CP-3)'!Q49,'Concrete Plant (CP-4)'!Q49,'Concrete Plant (CP-5)'!Q49,'Concrete Plant (CP-6)'!Q49,'Concrete Plant (CP-7)'!Q49,'Concrete Plant (CP-8)'!Q49,'Concrete Plant (CP-9)'!Q49,'Concrete Plant (CP-10)'!Q48))</f>
        <v/>
      </c>
      <c r="E36" s="194" t="str">
        <f>IF(B36="","","acre/day")</f>
        <v/>
      </c>
      <c r="F36" s="197" t="str">
        <f>IF(B36="","",3.64)</f>
        <v/>
      </c>
      <c r="G36" s="194" t="str">
        <f>IF(B36="","","lb/acre-day")</f>
        <v/>
      </c>
      <c r="H36" s="194" t="str">
        <f>IF(B36="","","WebFIRE")</f>
        <v/>
      </c>
      <c r="I36" s="198" t="str">
        <f>IF(B36="","",SUM('Concrete Plant (CP-1)'!S48,'Concrete Plant (CP-2)'!S49,'Concrete Plant (CP-3)'!S49,'Concrete Plant (CP-4)'!S49,'Concrete Plant (CP-5)'!S49,'Concrete Plant (CP-6)'!S49,'Concrete Plant (CP-7)'!S49,'Concrete Plant (CP-8)'!S49,'Concrete Plant (CP-9)'!S49,'Concrete Plant (CP-10)'!S48))</f>
        <v/>
      </c>
      <c r="J36" s="199"/>
      <c r="K36" s="198"/>
      <c r="L36" s="198" t="str">
        <f>IF(D36="","",SUM('Concrete Plant (CP-1)'!U48,'Concrete Plant (CP-2)'!U49,'Concrete Plant (CP-3)'!U49,'Concrete Plant (CP-4)'!U49,'Concrete Plant (CP-5)'!U49,'Concrete Plant (CP-6)'!U49,'Concrete Plant (CP-7)'!U49,'Concrete Plant (CP-8)'!U49,'Concrete Plant (CP-9)'!U49,'Concrete Plant (CP-10)'!U48))</f>
        <v/>
      </c>
      <c r="M36" s="198" t="str">
        <f>IF(D36="","",SUM('Concrete Plant (CP-1)'!V48,'Concrete Plant (CP-2)'!V49,'Concrete Plant (CP-3)'!V49,'Concrete Plant (CP-4)'!V49,'Concrete Plant (CP-5)'!V49,'Concrete Plant (CP-6)'!V49,'Concrete Plant (CP-7)'!V49,'Concrete Plant (CP-8)'!V49,'Concrete Plant (CP-9)'!V49,'Concrete Plant (CP-10)'!V48))</f>
        <v/>
      </c>
    </row>
    <row r="37" spans="1:13" s="193" customFormat="1" ht="14.25" customHeight="1" x14ac:dyDescent="0.25">
      <c r="A37" s="194" t="str">
        <f>IF('Haul Roads'!L42=0,"","ALL")</f>
        <v/>
      </c>
      <c r="B37" s="150" t="str">
        <f>IF('Haul Roads'!L42=0,"","Unpaved Haul Roads")</f>
        <v/>
      </c>
      <c r="C37" s="195" t="str">
        <f>IF('Haul Roads'!L42=0,"","30202054")</f>
        <v/>
      </c>
      <c r="D37" s="198" t="str">
        <f>IF(F37="","",'Haul Roads'!P37*'Haul Roads'!L37/8760)</f>
        <v/>
      </c>
      <c r="E37" s="194" t="str">
        <f>IF(B17="","","vmt/hr")</f>
        <v/>
      </c>
      <c r="F37" s="197" t="str">
        <f>IF(B17="","",'Haul Roads'!Z37)</f>
        <v/>
      </c>
      <c r="G37" s="194" t="str">
        <f>IF(F37="","","lb/vmt")</f>
        <v/>
      </c>
      <c r="H37" s="194" t="str">
        <f>IF(F37="","","AP-42 Ch 13.2.2")</f>
        <v/>
      </c>
      <c r="I37" s="198" t="str">
        <f>IF(F37="","",D37*F37)</f>
        <v/>
      </c>
      <c r="J37" s="194" t="str">
        <f>IF(SUM('Haul Roads'!AB7:AB36)&gt;0,40,"")</f>
        <v/>
      </c>
      <c r="K37" s="198" t="str">
        <f>IF(SUM('Haul Roads'!AB7:AB36)&gt;0,(SUM('Haul Roads'!AB7:AB36)),"")</f>
        <v/>
      </c>
      <c r="L37" s="198" t="str">
        <f>IF(AND((SUM('Haul Roads'!$M$7:$M$36)&gt;0),'Haul Roads'!L42&gt;0),SUM('Haul Roads'!$AN$9:$AN$18),IF(B37="","",'Haul Roads'!L42))</f>
        <v/>
      </c>
      <c r="M37" s="198" t="str">
        <f>IF(AND((SUM('Haul Roads'!$M$7:$M$36)&gt;0),'Haul Roads'!L47&gt;0),SUM('Haul Roads'!$AO$9:$AO$18),IF(B37="","",'Haul Roads'!L47))</f>
        <v/>
      </c>
    </row>
    <row r="38" spans="1:13" s="193" customFormat="1" ht="14.25" customHeight="1" x14ac:dyDescent="0.25">
      <c r="A38" s="194" t="str">
        <f>IF('Haul Roads'!L43=0,"","ALL")</f>
        <v/>
      </c>
      <c r="B38" s="150" t="str">
        <f>IF('Haul Roads'!L43=0,"","Unpaved Haul Roads")</f>
        <v/>
      </c>
      <c r="C38" s="195" t="str">
        <f>IF('Haul Roads'!L43=0,"","30202054")</f>
        <v/>
      </c>
      <c r="D38" s="198" t="str">
        <f>IF(F38="","",'Haul Roads'!P38*'Haul Roads'!L38/8760)</f>
        <v/>
      </c>
      <c r="E38" s="194" t="str">
        <f>IF(B18="","","vmt/hr")</f>
        <v/>
      </c>
      <c r="F38" s="197" t="str">
        <f>IF(B18="","",'Haul Roads'!Z38)</f>
        <v/>
      </c>
      <c r="G38" s="194" t="str">
        <f>IF(F38="","","lb/vmt")</f>
        <v/>
      </c>
      <c r="H38" s="194" t="str">
        <f>IF(F38="","","AP-42 Ch 13.2.1")</f>
        <v/>
      </c>
      <c r="I38" s="198" t="str">
        <f>IF(F38="","",D38*F38)</f>
        <v/>
      </c>
      <c r="J38" s="194"/>
      <c r="K38" s="198"/>
      <c r="L38" s="198" t="str">
        <f>IF(B38="","",IF(AND((SUM('Haul Roads'!$M$7:$M$36)&gt;0),'Haul Roads'!L43&gt;0,'Haul Roads'!L42&gt;0),"",IF(AND((SUM('Haul Roads'!$M$7:$M$36)&gt;0),'Haul Roads'!L43&gt;0),SUM('Haul Roads'!$AN$9:$AN$18),'Haul Roads'!L43)))</f>
        <v/>
      </c>
      <c r="M38" s="198" t="str">
        <f>IF(B38="","",IF(AND((SUM('Haul Roads'!$M$7:$M$36)&gt;0),'Haul Roads'!L48&gt;0,'Haul Roads'!L47&gt;0),"",IF(AND((SUM('Haul Roads'!$M$7:$M$36)&gt;0),'Haul Roads'!L48&gt;0),SUM('Haul Roads'!$AO$9:$AO$18),'Haul Roads'!L48)))</f>
        <v/>
      </c>
    </row>
    <row r="39" spans="1:13" s="193" customFormat="1" ht="14.25" customHeight="1" x14ac:dyDescent="0.25">
      <c r="A39" s="194" t="str">
        <f>IF('Permitted Diesel Engines'!R49=0,"","ALL")</f>
        <v/>
      </c>
      <c r="B39" s="150" t="str">
        <f>IF('Permitted Diesel Engines'!R49=0,"","Diesel Generator ≤ 600 bhp")</f>
        <v/>
      </c>
      <c r="C39" s="195" t="str">
        <f>IF('Permitted Diesel Engines'!R49=0,"",LOOKUP(B19,'Emission Factors'!A33:A34,'Emission Factors'!B33:B34))</f>
        <v/>
      </c>
      <c r="D39" s="194" t="str">
        <f>IF('Permitted Diesel Engines'!R49=0,"",'Permitted Diesel Engines'!R49)</f>
        <v/>
      </c>
      <c r="E39" s="194" t="str">
        <f>IF(B39="","","MMBtu/hr")</f>
        <v/>
      </c>
      <c r="F39" s="197" t="str">
        <f>IF(B39="","",LOOKUP(B39,'Emission Factors'!$A$33:$A$34,'Emission Factors'!$F$33:$F$34))</f>
        <v/>
      </c>
      <c r="G39" s="194" t="str">
        <f>IF(B39="","",LOOKUP(B39,'Emission Factors'!$A$33:$A$34,'Emission Factors'!$C$33:$C$34))</f>
        <v/>
      </c>
      <c r="H39" s="194" t="str">
        <f>IF(B39="","",LOOKUP(B39,'Emission Factors'!$A$33:$A$34,'Emission Factors'!$G$33:$G$34))</f>
        <v/>
      </c>
      <c r="I39" s="198" t="str">
        <f>IF(B39="","",'Emission Calculations'!D39*'Emission Calculations'!F39)</f>
        <v/>
      </c>
      <c r="J39" s="194"/>
      <c r="K39" s="198"/>
      <c r="L39" s="198" t="str">
        <f>IF(F39="","",'Permitted Diesel Engines'!AB76)</f>
        <v/>
      </c>
      <c r="M39" s="198" t="str">
        <f>IF(B39="","",'Permitted Diesel Engines'!$T$49*F39/2000)</f>
        <v/>
      </c>
    </row>
    <row r="40" spans="1:13" s="193" customFormat="1" ht="14.25" customHeight="1" x14ac:dyDescent="0.25">
      <c r="A40" s="194" t="str">
        <f>IF('Permitted Diesel Engines'!R50=0,"","ALL")</f>
        <v/>
      </c>
      <c r="B40" s="150" t="str">
        <f>IF('Permitted Diesel Engines'!R50=0,"","Diesel Generator&gt; 600 bhp")</f>
        <v/>
      </c>
      <c r="C40" s="195" t="str">
        <f>IF('Permitted Diesel Engines'!R50=0,"",LOOKUP(B20,'Emission Factors'!$A$33:$A$34,'Emission Factors'!$B$33:$B$34))</f>
        <v/>
      </c>
      <c r="D40" s="194" t="str">
        <f>IF('Permitted Diesel Engines'!R50=0,"",'Permitted Diesel Engines'!R50)</f>
        <v/>
      </c>
      <c r="E40" s="194" t="str">
        <f>IF(B40="","","MMBtu/hr")</f>
        <v/>
      </c>
      <c r="F40" s="197" t="str">
        <f>IF(B40="","",LOOKUP(B40,'Emission Factors'!$A$33:$A$34,'Emission Factors'!$F$33:$F$34))</f>
        <v/>
      </c>
      <c r="G40" s="194" t="str">
        <f>IF(B40="","",LOOKUP(B40,'Emission Factors'!$A$33:$A$34,'Emission Factors'!$C$33:$C$34))</f>
        <v/>
      </c>
      <c r="H40" s="194" t="str">
        <f>IF(B40="","",LOOKUP(B40,'Emission Factors'!$A$33:$A$34,'Emission Factors'!$G$33:$G$34))</f>
        <v/>
      </c>
      <c r="I40" s="198" t="str">
        <f>IF(B40="","",'Emission Calculations'!D40*'Emission Calculations'!F40)</f>
        <v/>
      </c>
      <c r="J40" s="194"/>
      <c r="K40" s="198"/>
      <c r="L40" s="198" t="str">
        <f>IF(F40="","",'Permitted Diesel Engines'!AC76)</f>
        <v/>
      </c>
      <c r="M40" s="198" t="str">
        <f>IF(B40="","",'Permitted Diesel Engines'!$T$50*F40/2000)</f>
        <v/>
      </c>
    </row>
    <row r="41" spans="1:13" s="193" customFormat="1" ht="15" customHeight="1" x14ac:dyDescent="0.25">
      <c r="A41" s="192"/>
      <c r="B41" s="138"/>
      <c r="C41" s="138"/>
      <c r="D41" s="192"/>
      <c r="E41" s="192"/>
      <c r="F41" s="192"/>
      <c r="G41" s="192"/>
      <c r="H41" s="265"/>
      <c r="I41" s="266"/>
      <c r="J41" s="260" t="s">
        <v>31</v>
      </c>
      <c r="L41" s="202">
        <f ca="1">SUM(L25:L40)</f>
        <v>0</v>
      </c>
      <c r="M41" s="198">
        <f ca="1">SUM(M25:M40)</f>
        <v>0</v>
      </c>
    </row>
    <row r="42" spans="1:13" s="193" customFormat="1" ht="15" customHeight="1" x14ac:dyDescent="0.25">
      <c r="A42" s="192"/>
      <c r="B42" s="138"/>
      <c r="C42" s="138"/>
      <c r="D42" s="192"/>
      <c r="E42" s="192"/>
      <c r="F42" s="192"/>
      <c r="G42" s="192"/>
      <c r="H42" s="192"/>
      <c r="I42" s="7"/>
      <c r="J42" s="192"/>
      <c r="K42" s="206"/>
      <c r="L42" s="201"/>
      <c r="M42" s="207"/>
    </row>
    <row r="43" spans="1:13" s="193" customFormat="1" ht="15" customHeight="1" x14ac:dyDescent="0.25">
      <c r="A43" s="192"/>
      <c r="B43" s="138"/>
      <c r="C43" s="138"/>
      <c r="D43" s="192"/>
      <c r="E43" s="192"/>
      <c r="F43" s="192"/>
      <c r="G43" s="192"/>
      <c r="H43" s="192"/>
      <c r="I43" s="231" t="s">
        <v>258</v>
      </c>
      <c r="J43" s="138"/>
      <c r="K43" s="231" t="s">
        <v>259</v>
      </c>
      <c r="L43" s="231" t="s">
        <v>262</v>
      </c>
      <c r="M43" s="231" t="s">
        <v>263</v>
      </c>
    </row>
    <row r="44" spans="1:13" s="193" customFormat="1" ht="31.5" customHeight="1" x14ac:dyDescent="0.25">
      <c r="A44" s="236" t="s">
        <v>11</v>
      </c>
      <c r="B44" s="234" t="s">
        <v>12</v>
      </c>
      <c r="C44" s="236" t="s">
        <v>9</v>
      </c>
      <c r="D44" s="234" t="s">
        <v>10</v>
      </c>
      <c r="E44" s="234" t="s">
        <v>32</v>
      </c>
      <c r="F44" s="234" t="s">
        <v>13</v>
      </c>
      <c r="G44" s="234" t="s">
        <v>32</v>
      </c>
      <c r="H44" s="234" t="s">
        <v>256</v>
      </c>
      <c r="I44" s="232" t="s">
        <v>257</v>
      </c>
      <c r="J44" s="244" t="s">
        <v>15</v>
      </c>
      <c r="K44" s="232" t="s">
        <v>260</v>
      </c>
      <c r="L44" s="232" t="s">
        <v>261</v>
      </c>
      <c r="M44" s="232" t="s">
        <v>261</v>
      </c>
    </row>
    <row r="45" spans="1:13" s="193" customFormat="1" ht="15" customHeight="1" x14ac:dyDescent="0.25">
      <c r="A45" s="295" t="s">
        <v>3</v>
      </c>
      <c r="B45" s="295"/>
      <c r="C45" s="138"/>
      <c r="D45" s="192"/>
      <c r="E45" s="192"/>
      <c r="F45" s="192"/>
      <c r="G45" s="192"/>
      <c r="H45" s="192"/>
      <c r="I45" s="7"/>
      <c r="J45" s="192"/>
      <c r="K45" s="201"/>
      <c r="L45" s="201"/>
      <c r="M45" s="207"/>
    </row>
    <row r="46" spans="1:13" s="193" customFormat="1" ht="14.25" customHeight="1" x14ac:dyDescent="0.25">
      <c r="A46" s="117" t="str">
        <f>IF('Permitted Diesel Engines'!R49=0,"","ALL")</f>
        <v/>
      </c>
      <c r="B46" s="195" t="str">
        <f>IF('Permitted Diesel Engines'!R49=0,"","Diesel Generator ≤ 600 bhp")</f>
        <v/>
      </c>
      <c r="C46" s="194" t="str">
        <f>IF('Permitted Diesel Engines'!R49=0,"",LOOKUP(B46,'Emission Factors'!A33:A34,'Emission Factors'!B33:B34))</f>
        <v/>
      </c>
      <c r="D46" s="194" t="str">
        <f>IF('Permitted Diesel Engines'!R49=0,"",'Permitted Diesel Engines'!R49)</f>
        <v/>
      </c>
      <c r="E46" s="194" t="str">
        <f>IF(B46="","","MMBtu/hr")</f>
        <v/>
      </c>
      <c r="F46" s="194" t="str">
        <f>IF(B46="","",LOOKUP(B46,'Emission Factors'!$A$33:$A$34,'Emission Factors'!$H$33:$H$34))</f>
        <v/>
      </c>
      <c r="G46" s="194" t="str">
        <f>IF(B46="","",LOOKUP(B46,'Emission Factors'!$A$33:$A$34,'Emission Factors'!$C$33:$C$34))</f>
        <v/>
      </c>
      <c r="H46" s="194" t="str">
        <f>IF(B46="","",LOOKUP(B46,'Emission Factors'!$A$33:$A$34,'Emission Factors'!$I$33:$I$34))</f>
        <v/>
      </c>
      <c r="I46" s="118" t="str">
        <f>IF('Permitted Diesel Engines'!R49=0,"",IF(F46='Emission Factors'!$H$33,D46*F46,'Emission Calculations'!D46*'Emission Calculations'!F46*$F$48))</f>
        <v/>
      </c>
      <c r="J46" s="194"/>
      <c r="K46" s="198" t="str">
        <f>IF(SUM('Concrete Plant (CP-1)'!I12,'Concrete Plant (CP-2)'!I12,'Concrete Plant (CP-3)'!I12,'Concrete Plant (CP-4)'!I12,'Concrete Plant (CP-5)'!I12,'Concrete Plant (CP-6)'!I12,'Concrete Plant (CP-7)'!I12,'Concrete Plant (CP-8)'!I12,'Concrete Plant (CP-9)'!I12,'Concrete Plant (CP-10)'!I12)&gt;0,SUM('Concrete Plant (CP-1)'!I12,'Concrete Plant (CP-2)'!I12,'Concrete Plant (CP-3)'!I12,'Concrete Plant (CP-4)'!I12,'Concrete Plant (CP-5)'!I12,'Concrete Plant (CP-6)'!I12,'Concrete Plant (CP-7)'!I12,'Concrete Plant (CP-8)'!I12,'Concrete Plant (CP-9)'!I12,'Concrete Plant (CP-10)'!I12),"")</f>
        <v/>
      </c>
      <c r="L46" s="198" t="str">
        <f>IF(SUM('Concrete Plant (CP-1)'!$J$12,'Concrete Plant (CP-2)'!$J$12,'Concrete Plant (CP-3)'!$J$12,'Concrete Plant (CP-4)'!$J$12,'Concrete Plant (CP-5)'!$J$12,'Concrete Plant (CP-6)'!$J$12,'Concrete Plant (CP-7)'!$J$12,'Concrete Plant (CP-8)'!$J$12,'Concrete Plant (CP-9)'!$J$12,'Concrete Plant (CP-10)'!$J$12)&gt;0,SUM('Concrete Plant (CP-1)'!$J$12,'Concrete Plant (CP-2)'!$J$12,'Concrete Plant (CP-3)'!$J$12,'Concrete Plant (CP-4)'!$J$12,'Concrete Plant (CP-5)'!$J$12,'Concrete Plant (CP-6)'!$J$12,'Concrete Plant (CP-7)'!$J$12,'Concrete Plant (CP-8)'!$J$12,'Concrete Plant (CP-9)'!$J$12,'Concrete Plant (CP-10)'!$J$12),IF(B46="","",'Permitted Diesel Engines'!$AD$76))</f>
        <v/>
      </c>
      <c r="M46" s="198" t="str">
        <f>IF(B46="","",'Permitted Diesel Engines'!$T$49*F46/2000)</f>
        <v/>
      </c>
    </row>
    <row r="47" spans="1:13" s="193" customFormat="1" ht="14.25" customHeight="1" x14ac:dyDescent="0.25">
      <c r="A47" s="117" t="str">
        <f>IF('Permitted Diesel Engines'!R50=0,"","ALL")</f>
        <v/>
      </c>
      <c r="B47" s="195" t="str">
        <f>IF('Permitted Diesel Engines'!R50=0,"","Diesel Generator&gt; 600 bhp")</f>
        <v/>
      </c>
      <c r="C47" s="194" t="str">
        <f>IF('Permitted Diesel Engines'!R50=0,"",LOOKUP(B47,'Emission Factors'!A34:A35,'Emission Factors'!B34:B35))</f>
        <v/>
      </c>
      <c r="D47" s="297" t="str">
        <f>IF('Permitted Diesel Engines'!R50=0,"",'Permitted Diesel Engines'!R50)</f>
        <v/>
      </c>
      <c r="E47" s="297" t="str">
        <f>IF(B47="","","MMBtu/hr")</f>
        <v/>
      </c>
      <c r="F47" s="194" t="str">
        <f>IF(B47="","",LOOKUP(B47,'Emission Factors'!$A$33:$A$34,'Emission Factors'!$H$33:$H$34))</f>
        <v/>
      </c>
      <c r="G47" s="194" t="str">
        <f>IF(B47="","",LOOKUP(B47,'Emission Factors'!$A$33:$A$34,'Emission Factors'!$C$33:$C$34))</f>
        <v/>
      </c>
      <c r="H47" s="194" t="str">
        <f>IF(B47="","",LOOKUP(B47,'Emission Factors'!$A$33:$A$34,'Emission Factors'!$I$33:$I$34))</f>
        <v/>
      </c>
      <c r="I47" s="118" t="str">
        <f>IF('Permitted Diesel Engines'!R50=0,"",IF(F47='Emission Factors'!$H$33,D47*F47,'Emission Calculations'!D47*'Emission Calculations'!F47*$F$48))</f>
        <v/>
      </c>
      <c r="J47" s="194"/>
      <c r="K47" s="198" t="str">
        <f>IF(SUM('Concrete Plant (CP-1)'!I12,'Concrete Plant (CP-2)'!I12,'Concrete Plant (CP-3)'!I12,'Concrete Plant (CP-4)'!I12,'Concrete Plant (CP-5)'!I12,'Concrete Plant (CP-6)'!I12,'Concrete Plant (CP-7)'!I12,'Concrete Plant (CP-8)'!I12,'Concrete Plant (CP-9)'!I12,'Concrete Plant (CP-10)'!I12)&gt;0,SUM('Concrete Plant (CP-1)'!I12,'Concrete Plant (CP-2)'!I12,'Concrete Plant (CP-3)'!I12,'Concrete Plant (CP-4)'!I12,'Concrete Plant (CP-5)'!I12,'Concrete Plant (CP-6)'!I12,'Concrete Plant (CP-7)'!I12,'Concrete Plant (CP-8)'!I12,'Concrete Plant (CP-9)'!I12,'Concrete Plant (CP-10)'!I12),"")</f>
        <v/>
      </c>
      <c r="L47" s="198" t="str">
        <f>IF(B47="","",IF(SUM('Concrete Plant (CP-1)'!$J$12,'Concrete Plant (CP-2)'!$J$12,'Concrete Plant (CP-3)'!$J$12,'Concrete Plant (CP-4)'!$J$12,'Concrete Plant (CP-5)'!$J$12,'Concrete Plant (CP-6)'!$J$12,'Concrete Plant (CP-7)'!$J$12,'Concrete Plant (CP-8)'!$J$12,'Concrete Plant (CP-9)'!$J$12,'Concrete Plant (CP-10)'!$J$12)&gt;0,"",'Permitted Diesel Engines'!$AE$76))</f>
        <v/>
      </c>
      <c r="M47" s="198" t="str">
        <f>IF(B47="","",'Permitted Diesel Engines'!$T$50*F47*F48/2000)</f>
        <v/>
      </c>
    </row>
    <row r="48" spans="1:13" s="193" customFormat="1" ht="15" customHeight="1" x14ac:dyDescent="0.25">
      <c r="A48" s="25"/>
      <c r="B48" s="208"/>
      <c r="C48" s="209"/>
      <c r="D48" s="298"/>
      <c r="E48" s="299" t="s">
        <v>72</v>
      </c>
      <c r="F48" s="296">
        <f>IF('Permitted Diesel Engines'!G4&gt;0,'Permitted Diesel Engines'!G4,0.5)</f>
        <v>0.5</v>
      </c>
      <c r="H48" s="265"/>
      <c r="I48" s="266"/>
      <c r="J48" s="260" t="s">
        <v>31</v>
      </c>
      <c r="L48" s="202">
        <f>SUM(L46:L47)</f>
        <v>0</v>
      </c>
      <c r="M48" s="198">
        <f>SUM(M46:M47)</f>
        <v>0</v>
      </c>
    </row>
    <row r="49" spans="1:13" s="193" customFormat="1" ht="15" customHeight="1" x14ac:dyDescent="0.25">
      <c r="A49" s="295" t="s">
        <v>27</v>
      </c>
      <c r="B49" s="295"/>
      <c r="C49" s="138"/>
      <c r="D49" s="192"/>
      <c r="E49" s="192"/>
      <c r="F49" s="192"/>
      <c r="G49" s="192"/>
      <c r="H49" s="192"/>
      <c r="I49" s="7"/>
      <c r="J49" s="192"/>
      <c r="K49" s="201"/>
      <c r="L49" s="201"/>
      <c r="M49" s="207"/>
    </row>
    <row r="50" spans="1:13" s="193" customFormat="1" ht="14.25" customHeight="1" x14ac:dyDescent="0.25">
      <c r="A50" s="117" t="str">
        <f>IF('Permitted Diesel Engines'!R49=0,"","ALL")</f>
        <v/>
      </c>
      <c r="B50" s="195" t="str">
        <f>IF('Permitted Diesel Engines'!R49=0,"","Diesel Generator ≤ 600 bhp")</f>
        <v/>
      </c>
      <c r="C50" s="194" t="str">
        <f>IF('Permitted Diesel Engines'!R49=0,"",LOOKUP(B50,'Emission Factors'!A33:A34,'Emission Factors'!B33:B34))</f>
        <v/>
      </c>
      <c r="D50" s="194" t="str">
        <f>IF('Permitted Diesel Engines'!R49=0,"",'Permitted Diesel Engines'!R49)</f>
        <v/>
      </c>
      <c r="E50" s="194" t="str">
        <f>IF(B50="","","MMBtu/hr")</f>
        <v/>
      </c>
      <c r="F50" s="194" t="str">
        <f>IF(B50="","",LOOKUP(B50,'Emission Factors'!$A$33:$A$34,'Emission Factors'!$J$33:$J$34))</f>
        <v/>
      </c>
      <c r="G50" s="194" t="str">
        <f>IF(B50="","",LOOKUP(B50,'Emission Factors'!$A$33:$A$34,'Emission Factors'!$C$33:$C$34))</f>
        <v/>
      </c>
      <c r="H50" s="194" t="str">
        <f>IF(B50="","",LOOKUP(B50,'Emission Factors'!$A$33:$A$34,'Emission Factors'!$K$33:$K$34))</f>
        <v/>
      </c>
      <c r="I50" s="198" t="str">
        <f>IF(B50="","",'Emission Calculations'!D50*'Emission Calculations'!F50)</f>
        <v/>
      </c>
      <c r="J50" s="194"/>
      <c r="K50" s="198" t="str">
        <f>IF(SUM('Concrete Plant (CP-1)'!I13,'Concrete Plant (CP-2)'!I13,'Concrete Plant (CP-3)'!I13,'Concrete Plant (CP-4)'!I13,'Concrete Plant (CP-5)'!I13,'Concrete Plant (CP-6)'!I13,'Concrete Plant (CP-7)'!I13,'Concrete Plant (CP-8)'!I13,'Concrete Plant (CP-9)'!I13,'Concrete Plant (CP-10)'!I13)&gt;0,SUM('Concrete Plant (CP-1)'!I13,'Concrete Plant (CP-2)'!I13,'Concrete Plant (CP-3)'!I13,'Concrete Plant (CP-4)'!I13,'Concrete Plant (CP-5)'!I13,'Concrete Plant (CP-6)'!I13,'Concrete Plant (CP-7)'!I13,'Concrete Plant (CP-8)'!I13,'Concrete Plant (CP-9)'!I13,'Concrete Plant (CP-10)'!I13),"")</f>
        <v/>
      </c>
      <c r="L50" s="198" t="str">
        <f>IF(SUM('Concrete Plant (CP-1)'!$J$13,'Concrete Plant (CP-2)'!$J$13,'Concrete Plant (CP-3)'!$J$13,'Concrete Plant (CP-4)'!$J$13,'Concrete Plant (CP-5)'!$J$13,'Concrete Plant (CP-6)'!$J$13,'Concrete Plant (CP-7)'!$J$13,'Concrete Plant (CP-8)'!$J$13,'Concrete Plant (CP-9)'!$J$13,'Concrete Plant (CP-10)'!$J$13)&gt;0,SUM('Concrete Plant (CP-1)'!$J$13,'Concrete Plant (CP-2)'!$J$13,'Concrete Plant (CP-3)'!$J$13,'Concrete Plant (CP-4)'!$J$13,'Concrete Plant (CP-5)'!$J$13,'Concrete Plant (CP-6)'!$J$13,'Concrete Plant (CP-7)'!$J$13,'Concrete Plant (CP-8)'!$J$13,'Concrete Plant (CP-9)'!$J$13,'Concrete Plant (CP-10)'!$J$13),IF(B50="","",'Permitted Diesel Engines'!$AF$76))</f>
        <v/>
      </c>
      <c r="M50" s="198" t="str">
        <f>IF(B50="","",'Permitted Diesel Engines'!T49*'Emission Calculations'!F50/2000)</f>
        <v/>
      </c>
    </row>
    <row r="51" spans="1:13" s="193" customFormat="1" ht="14.25" customHeight="1" x14ac:dyDescent="0.25">
      <c r="A51" s="117" t="str">
        <f>IF('Permitted Diesel Engines'!R50=0,"","ALL")</f>
        <v/>
      </c>
      <c r="B51" s="195" t="str">
        <f>IF('Permitted Diesel Engines'!R50=0,"","Diesel Generator&gt; 600 bhp")</f>
        <v/>
      </c>
      <c r="C51" s="194" t="str">
        <f>IF('Permitted Diesel Engines'!R50=0,"",LOOKUP(B51,'Emission Factors'!A34:A35,'Emission Factors'!B34:B35))</f>
        <v/>
      </c>
      <c r="D51" s="194" t="str">
        <f>IF('Permitted Diesel Engines'!R50=0,"",'Permitted Diesel Engines'!R50)</f>
        <v/>
      </c>
      <c r="E51" s="194" t="str">
        <f>IF(B51="","","MMBtu/hr")</f>
        <v/>
      </c>
      <c r="F51" s="194" t="str">
        <f>IF(B51="","",LOOKUP(B51,'Emission Factors'!$A$33:$A$34,'Emission Factors'!$J$33:$J$34))</f>
        <v/>
      </c>
      <c r="G51" s="194" t="str">
        <f>IF(B51="","",LOOKUP(B51,'Emission Factors'!$A$33:$A$34,'Emission Factors'!$C$33:$C$34))</f>
        <v/>
      </c>
      <c r="H51" s="194" t="str">
        <f>IF(B51="","",LOOKUP(B51,'Emission Factors'!$A$33:$A$34,'Emission Factors'!$K$33:$K$34))</f>
        <v/>
      </c>
      <c r="I51" s="198" t="str">
        <f>IF(B51="","",'Emission Calculations'!D51*'Emission Calculations'!F51)</f>
        <v/>
      </c>
      <c r="J51" s="194"/>
      <c r="K51" s="198" t="str">
        <f>IF(SUM('Concrete Plant (CP-1)'!I13,'Concrete Plant (CP-2)'!I13,'Concrete Plant (CP-3)'!I13,'Concrete Plant (CP-4)'!I13,'Concrete Plant (CP-5)'!I13,'Concrete Plant (CP-6)'!I13,'Concrete Plant (CP-7)'!I13,'Concrete Plant (CP-8)'!I13,'Concrete Plant (CP-9)'!I13,'Concrete Plant (CP-10)'!I13)&gt;0,SUM('Concrete Plant (CP-1)'!I13,'Concrete Plant (CP-2)'!I13,'Concrete Plant (CP-3)'!I13,'Concrete Plant (CP-4)'!I13,'Concrete Plant (CP-5)'!I13,'Concrete Plant (CP-6)'!I13,'Concrete Plant (CP-7)'!I13,'Concrete Plant (CP-8)'!I13,'Concrete Plant (CP-9)'!I13,'Concrete Plant (CP-10)'!I13),"")</f>
        <v/>
      </c>
      <c r="L51" s="198" t="str">
        <f>IF(B51="","",IF(SUM('Concrete Plant (CP-1)'!$J$13,'Concrete Plant (CP-2)'!$J$13,'Concrete Plant (CP-3)'!$J$13,'Concrete Plant (CP-4)'!$J$13,'Concrete Plant (CP-5)'!$J$13,'Concrete Plant (CP-6)'!$J$13,'Concrete Plant (CP-7)'!$J$13,'Concrete Plant (CP-8)'!$J$13,'Concrete Plant (CP-9)'!$J$13,'Concrete Plant (CP-10)'!$J$13)&gt;0,"",'Permitted Diesel Engines'!$AG$76))</f>
        <v/>
      </c>
      <c r="M51" s="198" t="str">
        <f>IF(B51="","",'Permitted Diesel Engines'!T50*'Emission Calculations'!F51/2000)</f>
        <v/>
      </c>
    </row>
    <row r="52" spans="1:13" s="193" customFormat="1" ht="15" customHeight="1" x14ac:dyDescent="0.25">
      <c r="A52" s="25"/>
      <c r="B52" s="208"/>
      <c r="C52" s="209"/>
      <c r="D52" s="209"/>
      <c r="E52" s="209"/>
      <c r="F52" s="209"/>
      <c r="G52" s="209"/>
      <c r="H52" s="265"/>
      <c r="I52" s="266"/>
      <c r="J52" s="260" t="s">
        <v>31</v>
      </c>
      <c r="L52" s="202">
        <f>SUM(L50:L51)</f>
        <v>0</v>
      </c>
      <c r="M52" s="198">
        <f>SUM(M50:M51)</f>
        <v>0</v>
      </c>
    </row>
    <row r="53" spans="1:13" s="193" customFormat="1" ht="15" customHeight="1" x14ac:dyDescent="0.25">
      <c r="A53" s="295" t="s">
        <v>5</v>
      </c>
      <c r="B53" s="295"/>
      <c r="C53" s="138"/>
      <c r="D53" s="192"/>
      <c r="E53" s="192"/>
      <c r="F53" s="192"/>
      <c r="G53" s="192"/>
      <c r="H53" s="192"/>
      <c r="I53" s="7"/>
      <c r="J53" s="192"/>
      <c r="K53" s="201"/>
      <c r="L53" s="201"/>
      <c r="M53" s="207"/>
    </row>
    <row r="54" spans="1:13" s="193" customFormat="1" ht="14.25" customHeight="1" x14ac:dyDescent="0.25">
      <c r="A54" s="117" t="str">
        <f>IF('Permitted Diesel Engines'!R49=0,"","ALL")</f>
        <v/>
      </c>
      <c r="B54" s="195" t="str">
        <f>IF('Permitted Diesel Engines'!R49=0,"","Diesel Generator ≤ 600 bhp")</f>
        <v/>
      </c>
      <c r="C54" s="194" t="str">
        <f>IF('Permitted Diesel Engines'!R49=0,"",LOOKUP(B54,'Emission Factors'!A33:A34,'Emission Factors'!B33:B34))</f>
        <v/>
      </c>
      <c r="D54" s="194" t="str">
        <f>IF('Permitted Diesel Engines'!R49=0,"",'Permitted Diesel Engines'!R49)</f>
        <v/>
      </c>
      <c r="E54" s="194" t="str">
        <f>IF(B54="","","MMBtu/hr")</f>
        <v/>
      </c>
      <c r="F54" s="194" t="str">
        <f>IF(B54="","",LOOKUP(B54,'Emission Factors'!$A$33:$A$34,'Emission Factors'!$L$33:$L$34))</f>
        <v/>
      </c>
      <c r="G54" s="194" t="str">
        <f>IF(B54="","",LOOKUP(B54,'Emission Factors'!$A$33:$A$34,'Emission Factors'!$C$33:$C$34))</f>
        <v/>
      </c>
      <c r="H54" s="194" t="str">
        <f>IF(B54="","",LOOKUP(B54,'Emission Factors'!$A$33:$A$34,'Emission Factors'!$M$33:$M$34))</f>
        <v/>
      </c>
      <c r="I54" s="198" t="str">
        <f>IF(B54="","",'Emission Calculations'!D54*'Emission Calculations'!F54)</f>
        <v/>
      </c>
      <c r="J54" s="194"/>
      <c r="K54" s="198" t="str">
        <f>IF(SUM('Concrete Plant (CP-1)'!I14,'Concrete Plant (CP-2)'!I14,'Concrete Plant (CP-3)'!I14,'Concrete Plant (CP-4)'!I14,'Concrete Plant (CP-5)'!I14,'Concrete Plant (CP-6)'!I14,'Concrete Plant (CP-7)'!I14,'Concrete Plant (CP-8)'!I14,'Concrete Plant (CP-9)'!I14,'Concrete Plant (CP-10)'!I14)&gt;0,SUM('Concrete Plant (CP-1)'!I14,'Concrete Plant (CP-2)'!I14,'Concrete Plant (CP-3)'!I14,'Concrete Plant (CP-4)'!I14,'Concrete Plant (CP-5)'!I14,'Concrete Plant (CP-6)'!I14,'Concrete Plant (CP-7)'!I14,'Concrete Plant (CP-8)'!I14,'Concrete Plant (CP-9)'!I14,'Concrete Plant (CP-10)'!I14),"")</f>
        <v/>
      </c>
      <c r="L54" s="198" t="str">
        <f>IF(SUM('Concrete Plant (CP-1)'!$J$14,'Concrete Plant (CP-2)'!$J$14,'Concrete Plant (CP-3)'!$J$14,'Concrete Plant (CP-4)'!$J$14,'Concrete Plant (CP-5)'!$J$14,'Concrete Plant (CP-6)'!$J$14,'Concrete Plant (CP-7)'!$J$14,'Concrete Plant (CP-8)'!$J$14,'Concrete Plant (CP-9)'!$J$14,'Concrete Plant (CP-10)'!$J$14)&gt;0,SUM('Concrete Plant (CP-1)'!$J$14,'Concrete Plant (CP-2)'!$J$14,'Concrete Plant (CP-3)'!$J$14,'Concrete Plant (CP-4)'!$J$14,'Concrete Plant (CP-5)'!$J$14,'Concrete Plant (CP-6)'!$J$14,'Concrete Plant (CP-7)'!$J$14,'Concrete Plant (CP-8)'!$J$14,'Concrete Plant (CP-9)'!$J$14,'Concrete Plant (CP-10)'!$J$14),IF(B54="","",'Permitted Diesel Engines'!$AH$76))</f>
        <v/>
      </c>
      <c r="M54" s="198" t="str">
        <f>IF(B54="","",'Permitted Diesel Engines'!$T$49*'Emission Calculations'!F54/2000)</f>
        <v/>
      </c>
    </row>
    <row r="55" spans="1:13" s="193" customFormat="1" ht="14.25" customHeight="1" x14ac:dyDescent="0.25">
      <c r="A55" s="117" t="str">
        <f>IF('Permitted Diesel Engines'!R50=0,"","ALL")</f>
        <v/>
      </c>
      <c r="B55" s="195" t="str">
        <f>IF('Permitted Diesel Engines'!R50=0,"","Diesel Generator&gt; 600 bhp")</f>
        <v/>
      </c>
      <c r="C55" s="194" t="str">
        <f>IF('Permitted Diesel Engines'!R50=0,"",LOOKUP(B55,'Emission Factors'!A34:A35,'Emission Factors'!B34:B35))</f>
        <v/>
      </c>
      <c r="D55" s="194" t="str">
        <f>IF('Permitted Diesel Engines'!R50=0,"",'Permitted Diesel Engines'!R50)</f>
        <v/>
      </c>
      <c r="E55" s="194" t="str">
        <f>IF(B55="","","MMBtu/hr")</f>
        <v/>
      </c>
      <c r="F55" s="194" t="str">
        <f>IF(B55="","",LOOKUP(B55,'Emission Factors'!$A$33:$A$34,'Emission Factors'!$L$33:$L$34))</f>
        <v/>
      </c>
      <c r="G55" s="194" t="str">
        <f>IF(B55="","",LOOKUP(B55,'Emission Factors'!$A$33:$A$34,'Emission Factors'!$C$33:$C$34))</f>
        <v/>
      </c>
      <c r="H55" s="194" t="str">
        <f>IF(B55="","",LOOKUP(B55,'Emission Factors'!$A$33:$A$34,'Emission Factors'!$M$33:$M$34))</f>
        <v/>
      </c>
      <c r="I55" s="198" t="str">
        <f>IF(B55="","",'Emission Calculations'!D55*'Emission Calculations'!F55)</f>
        <v/>
      </c>
      <c r="J55" s="194"/>
      <c r="K55" s="198" t="str">
        <f>IF(SUM('Concrete Plant (CP-1)'!I14,'Concrete Plant (CP-2)'!I14,'Concrete Plant (CP-3)'!I14,'Concrete Plant (CP-4)'!I14,'Concrete Plant (CP-5)'!I14,'Concrete Plant (CP-6)'!I14,'Concrete Plant (CP-7)'!I14,'Concrete Plant (CP-8)'!I14,'Concrete Plant (CP-9)'!I14,'Concrete Plant (CP-10)'!I14)&gt;0,SUM('Concrete Plant (CP-1)'!I14,'Concrete Plant (CP-2)'!I14,'Concrete Plant (CP-3)'!I14,'Concrete Plant (CP-4)'!I14,'Concrete Plant (CP-5)'!I14,'Concrete Plant (CP-6)'!I14,'Concrete Plant (CP-7)'!I14,'Concrete Plant (CP-8)'!I14,'Concrete Plant (CP-9)'!I14,'Concrete Plant (CP-10)'!I14),"")</f>
        <v/>
      </c>
      <c r="L55" s="198" t="str">
        <f>IF(B55="","",IF(SUM('Concrete Plant (CP-1)'!$J$14,'Concrete Plant (CP-2)'!$J$14,'Concrete Plant (CP-3)'!$J$14,'Concrete Plant (CP-4)'!$J$14,'Concrete Plant (CP-5)'!$J$14,'Concrete Plant (CP-6)'!$J$14,'Concrete Plant (CP-7)'!$J$14,'Concrete Plant (CP-8)'!$J$14,'Concrete Plant (CP-9)'!$J$14,'Concrete Plant (CP-10)'!$J$14)&gt;0,"",'Permitted Diesel Engines'!$AI$76))</f>
        <v/>
      </c>
      <c r="M55" s="198" t="str">
        <f>IF(B55="","",'Permitted Diesel Engines'!$T$50*'Emission Calculations'!F55/2000)</f>
        <v/>
      </c>
    </row>
    <row r="56" spans="1:13" s="193" customFormat="1" ht="15" customHeight="1" x14ac:dyDescent="0.25">
      <c r="A56" s="25"/>
      <c r="B56" s="208"/>
      <c r="C56" s="209"/>
      <c r="D56" s="209"/>
      <c r="E56" s="209"/>
      <c r="F56" s="209"/>
      <c r="G56" s="209"/>
      <c r="H56" s="265"/>
      <c r="I56" s="266"/>
      <c r="J56" s="260" t="s">
        <v>31</v>
      </c>
      <c r="L56" s="202">
        <f>SUM(L54:L55)</f>
        <v>0</v>
      </c>
      <c r="M56" s="198">
        <f>SUM(M54:M55)</f>
        <v>0</v>
      </c>
    </row>
    <row r="57" spans="1:13" s="193" customFormat="1" ht="15" customHeight="1" x14ac:dyDescent="0.25">
      <c r="A57" s="295" t="s">
        <v>6</v>
      </c>
      <c r="B57" s="295"/>
      <c r="C57" s="138"/>
      <c r="D57" s="192"/>
      <c r="E57" s="192"/>
      <c r="F57" s="192"/>
      <c r="G57" s="192"/>
      <c r="H57" s="192"/>
      <c r="I57" s="7"/>
      <c r="J57" s="192"/>
      <c r="K57" s="201"/>
      <c r="L57" s="201"/>
      <c r="M57" s="207"/>
    </row>
    <row r="58" spans="1:13" s="193" customFormat="1" ht="14.25" customHeight="1" x14ac:dyDescent="0.25">
      <c r="A58" s="117" t="str">
        <f>IF('Permitted Diesel Engines'!R49=0,"","ALL")</f>
        <v/>
      </c>
      <c r="B58" s="195" t="str">
        <f>IF('Permitted Diesel Engines'!R49=0,"","Diesel Generator ≤ 600 bhp")</f>
        <v/>
      </c>
      <c r="C58" s="194" t="str">
        <f>IF('Permitted Diesel Engines'!R49=0,"",LOOKUP(B58,'Emission Factors'!A33:A34,'Emission Factors'!B33:B34))</f>
        <v/>
      </c>
      <c r="D58" s="194" t="str">
        <f>IF('Permitted Diesel Engines'!R49=0,"",'Permitted Diesel Engines'!R49)</f>
        <v/>
      </c>
      <c r="E58" s="194" t="str">
        <f>IF(B58="","","MMBtu/hr")</f>
        <v/>
      </c>
      <c r="F58" s="194" t="str">
        <f>IF(B58="","",LOOKUP(B58,'Emission Factors'!$A$33:$A$34,'Emission Factors'!$N$33:$N$34))</f>
        <v/>
      </c>
      <c r="G58" s="194" t="str">
        <f>IF(B58="","",LOOKUP(B58,'Emission Factors'!$A$33:$A$34,'Emission Factors'!$C$33:$C$34))</f>
        <v/>
      </c>
      <c r="H58" s="194" t="str">
        <f>IF(B58="","",LOOKUP(B58,'Emission Factors'!$A$33:$A$34,'Emission Factors'!$O$33:$O$34))</f>
        <v/>
      </c>
      <c r="I58" s="198" t="str">
        <f>IF(B58="","",'Emission Calculations'!D58*'Emission Calculations'!F58)</f>
        <v/>
      </c>
      <c r="J58" s="194"/>
      <c r="K58" s="198" t="str">
        <f>IF(SUM('Concrete Plant (CP-1)'!I15,'Concrete Plant (CP-2)'!I15,'Concrete Plant (CP-3)'!I15,'Concrete Plant (CP-4)'!I15,'Concrete Plant (CP-5)'!I15,'Concrete Plant (CP-6)'!I15,'Concrete Plant (CP-7)'!I15,'Concrete Plant (CP-8)'!I15,'Concrete Plant (CP-9)'!I15,'Concrete Plant (CP-10)'!I15)&gt;0,SUM('Concrete Plant (CP-1)'!I15,'Concrete Plant (CP-2)'!I15,'Concrete Plant (CP-3)'!I15,'Concrete Plant (CP-4)'!I15,'Concrete Plant (CP-5)'!I15,'Concrete Plant (CP-6)'!I15,'Concrete Plant (CP-7)'!I15,'Concrete Plant (CP-8)'!I15,'Concrete Plant (CP-9)'!I15,'Concrete Plant (CP-10)'!I15),"")</f>
        <v/>
      </c>
      <c r="L58" s="198" t="str">
        <f>IF(SUM('Concrete Plant (CP-1)'!$J$15,'Concrete Plant (CP-2)'!$J$15,'Concrete Plant (CP-3)'!$J$15,'Concrete Plant (CP-4)'!$J$15,'Concrete Plant (CP-5)'!$J$15,'Concrete Plant (CP-6)'!$J$15,'Concrete Plant (CP-7)'!$J$15,'Concrete Plant (CP-8)'!$J$15,'Concrete Plant (CP-9)'!$J$15,'Concrete Plant (CP-10)'!$J$15)&gt;0,SUM('Concrete Plant (CP-1)'!$J$15,'Concrete Plant (CP-2)'!$J$15,'Concrete Plant (CP-3)'!$J$15,'Concrete Plant (CP-4)'!$J$15,'Concrete Plant (CP-5)'!$J$15,'Concrete Plant (CP-6)'!$J$15,'Concrete Plant (CP-7)'!$J$15,'Concrete Plant (CP-8)'!$J$15,'Concrete Plant (CP-9)'!$J$15,'Concrete Plant (CP-10)'!$J$15),IF(B58="","",'Permitted Diesel Engines'!$AJ$76))</f>
        <v/>
      </c>
      <c r="M58" s="198" t="str">
        <f>IF(B58="","",'Permitted Diesel Engines'!$T$49*F58/2000)</f>
        <v/>
      </c>
    </row>
    <row r="59" spans="1:13" s="193" customFormat="1" ht="14.25" customHeight="1" x14ac:dyDescent="0.25">
      <c r="A59" s="117" t="str">
        <f>IF('Permitted Diesel Engines'!R50=0,"","ALL")</f>
        <v/>
      </c>
      <c r="B59" s="195" t="str">
        <f>IF('Permitted Diesel Engines'!R50=0,"","Diesel Generator&gt; 600 bhp")</f>
        <v/>
      </c>
      <c r="C59" s="194" t="str">
        <f>IF('Permitted Diesel Engines'!R50=0,"",LOOKUP(B59,'Emission Factors'!A34:A35,'Emission Factors'!B34:B35))</f>
        <v/>
      </c>
      <c r="D59" s="194" t="str">
        <f>IF('Permitted Diesel Engines'!R50=0,"",'Permitted Diesel Engines'!R50)</f>
        <v/>
      </c>
      <c r="E59" s="194" t="str">
        <f>IF(B59="","","MMBtu/hr")</f>
        <v/>
      </c>
      <c r="F59" s="194" t="str">
        <f>IF(B59="","",LOOKUP(B59,'Emission Factors'!$A$33:$A$34,'Emission Factors'!$N$33:$N$34))</f>
        <v/>
      </c>
      <c r="G59" s="194" t="str">
        <f>IF(B59="","",LOOKUP(B59,'Emission Factors'!$A$33:$A$34,'Emission Factors'!$C$33:$C$34))</f>
        <v/>
      </c>
      <c r="H59" s="194" t="str">
        <f>IF(B59="","",LOOKUP(B59,'Emission Factors'!$A$33:$A$34,'Emission Factors'!$O$33:$O$34))</f>
        <v/>
      </c>
      <c r="I59" s="198" t="str">
        <f>IF(B59="","",'Emission Calculations'!D59*'Emission Calculations'!F59)</f>
        <v/>
      </c>
      <c r="J59" s="194"/>
      <c r="K59" s="198" t="str">
        <f>IF(SUM('Concrete Plant (CP-1)'!I15,'Concrete Plant (CP-2)'!I15,'Concrete Plant (CP-3)'!I15,'Concrete Plant (CP-4)'!I15,'Concrete Plant (CP-5)'!I15,'Concrete Plant (CP-6)'!I15,'Concrete Plant (CP-7)'!I15,'Concrete Plant (CP-8)'!I15,'Concrete Plant (CP-9)'!I15,'Concrete Plant (CP-10)'!I15)&gt;0,SUM('Concrete Plant (CP-1)'!I15,'Concrete Plant (CP-2)'!I15,'Concrete Plant (CP-3)'!I15,'Concrete Plant (CP-4)'!I15,'Concrete Plant (CP-5)'!I15,'Concrete Plant (CP-6)'!I15,'Concrete Plant (CP-7)'!I15,'Concrete Plant (CP-8)'!I15,'Concrete Plant (CP-9)'!I15,'Concrete Plant (CP-10)'!I15),"")</f>
        <v/>
      </c>
      <c r="L59" s="198" t="str">
        <f>IF(B59="","",IF(SUM('Concrete Plant (CP-1)'!$J$15,'Concrete Plant (CP-2)'!$J$15,'Concrete Plant (CP-3)'!$J$15,'Concrete Plant (CP-4)'!$J$15,'Concrete Plant (CP-5)'!$J$15,'Concrete Plant (CP-6)'!$J$15,'Concrete Plant (CP-7)'!$J$15,'Concrete Plant (CP-8)'!$J$15,'Concrete Plant (CP-9)'!$J$15,'Concrete Plant (CP-10)'!$J$15)&gt;0,"",'Permitted Diesel Engines'!$AK$76))</f>
        <v/>
      </c>
      <c r="M59" s="198" t="str">
        <f>IF(B59="","",'Permitted Diesel Engines'!$T$50*F59/2000)</f>
        <v/>
      </c>
    </row>
    <row r="60" spans="1:13" s="193" customFormat="1" ht="15" customHeight="1" x14ac:dyDescent="0.25">
      <c r="A60" s="25"/>
      <c r="B60" s="208"/>
      <c r="C60" s="209"/>
      <c r="D60" s="209"/>
      <c r="E60" s="209"/>
      <c r="F60" s="209"/>
      <c r="G60" s="209"/>
      <c r="H60" s="265"/>
      <c r="I60" s="266"/>
      <c r="J60" s="260" t="s">
        <v>31</v>
      </c>
      <c r="L60" s="202">
        <f>SUM(L58:L59)</f>
        <v>0</v>
      </c>
      <c r="M60" s="198">
        <f>SUM(M58:M59)</f>
        <v>0</v>
      </c>
    </row>
    <row r="61" spans="1:13" s="193" customFormat="1" ht="15" customHeight="1" x14ac:dyDescent="0.25">
      <c r="A61" s="295" t="s">
        <v>8</v>
      </c>
      <c r="B61" s="295"/>
      <c r="C61" s="138"/>
      <c r="D61" s="192"/>
      <c r="E61" s="192"/>
      <c r="F61" s="192"/>
      <c r="G61" s="192"/>
      <c r="H61" s="192"/>
      <c r="I61" s="7"/>
      <c r="J61" s="192"/>
      <c r="K61" s="201"/>
      <c r="L61" s="201"/>
      <c r="M61" s="207"/>
    </row>
    <row r="62" spans="1:13" s="193" customFormat="1" ht="14.25" customHeight="1" x14ac:dyDescent="0.25">
      <c r="A62" s="117" t="str">
        <f>IF('Permitted Diesel Engines'!R49=0,"","ALL")</f>
        <v/>
      </c>
      <c r="B62" s="195" t="str">
        <f>IF('Permitted Diesel Engines'!R49=0,"","Diesel Generator ≤ 600 bhp")</f>
        <v/>
      </c>
      <c r="C62" s="194" t="str">
        <f>IF('Permitted Diesel Engines'!R49=0,"",LOOKUP(B62,'Emission Factors'!A33:A34,'Emission Factors'!B33:B34))</f>
        <v/>
      </c>
      <c r="D62" s="194" t="str">
        <f>IF('Permitted Diesel Engines'!R49=0,"",'Permitted Diesel Engines'!R49)</f>
        <v/>
      </c>
      <c r="E62" s="194" t="str">
        <f>IF(B62="","","MMBtu/hr")</f>
        <v/>
      </c>
      <c r="F62" s="194" t="str">
        <f>IF(B62="","",LOOKUP(B62,'Emission Factors'!$A$33:$A$34,'Emission Factors'!$P$33:$P$34))</f>
        <v/>
      </c>
      <c r="G62" s="194" t="str">
        <f>IF(B62="","",LOOKUP(B62,'Emission Factors'!$A$33:$A$34,'Emission Factors'!$C$33:$C$34))</f>
        <v/>
      </c>
      <c r="H62" s="194" t="str">
        <f>IF(B62="","",LOOKUP(B62,'Emission Factors'!$A$33:$A$34,'Emission Factors'!$Q$33:$Q$34))</f>
        <v/>
      </c>
      <c r="I62" s="198" t="str">
        <f>IF(B62="","",'Emission Calculations'!D62*'Emission Calculations'!F62)</f>
        <v/>
      </c>
      <c r="J62" s="194"/>
      <c r="K62" s="198"/>
      <c r="L62" s="198" t="str">
        <f>IF(F62="","",'Permitted Diesel Engines'!AL76)</f>
        <v/>
      </c>
      <c r="M62" s="198" t="str">
        <f>IF(B62="","",'Permitted Diesel Engines'!$T$49*F62/2000)</f>
        <v/>
      </c>
    </row>
    <row r="63" spans="1:13" s="193" customFormat="1" ht="14.25" customHeight="1" x14ac:dyDescent="0.25">
      <c r="A63" s="117" t="str">
        <f>IF('Permitted Diesel Engines'!R50=0,"","ALL")</f>
        <v/>
      </c>
      <c r="B63" s="195" t="str">
        <f>IF('Permitted Diesel Engines'!R50=0,"","Diesel Generator&gt; 600 bhp")</f>
        <v/>
      </c>
      <c r="C63" s="194" t="str">
        <f>IF('Permitted Diesel Engines'!R50=0,"",LOOKUP(B63,'Emission Factors'!A34:A35,'Emission Factors'!B34:B35))</f>
        <v/>
      </c>
      <c r="D63" s="194" t="str">
        <f>IF('Permitted Diesel Engines'!R50=0,"",'Permitted Diesel Engines'!R50)</f>
        <v/>
      </c>
      <c r="E63" s="194" t="str">
        <f>IF(B63="","","MMBtu/hr")</f>
        <v/>
      </c>
      <c r="F63" s="194" t="str">
        <f>IF(B63="","",LOOKUP(B63,'Emission Factors'!$A$33:$A$34,'Emission Factors'!$P$33:$P$34))</f>
        <v/>
      </c>
      <c r="G63" s="194" t="str">
        <f>IF(B63="","",LOOKUP(B63,'Emission Factors'!$A$33:$A$34,'Emission Factors'!$C$33:$C$34))</f>
        <v/>
      </c>
      <c r="H63" s="194" t="str">
        <f>IF(B63="","",LOOKUP(B63,'Emission Factors'!$A$33:$A$34,'Emission Factors'!$Q$33:$Q$34))</f>
        <v/>
      </c>
      <c r="I63" s="198" t="str">
        <f>IF(B63="","",'Emission Calculations'!D63*'Emission Calculations'!F63)</f>
        <v/>
      </c>
      <c r="J63" s="194"/>
      <c r="K63" s="198"/>
      <c r="L63" s="198" t="str">
        <f>IF(F63="","",'Permitted Diesel Engines'!AM76)</f>
        <v/>
      </c>
      <c r="M63" s="198" t="str">
        <f>IF(B63="","",'Permitted Diesel Engines'!$T$50*F63/2000)</f>
        <v/>
      </c>
    </row>
    <row r="64" spans="1:13" s="193" customFormat="1" ht="15" customHeight="1" x14ac:dyDescent="0.25">
      <c r="A64" s="25"/>
      <c r="B64" s="208"/>
      <c r="C64" s="209"/>
      <c r="D64" s="209"/>
      <c r="E64" s="209"/>
      <c r="F64" s="209"/>
      <c r="G64" s="209"/>
      <c r="H64" s="263"/>
      <c r="I64" s="264"/>
      <c r="J64" s="260" t="s">
        <v>31</v>
      </c>
      <c r="L64" s="202">
        <f>SUM(L62:L63)</f>
        <v>0</v>
      </c>
      <c r="M64" s="198">
        <f>SUM(M62:M63)</f>
        <v>0</v>
      </c>
    </row>
    <row r="65" spans="1:13" s="193" customFormat="1" ht="15" customHeight="1" x14ac:dyDescent="0.25">
      <c r="A65" s="295" t="s">
        <v>53</v>
      </c>
      <c r="B65" s="295"/>
      <c r="C65" s="138"/>
      <c r="D65" s="192"/>
      <c r="E65" s="192"/>
      <c r="F65" s="192"/>
      <c r="G65" s="192"/>
      <c r="H65" s="192"/>
      <c r="I65" s="7"/>
      <c r="J65" s="192"/>
      <c r="K65" s="201"/>
      <c r="L65" s="201"/>
      <c r="M65" s="207"/>
    </row>
    <row r="66" spans="1:13" s="193" customFormat="1" ht="14.25" customHeight="1" x14ac:dyDescent="0.25">
      <c r="A66" s="117" t="str">
        <f>IF('Permitted Diesel Engines'!R49=0,"","ALL")</f>
        <v/>
      </c>
      <c r="B66" s="195" t="str">
        <f>IF('Permitted Diesel Engines'!R49=0,"","Diesel Generator ≤ 600 bhp")</f>
        <v/>
      </c>
      <c r="C66" s="194" t="str">
        <f>IF('Permitted Diesel Engines'!R49=0,"",LOOKUP(B66,'Emission Factors'!A33:A34,'Emission Factors'!B33:B34))</f>
        <v/>
      </c>
      <c r="D66" s="194" t="str">
        <f>IF('Permitted Diesel Engines'!R49=0,"",'Permitted Diesel Engines'!R49)</f>
        <v/>
      </c>
      <c r="E66" s="194" t="str">
        <f>IF(B66="","","MMBtu/hr")</f>
        <v/>
      </c>
      <c r="F66" s="194" t="str">
        <f>IF(B66="","",LOOKUP(B66,'Emission Factors'!$A$33:$A$34,'Emission Factors'!$R$33:$R$34))</f>
        <v/>
      </c>
      <c r="G66" s="194" t="str">
        <f>IF(B66="","",LOOKUP(B66,'Emission Factors'!$A$33:$A$34,'Emission Factors'!$C$33:$C$34))</f>
        <v/>
      </c>
      <c r="H66" s="194" t="str">
        <f>IF(B66="","",LOOKUP(B66,'Emission Factors'!$A$33:$A$34,'Emission Factors'!$S$33:$S$34))</f>
        <v/>
      </c>
      <c r="I66" s="198" t="str">
        <f>IF(B66="","",'Emission Calculations'!D66*'Emission Calculations'!F66)</f>
        <v/>
      </c>
      <c r="J66" s="194"/>
      <c r="K66" s="198"/>
      <c r="L66" s="198" t="str">
        <f>IF(F66="","",'Permitted Diesel Engines'!AN76)</f>
        <v/>
      </c>
      <c r="M66" s="198" t="str">
        <f>IF(B66="","",'Permitted Diesel Engines'!$T$49*F66/2000)</f>
        <v/>
      </c>
    </row>
    <row r="67" spans="1:13" s="193" customFormat="1" ht="14.25" customHeight="1" x14ac:dyDescent="0.25">
      <c r="A67" s="117" t="str">
        <f>IF('Permitted Diesel Engines'!R50=0,"","ALL")</f>
        <v/>
      </c>
      <c r="B67" s="195" t="str">
        <f>IF('Permitted Diesel Engines'!R50=0,"","Diesel Generator&gt; 600 bhp")</f>
        <v/>
      </c>
      <c r="C67" s="194" t="str">
        <f>IF('Permitted Diesel Engines'!R50=0,"",LOOKUP(B67,'Emission Factors'!A34:A35,'Emission Factors'!B34:B35))</f>
        <v/>
      </c>
      <c r="D67" s="194" t="str">
        <f>IF('Permitted Diesel Engines'!R50=0,"",'Permitted Diesel Engines'!R50)</f>
        <v/>
      </c>
      <c r="E67" s="194" t="str">
        <f>IF(B67="","","MMBtu/hr")</f>
        <v/>
      </c>
      <c r="F67" s="194" t="str">
        <f>IF(B67="","",LOOKUP(B67,'Emission Factors'!$A$33:$A$34,'Emission Factors'!$R$33:$R$34))</f>
        <v/>
      </c>
      <c r="G67" s="194" t="str">
        <f>IF(B67="","",LOOKUP(B67,'Emission Factors'!$A$33:$A$34,'Emission Factors'!$C$33:$C$34))</f>
        <v/>
      </c>
      <c r="H67" s="194" t="str">
        <f>IF(B67="","",LOOKUP(B67,'Emission Factors'!$A$33:$A$34,'Emission Factors'!$S$33:$S$34))</f>
        <v/>
      </c>
      <c r="I67" s="198" t="str">
        <f>IF(B67="","",'Emission Calculations'!D67*'Emission Calculations'!F67)</f>
        <v/>
      </c>
      <c r="J67" s="194"/>
      <c r="K67" s="198"/>
      <c r="L67" s="198" t="str">
        <f>IF(F67="","",'Permitted Diesel Engines'!AO76)</f>
        <v/>
      </c>
      <c r="M67" s="198" t="str">
        <f>IF(B67="","",'Permitted Diesel Engines'!$T$50*F67/2000)</f>
        <v/>
      </c>
    </row>
    <row r="68" spans="1:13" s="193" customFormat="1" x14ac:dyDescent="0.25">
      <c r="D68" s="210"/>
      <c r="E68" s="210"/>
      <c r="F68" s="210"/>
      <c r="G68" s="210"/>
      <c r="H68" s="261"/>
      <c r="I68" s="262"/>
      <c r="J68" s="260" t="s">
        <v>31</v>
      </c>
      <c r="L68" s="202">
        <f>SUM(L66:L67)</f>
        <v>0</v>
      </c>
      <c r="M68" s="198">
        <f>SUM(M66:M67)</f>
        <v>0</v>
      </c>
    </row>
    <row r="69" spans="1:13" x14ac:dyDescent="0.25">
      <c r="D69" s="104"/>
      <c r="E69" s="104"/>
      <c r="G69" s="104"/>
      <c r="H69" s="104"/>
      <c r="I69" s="104"/>
      <c r="J69" s="104"/>
      <c r="K69" s="104"/>
      <c r="L69" s="104"/>
      <c r="M69" s="94"/>
    </row>
    <row r="70" spans="1:13" x14ac:dyDescent="0.25">
      <c r="D70" s="104"/>
      <c r="E70" s="104"/>
      <c r="G70" s="104"/>
      <c r="H70" s="104"/>
      <c r="I70" s="104"/>
      <c r="J70" s="104"/>
      <c r="K70" s="104"/>
      <c r="L70" s="104"/>
      <c r="M70" s="94"/>
    </row>
    <row r="71" spans="1:13" x14ac:dyDescent="0.25">
      <c r="D71" s="104"/>
      <c r="E71" s="104"/>
      <c r="G71" s="104"/>
      <c r="H71" s="104"/>
      <c r="I71" s="104"/>
      <c r="J71" s="104"/>
      <c r="K71" s="104"/>
      <c r="L71" s="104"/>
      <c r="M71" s="94"/>
    </row>
    <row r="72" spans="1:13" x14ac:dyDescent="0.25">
      <c r="D72" s="104"/>
      <c r="E72" s="104"/>
      <c r="G72" s="104"/>
      <c r="H72" s="104"/>
      <c r="I72" s="104"/>
      <c r="J72" s="104"/>
      <c r="K72" s="104"/>
      <c r="L72" s="104"/>
      <c r="M72" s="94"/>
    </row>
    <row r="73" spans="1:13" x14ac:dyDescent="0.25">
      <c r="D73" s="104"/>
      <c r="E73" s="104"/>
      <c r="G73" s="104"/>
      <c r="H73" s="104"/>
      <c r="I73" s="104"/>
      <c r="J73" s="104"/>
      <c r="K73" s="104"/>
      <c r="L73" s="104"/>
      <c r="M73" s="94"/>
    </row>
    <row r="74" spans="1:13" x14ac:dyDescent="0.25">
      <c r="D74" s="104"/>
      <c r="E74" s="104"/>
      <c r="G74" s="104"/>
      <c r="H74" s="104"/>
      <c r="I74" s="104"/>
      <c r="J74" s="104"/>
      <c r="K74" s="104"/>
      <c r="L74" s="104"/>
      <c r="M74" s="94"/>
    </row>
    <row r="75" spans="1:13" x14ac:dyDescent="0.25">
      <c r="D75" s="104"/>
      <c r="E75" s="104"/>
      <c r="G75" s="104"/>
      <c r="H75" s="104"/>
      <c r="I75" s="104"/>
      <c r="J75" s="104"/>
      <c r="K75" s="104"/>
      <c r="L75" s="104"/>
      <c r="M75" s="94"/>
    </row>
    <row r="76" spans="1:13" x14ac:dyDescent="0.25">
      <c r="D76" s="104"/>
      <c r="E76" s="104"/>
      <c r="G76" s="104"/>
      <c r="H76" s="104"/>
      <c r="I76" s="104"/>
      <c r="J76" s="104"/>
      <c r="K76" s="104"/>
      <c r="L76" s="104"/>
      <c r="M76" s="94"/>
    </row>
    <row r="77" spans="1:13" x14ac:dyDescent="0.25">
      <c r="D77" s="104"/>
      <c r="E77" s="104"/>
      <c r="G77" s="104"/>
      <c r="H77" s="104"/>
      <c r="I77" s="104"/>
      <c r="J77" s="104"/>
      <c r="K77" s="104"/>
      <c r="L77" s="104"/>
    </row>
    <row r="78" spans="1:13" x14ac:dyDescent="0.25">
      <c r="D78" s="104"/>
      <c r="E78" s="104"/>
      <c r="G78" s="104"/>
      <c r="H78" s="104"/>
      <c r="I78" s="104"/>
      <c r="J78" s="104"/>
      <c r="K78" s="104"/>
      <c r="L78" s="104"/>
    </row>
    <row r="79" spans="1:13" x14ac:dyDescent="0.25">
      <c r="D79" s="104"/>
      <c r="E79" s="104"/>
      <c r="G79" s="104"/>
      <c r="H79" s="104"/>
      <c r="I79" s="104"/>
      <c r="J79" s="104"/>
      <c r="K79" s="104"/>
      <c r="L79" s="104"/>
    </row>
    <row r="80" spans="1:13" x14ac:dyDescent="0.25">
      <c r="D80" s="104"/>
      <c r="E80" s="104"/>
      <c r="G80" s="104"/>
      <c r="H80" s="104"/>
      <c r="I80" s="104"/>
      <c r="J80" s="104"/>
      <c r="K80" s="104"/>
      <c r="L80" s="104"/>
    </row>
    <row r="81" spans="4:5" x14ac:dyDescent="0.25">
      <c r="D81" s="104"/>
      <c r="E81" s="104"/>
    </row>
    <row r="82" spans="4:5" x14ac:dyDescent="0.25">
      <c r="D82" s="104"/>
      <c r="E82" s="104"/>
    </row>
    <row r="83" spans="4:5" x14ac:dyDescent="0.25">
      <c r="D83" s="104"/>
      <c r="E83" s="104"/>
    </row>
    <row r="84" spans="4:5" x14ac:dyDescent="0.25">
      <c r="D84" s="104"/>
      <c r="E84" s="104"/>
    </row>
    <row r="85" spans="4:5" x14ac:dyDescent="0.25">
      <c r="D85" s="104"/>
      <c r="E85" s="104"/>
    </row>
    <row r="86" spans="4:5" x14ac:dyDescent="0.25">
      <c r="D86" s="104"/>
      <c r="E86" s="104"/>
    </row>
    <row r="87" spans="4:5" x14ac:dyDescent="0.25">
      <c r="D87" s="104"/>
      <c r="E87" s="104"/>
    </row>
    <row r="88" spans="4:5" x14ac:dyDescent="0.25">
      <c r="D88" s="104"/>
      <c r="E88" s="104"/>
    </row>
    <row r="89" spans="4:5" x14ac:dyDescent="0.25">
      <c r="D89" s="104"/>
      <c r="E89" s="104"/>
    </row>
    <row r="90" spans="4:5" x14ac:dyDescent="0.25">
      <c r="D90" s="104"/>
      <c r="E90" s="104"/>
    </row>
    <row r="91" spans="4:5" x14ac:dyDescent="0.25">
      <c r="D91" s="104"/>
      <c r="E91" s="104"/>
    </row>
    <row r="92" spans="4:5" x14ac:dyDescent="0.25">
      <c r="D92" s="104"/>
      <c r="E92" s="104"/>
    </row>
    <row r="93" spans="4:5" x14ac:dyDescent="0.25">
      <c r="D93" s="104"/>
      <c r="E93" s="104"/>
    </row>
    <row r="94" spans="4:5" x14ac:dyDescent="0.25">
      <c r="D94" s="104"/>
      <c r="E94" s="104"/>
    </row>
    <row r="95" spans="4:5" x14ac:dyDescent="0.25">
      <c r="D95" s="104"/>
      <c r="E95" s="104"/>
    </row>
    <row r="96" spans="4:5" x14ac:dyDescent="0.25">
      <c r="D96" s="104"/>
      <c r="E96" s="104"/>
    </row>
    <row r="97" spans="4:5" x14ac:dyDescent="0.25">
      <c r="D97" s="104"/>
      <c r="E97" s="104"/>
    </row>
    <row r="98" spans="4:5" x14ac:dyDescent="0.25">
      <c r="D98" s="104"/>
      <c r="E98" s="104"/>
    </row>
    <row r="99" spans="4:5" x14ac:dyDescent="0.25">
      <c r="D99" s="104"/>
      <c r="E99" s="104"/>
    </row>
    <row r="100" spans="4:5" x14ac:dyDescent="0.25">
      <c r="D100" s="104"/>
      <c r="E100" s="104"/>
    </row>
    <row r="101" spans="4:5" x14ac:dyDescent="0.25">
      <c r="D101" s="104"/>
      <c r="E101" s="104"/>
    </row>
    <row r="102" spans="4:5" x14ac:dyDescent="0.25">
      <c r="D102" s="104"/>
      <c r="E102" s="104"/>
    </row>
  </sheetData>
  <sheetProtection algorithmName="SHA-512" hashValue="nIxHPjmQaF9x+MhVQRG8CDjaFjChY9sF0J31hkDwgaUPVlvMnsd2F9fVzNxlUEAUrSH9JJVyfhp0+aGeAiW2uA==" saltValue="XxhfnaH4tRQPnwS2EWR2Sg==" spinCount="100000" sheet="1" objects="1" scenarios="1"/>
  <pageMargins left="0.25" right="0.25" top="0.75" bottom="0.75" header="0.3" footer="0.3"/>
  <pageSetup scale="83" orientation="landscape" verticalDpi="300" r:id="rId1"/>
  <rowBreaks count="1" manualBreakCount="1">
    <brk id="4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M146"/>
  <sheetViews>
    <sheetView workbookViewId="0"/>
  </sheetViews>
  <sheetFormatPr defaultColWidth="8.85546875" defaultRowHeight="15" x14ac:dyDescent="0.25"/>
  <cols>
    <col min="1" max="1" width="13.42578125" style="14" customWidth="1"/>
    <col min="2" max="2" width="13.7109375" style="277" customWidth="1"/>
    <col min="3" max="3" width="16.5703125" style="251" customWidth="1"/>
    <col min="4" max="4" width="10.42578125" style="14" customWidth="1"/>
    <col min="5" max="5" width="10" style="14" customWidth="1"/>
    <col min="6" max="6" width="14" style="14" hidden="1" customWidth="1"/>
    <col min="7" max="7" width="10.42578125" style="14" customWidth="1"/>
    <col min="8" max="8" width="13.42578125" style="277" customWidth="1"/>
    <col min="9" max="9" width="17.7109375" style="251" customWidth="1"/>
    <col min="10" max="10" width="8.85546875" style="14"/>
    <col min="11" max="11" width="8.85546875" style="14" hidden="1" customWidth="1"/>
    <col min="12" max="12" width="17.42578125" style="14" hidden="1" customWidth="1"/>
    <col min="13" max="13" width="8.85546875" style="14" hidden="1" customWidth="1"/>
    <col min="14" max="16384" width="8.85546875" style="14"/>
  </cols>
  <sheetData>
    <row r="1" spans="1:13" ht="21.75" customHeight="1" x14ac:dyDescent="0.25">
      <c r="A1" s="270" t="s">
        <v>74</v>
      </c>
      <c r="B1" s="246"/>
      <c r="C1" s="271"/>
      <c r="D1" s="270"/>
    </row>
    <row r="2" spans="1:13" ht="11.25" customHeight="1" thickBot="1" x14ac:dyDescent="0.3">
      <c r="A2" s="227"/>
      <c r="B2" s="246"/>
      <c r="C2" s="271"/>
      <c r="D2" s="246"/>
    </row>
    <row r="3" spans="1:13" ht="15.75" thickBot="1" x14ac:dyDescent="0.3">
      <c r="B3" s="272" t="s">
        <v>20</v>
      </c>
      <c r="C3" s="253"/>
      <c r="D3" s="254"/>
      <c r="K3" s="279" t="s">
        <v>19</v>
      </c>
      <c r="L3" s="280"/>
      <c r="M3" s="281"/>
    </row>
    <row r="4" spans="1:13" x14ac:dyDescent="0.25">
      <c r="B4" s="273" t="s">
        <v>21</v>
      </c>
      <c r="C4" s="255" t="s">
        <v>22</v>
      </c>
      <c r="D4" s="5" t="s">
        <v>23</v>
      </c>
      <c r="K4" s="4" t="s">
        <v>21</v>
      </c>
      <c r="L4" s="255" t="s">
        <v>22</v>
      </c>
      <c r="M4" s="5" t="s">
        <v>23</v>
      </c>
    </row>
    <row r="5" spans="1:13" x14ac:dyDescent="0.25">
      <c r="B5" s="274" t="s">
        <v>24</v>
      </c>
      <c r="C5" s="252" t="s">
        <v>24</v>
      </c>
      <c r="D5" s="95">
        <f ca="1">'Emission Calculations'!M21</f>
        <v>0</v>
      </c>
      <c r="K5" s="1" t="s">
        <v>24</v>
      </c>
      <c r="L5" s="252" t="s">
        <v>24</v>
      </c>
      <c r="M5" s="95">
        <f ca="1">'Emission Calculations'!L21</f>
        <v>0</v>
      </c>
    </row>
    <row r="6" spans="1:13" x14ac:dyDescent="0.25">
      <c r="B6" s="274" t="s">
        <v>25</v>
      </c>
      <c r="C6" s="248" t="s">
        <v>25</v>
      </c>
      <c r="D6" s="95">
        <f ca="1">'Emission Calculations'!M41</f>
        <v>0</v>
      </c>
      <c r="K6" s="2" t="s">
        <v>25</v>
      </c>
      <c r="L6" s="248" t="s">
        <v>25</v>
      </c>
      <c r="M6" s="95">
        <f ca="1">'Emission Calculations'!L41</f>
        <v>0</v>
      </c>
    </row>
    <row r="7" spans="1:13" x14ac:dyDescent="0.25">
      <c r="B7" s="274" t="s">
        <v>3</v>
      </c>
      <c r="C7" s="247" t="s">
        <v>26</v>
      </c>
      <c r="D7" s="95">
        <f>'Emission Calculations'!M48</f>
        <v>0</v>
      </c>
      <c r="K7" s="2" t="s">
        <v>3</v>
      </c>
      <c r="L7" s="247" t="s">
        <v>26</v>
      </c>
      <c r="M7" s="95">
        <f>'Emission Calculations'!L48</f>
        <v>0</v>
      </c>
    </row>
    <row r="8" spans="1:13" x14ac:dyDescent="0.25">
      <c r="B8" s="274" t="s">
        <v>27</v>
      </c>
      <c r="C8" s="247" t="s">
        <v>27</v>
      </c>
      <c r="D8" s="95">
        <f>'Emission Calculations'!M52</f>
        <v>0</v>
      </c>
      <c r="K8" s="2" t="s">
        <v>27</v>
      </c>
      <c r="L8" s="247" t="s">
        <v>27</v>
      </c>
      <c r="M8" s="95">
        <f>'Emission Calculations'!L52</f>
        <v>0</v>
      </c>
    </row>
    <row r="9" spans="1:13" x14ac:dyDescent="0.25">
      <c r="B9" s="274" t="s">
        <v>5</v>
      </c>
      <c r="C9" s="247" t="s">
        <v>5</v>
      </c>
      <c r="D9" s="95">
        <f>'Emission Calculations'!M56</f>
        <v>0</v>
      </c>
      <c r="K9" s="2" t="s">
        <v>5</v>
      </c>
      <c r="L9" s="247" t="s">
        <v>5</v>
      </c>
      <c r="M9" s="95">
        <f>'Emission Calculations'!L56</f>
        <v>0</v>
      </c>
    </row>
    <row r="10" spans="1:13" x14ac:dyDescent="0.25">
      <c r="B10" s="274" t="s">
        <v>6</v>
      </c>
      <c r="C10" s="247" t="s">
        <v>28</v>
      </c>
      <c r="D10" s="95">
        <f>'Emission Calculations'!M60</f>
        <v>0</v>
      </c>
      <c r="K10" s="2" t="s">
        <v>6</v>
      </c>
      <c r="L10" s="247" t="s">
        <v>28</v>
      </c>
      <c r="M10" s="95">
        <f>'Emission Calculations'!L60</f>
        <v>0</v>
      </c>
    </row>
    <row r="11" spans="1:13" x14ac:dyDescent="0.25">
      <c r="B11" s="274" t="s">
        <v>7</v>
      </c>
      <c r="C11" s="247"/>
      <c r="D11" s="95">
        <f>0</f>
        <v>0</v>
      </c>
      <c r="K11" s="2" t="s">
        <v>7</v>
      </c>
      <c r="L11" s="247"/>
      <c r="M11" s="95">
        <f>0</f>
        <v>0</v>
      </c>
    </row>
    <row r="12" spans="1:13" x14ac:dyDescent="0.25">
      <c r="B12" s="274" t="s">
        <v>8</v>
      </c>
      <c r="C12" s="247" t="s">
        <v>29</v>
      </c>
      <c r="D12" s="95">
        <f>'Emission Calculations'!M64</f>
        <v>0</v>
      </c>
      <c r="K12" s="2" t="s">
        <v>8</v>
      </c>
      <c r="L12" s="247" t="s">
        <v>29</v>
      </c>
      <c r="M12" s="95">
        <f>'Emission Calculations'!L64</f>
        <v>0</v>
      </c>
    </row>
    <row r="13" spans="1:13" x14ac:dyDescent="0.25">
      <c r="B13" s="275" t="s">
        <v>53</v>
      </c>
      <c r="C13" s="250" t="s">
        <v>73</v>
      </c>
      <c r="D13" s="96">
        <f>'Emission Calculations'!M68</f>
        <v>0</v>
      </c>
      <c r="K13" s="26" t="s">
        <v>53</v>
      </c>
      <c r="L13" s="250" t="s">
        <v>73</v>
      </c>
      <c r="M13" s="96">
        <f>'Emission Calculations'!L68</f>
        <v>0</v>
      </c>
    </row>
    <row r="14" spans="1:13" ht="15.75" thickBot="1" x14ac:dyDescent="0.3">
      <c r="B14" s="276" t="s">
        <v>30</v>
      </c>
      <c r="C14" s="249"/>
      <c r="D14" s="97">
        <f>SUM(D12:D13)</f>
        <v>0</v>
      </c>
      <c r="K14" s="3" t="s">
        <v>30</v>
      </c>
      <c r="L14" s="249"/>
      <c r="M14" s="97">
        <f>SUM(M12:M13)</f>
        <v>0</v>
      </c>
    </row>
    <row r="16" spans="1:13" ht="18.75" x14ac:dyDescent="0.25">
      <c r="A16" s="246" t="s">
        <v>168</v>
      </c>
      <c r="B16" s="246"/>
      <c r="C16" s="271"/>
      <c r="D16" s="246"/>
    </row>
    <row r="17" spans="1:11" ht="15.75" thickBot="1" x14ac:dyDescent="0.3"/>
    <row r="18" spans="1:11" ht="16.5" hidden="1" thickBot="1" x14ac:dyDescent="0.3">
      <c r="A18" s="98" t="s">
        <v>225</v>
      </c>
      <c r="B18" s="272" t="s">
        <v>166</v>
      </c>
      <c r="C18" s="253"/>
      <c r="D18" s="254"/>
      <c r="G18" s="98" t="s">
        <v>226</v>
      </c>
      <c r="H18" s="272" t="s">
        <v>166</v>
      </c>
      <c r="I18" s="253"/>
      <c r="J18" s="254"/>
    </row>
    <row r="19" spans="1:11" hidden="1" x14ac:dyDescent="0.25">
      <c r="B19" s="273" t="s">
        <v>21</v>
      </c>
      <c r="C19" s="256" t="s">
        <v>22</v>
      </c>
      <c r="D19" s="5" t="s">
        <v>23</v>
      </c>
      <c r="H19" s="273" t="s">
        <v>21</v>
      </c>
      <c r="I19" s="256" t="s">
        <v>22</v>
      </c>
      <c r="J19" s="5" t="s">
        <v>23</v>
      </c>
    </row>
    <row r="20" spans="1:11" hidden="1" x14ac:dyDescent="0.25">
      <c r="B20" s="278" t="s">
        <v>24</v>
      </c>
      <c r="C20" s="252" t="s">
        <v>24</v>
      </c>
      <c r="D20" s="95">
        <f ca="1">IF('Concrete Plant (CP-1)'!J10&gt;0,SUM('Concrete Plant (CP-1)'!J10,'Concrete Plant (CP-1)'!U48,'Haul Roads'!AL9,'Permitted Diesel Engines'!Z53),SUM('Concrete Plant (CP-1)'!U21:U31,'Concrete Plant (CP-1)'!U48,'Haul Roads'!AL9,'Permitted Diesel Engines'!Z53))</f>
        <v>0</v>
      </c>
      <c r="E20" s="99"/>
      <c r="H20" s="278" t="s">
        <v>24</v>
      </c>
      <c r="I20" s="252" t="s">
        <v>24</v>
      </c>
      <c r="J20" s="95">
        <f ca="1">IF('Concrete Plant (CP-2)'!J10&gt;0,SUM('Concrete Plant (CP-2)'!J10,'Concrete Plant (CP-2)'!U49,'Haul Roads'!AL10,'Permitted Diesel Engines'!Z54),SUM('Concrete Plant (CP-2)'!U21:U31,'Concrete Plant (CP-2)'!U49,'Haul Roads'!AL10,'Permitted Diesel Engines'!Z54))</f>
        <v>0</v>
      </c>
      <c r="K20" s="99"/>
    </row>
    <row r="21" spans="1:11" hidden="1" x14ac:dyDescent="0.25">
      <c r="B21" s="274" t="s">
        <v>25</v>
      </c>
      <c r="C21" s="248" t="s">
        <v>25</v>
      </c>
      <c r="D21" s="95">
        <f ca="1">IF('Concrete Plant (CP-1)'!J11&gt;0,SUM('Concrete Plant (CP-1)'!J11,'Concrete Plant (CP-1)'!U48,'Haul Roads'!AN9,'Permitted Diesel Engines'!AC53),SUM('Concrete Plant (CP-1)'!U34:U44,'Concrete Plant (CP-1)'!U48,'Haul Roads'!AN9,'Permitted Diesel Engines'!AC53))</f>
        <v>0</v>
      </c>
      <c r="E21" s="99"/>
      <c r="H21" s="274" t="s">
        <v>25</v>
      </c>
      <c r="I21" s="248" t="s">
        <v>25</v>
      </c>
      <c r="J21" s="95">
        <f ca="1">IF('Concrete Plant (CP-2)'!J11&gt;0,SUM('Concrete Plant (CP-2)'!J11,'Concrete Plant (CP-2)'!U49,'Haul Roads'!AN10,'Permitted Diesel Engines'!AC54),SUM('Concrete Plant (CP-2)'!U35:U45,'Concrete Plant (CP-2)'!U49,'Haul Roads'!AN10,'Permitted Diesel Engines'!AC54))</f>
        <v>0</v>
      </c>
      <c r="K21" s="99"/>
    </row>
    <row r="22" spans="1:11" hidden="1" x14ac:dyDescent="0.25">
      <c r="B22" s="274" t="s">
        <v>3</v>
      </c>
      <c r="C22" s="247" t="s">
        <v>26</v>
      </c>
      <c r="D22" s="95">
        <f>IF('Concrete Plant (CP-1)'!J12&gt;0,'Concrete Plant (CP-1)'!J12,'Permitted Diesel Engines'!AD53)</f>
        <v>0</v>
      </c>
      <c r="E22" s="99" t="str">
        <f>IF(D22&gt;100,"Thresholds exceeded, contact DNR for assistance.","")</f>
        <v/>
      </c>
      <c r="H22" s="274" t="s">
        <v>3</v>
      </c>
      <c r="I22" s="247" t="s">
        <v>26</v>
      </c>
      <c r="J22" s="95">
        <f>IF('Concrete Plant (CP-2)'!J12&gt;0,'Concrete Plant (CP-2)'!J12,'Permitted Diesel Engines'!AD54)</f>
        <v>0</v>
      </c>
      <c r="K22" s="99" t="str">
        <f>IF(J22&gt;100,"Thresholds exceeded, contact DNR for assistance.","")</f>
        <v/>
      </c>
    </row>
    <row r="23" spans="1:11" hidden="1" x14ac:dyDescent="0.25">
      <c r="B23" s="274" t="s">
        <v>27</v>
      </c>
      <c r="C23" s="247" t="s">
        <v>27</v>
      </c>
      <c r="D23" s="95">
        <f>IF('Concrete Plant (CP-1)'!J13&gt;0,'Concrete Plant (CP-1)'!J13,'Permitted Diesel Engines'!AG53)</f>
        <v>0</v>
      </c>
      <c r="E23" s="99" t="str">
        <f>IF(D23&gt;100,"Thresholds exceeded, contact DNR for assistance.","")</f>
        <v/>
      </c>
      <c r="H23" s="274" t="s">
        <v>27</v>
      </c>
      <c r="I23" s="247" t="s">
        <v>27</v>
      </c>
      <c r="J23" s="95">
        <f>IF('Concrete Plant (CP-2)'!J13&gt;0,'Concrete Plant (CP-2)'!J13,'Permitted Diesel Engines'!AG54)</f>
        <v>0</v>
      </c>
      <c r="K23" s="99" t="str">
        <f>IF(J23&gt;100,"Thresholds exceeded, contact DNR for assistance.","")</f>
        <v/>
      </c>
    </row>
    <row r="24" spans="1:11" hidden="1" x14ac:dyDescent="0.25">
      <c r="B24" s="274" t="s">
        <v>5</v>
      </c>
      <c r="C24" s="247" t="s">
        <v>5</v>
      </c>
      <c r="D24" s="95">
        <f>IF('Concrete Plant (CP-1)'!J14&gt;0,'Concrete Plant (CP-1)'!J14,'Permitted Diesel Engines'!AH53)</f>
        <v>0</v>
      </c>
      <c r="E24" s="99" t="str">
        <f>IF(D24&gt;100,"Thresholds exceeded, contact DNR for assistance.","")</f>
        <v/>
      </c>
      <c r="H24" s="274" t="s">
        <v>5</v>
      </c>
      <c r="I24" s="247" t="s">
        <v>5</v>
      </c>
      <c r="J24" s="95">
        <f>IF('Concrete Plant (CP-2)'!J14&gt;0,'Concrete Plant (CP-2)'!J14,'Permitted Diesel Engines'!AH54)</f>
        <v>0</v>
      </c>
      <c r="K24" s="99" t="str">
        <f>IF(J24&gt;100,"Thresholds exceeded, contact DNR for assistance.","")</f>
        <v/>
      </c>
    </row>
    <row r="25" spans="1:11" hidden="1" x14ac:dyDescent="0.25">
      <c r="B25" s="274" t="s">
        <v>6</v>
      </c>
      <c r="C25" s="247" t="s">
        <v>28</v>
      </c>
      <c r="D25" s="95">
        <f>IF('Concrete Plant (CP-1)'!J15&gt;0,'Concrete Plant (CP-1)'!J15,'Permitted Diesel Engines'!AK53)</f>
        <v>0</v>
      </c>
      <c r="E25" s="99" t="str">
        <f>IF(D25&gt;100,"Thresholds exceeded, contact DNR for assistance.","")</f>
        <v/>
      </c>
      <c r="H25" s="274" t="s">
        <v>6</v>
      </c>
      <c r="I25" s="247" t="s">
        <v>28</v>
      </c>
      <c r="J25" s="95">
        <f>IF('Concrete Plant (CP-2)'!J15&gt;0,'Concrete Plant (CP-2)'!J15,'Permitted Diesel Engines'!AK54)</f>
        <v>0</v>
      </c>
      <c r="K25" s="99" t="str">
        <f>IF(J25&gt;100,"Thresholds exceeded, contact DNR for assistance.","")</f>
        <v/>
      </c>
    </row>
    <row r="26" spans="1:11" hidden="1" x14ac:dyDescent="0.25">
      <c r="B26" s="274" t="s">
        <v>7</v>
      </c>
      <c r="C26" s="247"/>
      <c r="D26" s="95"/>
      <c r="E26" s="99" t="str">
        <f>IF(D26&gt;100,"Thresholds exceeded, contact DNR for assistance.","")</f>
        <v/>
      </c>
      <c r="H26" s="274" t="s">
        <v>7</v>
      </c>
      <c r="I26" s="247"/>
      <c r="J26" s="95"/>
      <c r="K26" s="99" t="str">
        <f>IF(J26&gt;100,"Thresholds exceeded, contact DNR for assistance.","")</f>
        <v/>
      </c>
    </row>
    <row r="27" spans="1:11" hidden="1" x14ac:dyDescent="0.25">
      <c r="B27" s="274" t="s">
        <v>8</v>
      </c>
      <c r="C27" s="247" t="s">
        <v>29</v>
      </c>
      <c r="D27" s="95">
        <f>'Permitted Diesel Engines'!AL53</f>
        <v>0</v>
      </c>
      <c r="E27" s="99" t="str">
        <f>IF(D27&gt;10,"Thresholds exceeded, contact DNR for assistance.","")</f>
        <v/>
      </c>
      <c r="H27" s="274" t="s">
        <v>8</v>
      </c>
      <c r="I27" s="247" t="s">
        <v>29</v>
      </c>
      <c r="J27" s="95">
        <f>'Permitted Diesel Engines'!AL54</f>
        <v>0</v>
      </c>
      <c r="K27" s="99" t="str">
        <f>IF(J27&gt;10,"Thresholds exceeded, contact DNR for assistance.","")</f>
        <v/>
      </c>
    </row>
    <row r="28" spans="1:11" hidden="1" x14ac:dyDescent="0.25">
      <c r="B28" s="275" t="s">
        <v>53</v>
      </c>
      <c r="C28" s="250" t="s">
        <v>73</v>
      </c>
      <c r="D28" s="95">
        <f>'Permitted Diesel Engines'!AO53</f>
        <v>0</v>
      </c>
      <c r="E28" s="99" t="str">
        <f>IF(D28&gt;10,"Thresholds exceeded, contact DNR for assistance.","")</f>
        <v/>
      </c>
      <c r="H28" s="275" t="s">
        <v>53</v>
      </c>
      <c r="I28" s="250" t="s">
        <v>73</v>
      </c>
      <c r="J28" s="95">
        <f>'Permitted Diesel Engines'!AO54</f>
        <v>0</v>
      </c>
      <c r="K28" s="99" t="str">
        <f>IF(J28&gt;10,"Thresholds exceeded, contact DNR for assistance.","")</f>
        <v/>
      </c>
    </row>
    <row r="29" spans="1:11" ht="15.75" hidden="1" thickBot="1" x14ac:dyDescent="0.3">
      <c r="B29" s="276" t="s">
        <v>30</v>
      </c>
      <c r="C29" s="249"/>
      <c r="D29" s="97">
        <f>SUM(D27:D28)</f>
        <v>0</v>
      </c>
      <c r="E29" s="99" t="str">
        <f>IF(D29&gt;25,"Thresholds exceeded, contact DNR for assistance.","")</f>
        <v/>
      </c>
      <c r="H29" s="276" t="s">
        <v>30</v>
      </c>
      <c r="I29" s="249"/>
      <c r="J29" s="97">
        <f>SUM(J27:J28)</f>
        <v>0</v>
      </c>
      <c r="K29" s="99" t="str">
        <f>IF(J29&gt;25,"Thresholds exceeded, contact DNR for assistance.","")</f>
        <v/>
      </c>
    </row>
    <row r="30" spans="1:11" ht="15.75" hidden="1" thickBot="1" x14ac:dyDescent="0.3"/>
    <row r="31" spans="1:11" ht="16.5" thickBot="1" x14ac:dyDescent="0.3">
      <c r="A31" s="98" t="s">
        <v>225</v>
      </c>
      <c r="B31" s="272" t="s">
        <v>167</v>
      </c>
      <c r="C31" s="253"/>
      <c r="D31" s="254"/>
      <c r="G31" s="98" t="s">
        <v>226</v>
      </c>
      <c r="H31" s="272" t="s">
        <v>167</v>
      </c>
      <c r="I31" s="253"/>
      <c r="J31" s="254"/>
    </row>
    <row r="32" spans="1:11" x14ac:dyDescent="0.25">
      <c r="B32" s="288" t="s">
        <v>21</v>
      </c>
      <c r="C32" s="287" t="s">
        <v>22</v>
      </c>
      <c r="D32" s="289" t="s">
        <v>23</v>
      </c>
      <c r="H32" s="288" t="s">
        <v>21</v>
      </c>
      <c r="I32" s="287" t="s">
        <v>22</v>
      </c>
      <c r="J32" s="289" t="s">
        <v>23</v>
      </c>
    </row>
    <row r="33" spans="1:11" x14ac:dyDescent="0.25">
      <c r="B33" s="274" t="s">
        <v>24</v>
      </c>
      <c r="C33" s="283" t="s">
        <v>24</v>
      </c>
      <c r="D33" s="95">
        <f ca="1">SUM('Concrete Plant (CP-1)'!V21:V31,'Concrete Plant (CP-1)'!V48,'Haul Roads'!AM9,'Permitted Diesel Engines'!AA53)</f>
        <v>0</v>
      </c>
      <c r="E33" s="99"/>
      <c r="H33" s="274" t="s">
        <v>24</v>
      </c>
      <c r="I33" s="283" t="s">
        <v>24</v>
      </c>
      <c r="J33" s="95">
        <f ca="1">SUM('Concrete Plant (CP-2)'!V21:V31,'Concrete Plant (CP-2)'!V49,'Haul Roads'!AM10,'Permitted Diesel Engines'!AA54)</f>
        <v>0</v>
      </c>
    </row>
    <row r="34" spans="1:11" x14ac:dyDescent="0.25">
      <c r="B34" s="274" t="s">
        <v>25</v>
      </c>
      <c r="C34" s="284" t="s">
        <v>25</v>
      </c>
      <c r="D34" s="95">
        <f ca="1">SUM('Concrete Plant (CP-1)'!V34:V44,'Concrete Plant (CP-1)'!V48,'Haul Roads'!AO9,'Permitted Diesel Engines'!AB53)</f>
        <v>0</v>
      </c>
      <c r="E34" s="99"/>
      <c r="H34" s="274" t="s">
        <v>25</v>
      </c>
      <c r="I34" s="284" t="s">
        <v>25</v>
      </c>
      <c r="J34" s="95">
        <f ca="1">SUM('Concrete Plant (CP-2)'!V35:V45,'Concrete Plant (CP-2)'!V49,'Haul Roads'!AO10,'Permitted Diesel Engines'!AB54)</f>
        <v>0</v>
      </c>
    </row>
    <row r="35" spans="1:11" x14ac:dyDescent="0.25">
      <c r="B35" s="274" t="s">
        <v>3</v>
      </c>
      <c r="C35" s="285" t="s">
        <v>26</v>
      </c>
      <c r="D35" s="95">
        <f>'Permitted Diesel Engines'!AE53</f>
        <v>0</v>
      </c>
      <c r="E35" s="99"/>
      <c r="H35" s="274" t="s">
        <v>3</v>
      </c>
      <c r="I35" s="285" t="s">
        <v>26</v>
      </c>
      <c r="J35" s="95">
        <f>'Permitted Diesel Engines'!AE54</f>
        <v>0</v>
      </c>
    </row>
    <row r="36" spans="1:11" x14ac:dyDescent="0.25">
      <c r="B36" s="274" t="s">
        <v>27</v>
      </c>
      <c r="C36" s="285" t="s">
        <v>27</v>
      </c>
      <c r="D36" s="95">
        <f>'Permitted Diesel Engines'!AF53</f>
        <v>0</v>
      </c>
      <c r="E36" s="99"/>
      <c r="H36" s="274" t="s">
        <v>27</v>
      </c>
      <c r="I36" s="285" t="s">
        <v>27</v>
      </c>
      <c r="J36" s="95">
        <f>'Permitted Diesel Engines'!AF54</f>
        <v>0</v>
      </c>
    </row>
    <row r="37" spans="1:11" x14ac:dyDescent="0.25">
      <c r="B37" s="274" t="s">
        <v>5</v>
      </c>
      <c r="C37" s="285" t="s">
        <v>5</v>
      </c>
      <c r="D37" s="95">
        <f>'Permitted Diesel Engines'!AI53</f>
        <v>0</v>
      </c>
      <c r="E37" s="99"/>
      <c r="H37" s="274" t="s">
        <v>5</v>
      </c>
      <c r="I37" s="285" t="s">
        <v>5</v>
      </c>
      <c r="J37" s="95">
        <f>'Permitted Diesel Engines'!AI54</f>
        <v>0</v>
      </c>
    </row>
    <row r="38" spans="1:11" x14ac:dyDescent="0.25">
      <c r="B38" s="274" t="s">
        <v>6</v>
      </c>
      <c r="C38" s="285" t="s">
        <v>28</v>
      </c>
      <c r="D38" s="95">
        <f>'Permitted Diesel Engines'!AJ53</f>
        <v>0</v>
      </c>
      <c r="E38" s="99"/>
      <c r="H38" s="274" t="s">
        <v>6</v>
      </c>
      <c r="I38" s="285" t="s">
        <v>28</v>
      </c>
      <c r="J38" s="95">
        <f>'Permitted Diesel Engines'!AJ54</f>
        <v>0</v>
      </c>
    </row>
    <row r="39" spans="1:11" x14ac:dyDescent="0.25">
      <c r="B39" s="274" t="s">
        <v>7</v>
      </c>
      <c r="C39" s="285"/>
      <c r="D39" s="95"/>
      <c r="E39" s="99"/>
      <c r="H39" s="274" t="s">
        <v>7</v>
      </c>
      <c r="I39" s="285"/>
      <c r="J39" s="95"/>
    </row>
    <row r="40" spans="1:11" x14ac:dyDescent="0.25">
      <c r="B40" s="274" t="s">
        <v>8</v>
      </c>
      <c r="C40" s="285" t="s">
        <v>29</v>
      </c>
      <c r="D40" s="95">
        <f>'Permitted Diesel Engines'!AM53</f>
        <v>0</v>
      </c>
      <c r="E40" s="99"/>
      <c r="H40" s="274" t="s">
        <v>8</v>
      </c>
      <c r="I40" s="285" t="s">
        <v>29</v>
      </c>
      <c r="J40" s="95">
        <f>'Permitted Diesel Engines'!AM54</f>
        <v>0</v>
      </c>
    </row>
    <row r="41" spans="1:11" x14ac:dyDescent="0.25">
      <c r="B41" s="275" t="s">
        <v>53</v>
      </c>
      <c r="C41" s="286" t="s">
        <v>73</v>
      </c>
      <c r="D41" s="95">
        <f>'Permitted Diesel Engines'!AN53</f>
        <v>0</v>
      </c>
      <c r="E41" s="99"/>
      <c r="H41" s="275" t="s">
        <v>53</v>
      </c>
      <c r="I41" s="286" t="s">
        <v>73</v>
      </c>
      <c r="J41" s="95">
        <f>'Permitted Diesel Engines'!AN54</f>
        <v>0</v>
      </c>
    </row>
    <row r="42" spans="1:11" ht="15.75" thickBot="1" x14ac:dyDescent="0.3">
      <c r="B42" s="276" t="s">
        <v>30</v>
      </c>
      <c r="C42" s="290"/>
      <c r="D42" s="97">
        <f>SUM(D40:D41)</f>
        <v>0</v>
      </c>
      <c r="E42" s="99"/>
      <c r="H42" s="276" t="s">
        <v>30</v>
      </c>
      <c r="I42" s="290"/>
      <c r="J42" s="97">
        <f>SUM(J40:J41)</f>
        <v>0</v>
      </c>
    </row>
    <row r="43" spans="1:11" ht="15.75" thickBot="1" x14ac:dyDescent="0.3"/>
    <row r="44" spans="1:11" ht="16.5" hidden="1" thickBot="1" x14ac:dyDescent="0.3">
      <c r="A44" s="98" t="s">
        <v>227</v>
      </c>
      <c r="B44" s="272" t="s">
        <v>166</v>
      </c>
      <c r="C44" s="253"/>
      <c r="D44" s="254"/>
      <c r="G44" s="98" t="s">
        <v>228</v>
      </c>
      <c r="H44" s="272" t="s">
        <v>166</v>
      </c>
      <c r="I44" s="253"/>
      <c r="J44" s="254"/>
    </row>
    <row r="45" spans="1:11" hidden="1" x14ac:dyDescent="0.25">
      <c r="B45" s="288" t="s">
        <v>21</v>
      </c>
      <c r="C45" s="287" t="s">
        <v>22</v>
      </c>
      <c r="D45" s="289" t="s">
        <v>23</v>
      </c>
      <c r="H45" s="288" t="s">
        <v>21</v>
      </c>
      <c r="I45" s="287" t="s">
        <v>22</v>
      </c>
      <c r="J45" s="289" t="s">
        <v>23</v>
      </c>
    </row>
    <row r="46" spans="1:11" hidden="1" x14ac:dyDescent="0.25">
      <c r="B46" s="278" t="s">
        <v>24</v>
      </c>
      <c r="C46" s="283" t="s">
        <v>24</v>
      </c>
      <c r="D46" s="95">
        <f ca="1">IF('Concrete Plant (CP-3)'!J10&gt;0,SUM('Concrete Plant (CP-3)'!J10,'Concrete Plant (CP-3)'!U49,'Haul Roads'!AL11,'Permitted Diesel Engines'!Z55),SUM('Concrete Plant (CP-3)'!U21:U31,'Concrete Plant (CP-3)'!U49,'Haul Roads'!AL11,'Permitted Diesel Engines'!Z55))</f>
        <v>0</v>
      </c>
      <c r="E46" s="99"/>
      <c r="H46" s="278" t="s">
        <v>24</v>
      </c>
      <c r="I46" s="283" t="s">
        <v>24</v>
      </c>
      <c r="J46" s="95">
        <f ca="1">IF('Concrete Plant (CP-4)'!J10&gt;0,SUM('Concrete Plant (CP-4)'!J10,'Concrete Plant (CP-4)'!U49,'Haul Roads'!AL12,'Permitted Diesel Engines'!Z56),SUM('Concrete Plant (CP-4)'!U21:U31,'Concrete Plant (CP-4)'!U49,'Haul Roads'!AL12,'Permitted Diesel Engines'!Z56))</f>
        <v>0</v>
      </c>
      <c r="K46" s="99"/>
    </row>
    <row r="47" spans="1:11" hidden="1" x14ac:dyDescent="0.25">
      <c r="B47" s="274" t="s">
        <v>25</v>
      </c>
      <c r="C47" s="284" t="s">
        <v>25</v>
      </c>
      <c r="D47" s="95">
        <f ca="1">IF('Concrete Plant (CP-3)'!J11&gt;0,SUM('Concrete Plant (CP-3)'!J11,'Concrete Plant (CP-3)'!U49,'Haul Roads'!AN11,'Permitted Diesel Engines'!AC55),SUM('Concrete Plant (CP-3)'!U35:U45,'Concrete Plant (CP-3)'!U49,'Haul Roads'!AN11,'Permitted Diesel Engines'!AC55))</f>
        <v>0</v>
      </c>
      <c r="E47" s="99"/>
      <c r="H47" s="274" t="s">
        <v>25</v>
      </c>
      <c r="I47" s="284" t="s">
        <v>25</v>
      </c>
      <c r="J47" s="95">
        <f ca="1">IF('Concrete Plant (CP-4)'!J11&gt;0,SUM('Concrete Plant (CP-4)'!J11,'Concrete Plant (CP-4)'!U49,'Haul Roads'!AN12,'Permitted Diesel Engines'!AC56),SUM('Concrete Plant (CP-4)'!U35:U45,'Concrete Plant (CP-4)'!U49,'Haul Roads'!AN12,'Permitted Diesel Engines'!AC56))</f>
        <v>0</v>
      </c>
      <c r="K47" s="99"/>
    </row>
    <row r="48" spans="1:11" hidden="1" x14ac:dyDescent="0.25">
      <c r="B48" s="274" t="s">
        <v>3</v>
      </c>
      <c r="C48" s="285" t="s">
        <v>26</v>
      </c>
      <c r="D48" s="95">
        <f>IF('Concrete Plant (CP-3)'!J12&gt;0,'Concrete Plant (CP-3)'!J12,'Permitted Diesel Engines'!AD55)</f>
        <v>0</v>
      </c>
      <c r="E48" s="99" t="str">
        <f>IF(D48&gt;100,"Thresholds exceeded, contact DNR for assistance.","")</f>
        <v/>
      </c>
      <c r="H48" s="274" t="s">
        <v>3</v>
      </c>
      <c r="I48" s="285" t="s">
        <v>26</v>
      </c>
      <c r="J48" s="95">
        <f>IF('Concrete Plant (CP-4)'!J12&gt;0,'Concrete Plant (CP-4)'!J12,'Permitted Diesel Engines'!AD56)</f>
        <v>0</v>
      </c>
      <c r="K48" s="99" t="str">
        <f>IF(J48&gt;100,"Thresholds exceeded, contact DNR for assistance.","")</f>
        <v/>
      </c>
    </row>
    <row r="49" spans="1:11" hidden="1" x14ac:dyDescent="0.25">
      <c r="B49" s="274" t="s">
        <v>27</v>
      </c>
      <c r="C49" s="285" t="s">
        <v>27</v>
      </c>
      <c r="D49" s="95">
        <f>IF('Concrete Plant (CP-3)'!J13&gt;0,'Concrete Plant (CP-3)'!J13,'Permitted Diesel Engines'!AG55)</f>
        <v>0</v>
      </c>
      <c r="E49" s="99" t="str">
        <f>IF(D49&gt;100,"Thresholds exceeded, contact DNR for assistance.","")</f>
        <v/>
      </c>
      <c r="H49" s="274" t="s">
        <v>27</v>
      </c>
      <c r="I49" s="285" t="s">
        <v>27</v>
      </c>
      <c r="J49" s="95">
        <f>IF('Concrete Plant (CP-4)'!J13&gt;0,'Concrete Plant (CP-4)'!J13,'Permitted Diesel Engines'!AG56)</f>
        <v>0</v>
      </c>
      <c r="K49" s="99" t="str">
        <f>IF(J49&gt;100,"Thresholds exceeded, contact DNR for assistance.","")</f>
        <v/>
      </c>
    </row>
    <row r="50" spans="1:11" hidden="1" x14ac:dyDescent="0.25">
      <c r="B50" s="274" t="s">
        <v>5</v>
      </c>
      <c r="C50" s="285" t="s">
        <v>5</v>
      </c>
      <c r="D50" s="95">
        <f>IF('Concrete Plant (CP-3)'!J14&gt;0,'Concrete Plant (CP-3)'!J14,'Permitted Diesel Engines'!AH55)</f>
        <v>0</v>
      </c>
      <c r="E50" s="99" t="str">
        <f>IF(D50&gt;100,"Thresholds exceeded, contact DNR for assistance.","")</f>
        <v/>
      </c>
      <c r="H50" s="274" t="s">
        <v>5</v>
      </c>
      <c r="I50" s="285" t="s">
        <v>5</v>
      </c>
      <c r="J50" s="95">
        <f>IF('Concrete Plant (CP-4)'!J14&gt;0,'Concrete Plant (CP-4)'!J14,'Permitted Diesel Engines'!AH56)</f>
        <v>0</v>
      </c>
      <c r="K50" s="99" t="str">
        <f>IF(J50&gt;100,"Thresholds exceeded, contact DNR for assistance.","")</f>
        <v/>
      </c>
    </row>
    <row r="51" spans="1:11" hidden="1" x14ac:dyDescent="0.25">
      <c r="B51" s="274" t="s">
        <v>6</v>
      </c>
      <c r="C51" s="285" t="s">
        <v>28</v>
      </c>
      <c r="D51" s="95">
        <f>IF('Concrete Plant (CP-3)'!J15&gt;0,'Concrete Plant (CP-3)'!J15,'Permitted Diesel Engines'!AK55)</f>
        <v>0</v>
      </c>
      <c r="E51" s="99" t="str">
        <f>IF(D51&gt;100,"Thresholds exceeded, contact DNR for assistance.","")</f>
        <v/>
      </c>
      <c r="H51" s="274" t="s">
        <v>6</v>
      </c>
      <c r="I51" s="285" t="s">
        <v>28</v>
      </c>
      <c r="J51" s="95">
        <f>IF('Concrete Plant (CP-4)'!J15&gt;0,'Concrete Plant (CP-4)'!J15,'Permitted Diesel Engines'!AK56)</f>
        <v>0</v>
      </c>
      <c r="K51" s="99" t="str">
        <f>IF(J51&gt;100,"Thresholds exceeded, contact DNR for assistance.","")</f>
        <v/>
      </c>
    </row>
    <row r="52" spans="1:11" hidden="1" x14ac:dyDescent="0.25">
      <c r="B52" s="274" t="s">
        <v>7</v>
      </c>
      <c r="C52" s="285"/>
      <c r="D52" s="95"/>
      <c r="E52" s="99" t="str">
        <f>IF(D52&gt;100,"Thresholds exceeded, contact DNR for assistance.","")</f>
        <v/>
      </c>
      <c r="H52" s="274" t="s">
        <v>7</v>
      </c>
      <c r="I52" s="285"/>
      <c r="J52" s="95"/>
      <c r="K52" s="99" t="str">
        <f>IF(J52&gt;100,"Thresholds exceeded, contact DNR for assistance.","")</f>
        <v/>
      </c>
    </row>
    <row r="53" spans="1:11" hidden="1" x14ac:dyDescent="0.25">
      <c r="B53" s="274" t="s">
        <v>8</v>
      </c>
      <c r="C53" s="285" t="s">
        <v>29</v>
      </c>
      <c r="D53" s="95">
        <f>'Permitted Diesel Engines'!AL55</f>
        <v>0</v>
      </c>
      <c r="E53" s="99" t="str">
        <f>IF(D53&gt;10,"Thresholds exceeded, contact DNR for assistance.","")</f>
        <v/>
      </c>
      <c r="H53" s="274" t="s">
        <v>8</v>
      </c>
      <c r="I53" s="285" t="s">
        <v>29</v>
      </c>
      <c r="J53" s="95">
        <f>'Permitted Diesel Engines'!AL56</f>
        <v>0</v>
      </c>
      <c r="K53" s="99" t="str">
        <f>IF(J53&gt;10,"Thresholds exceeded, contact DNR for assistance.","")</f>
        <v/>
      </c>
    </row>
    <row r="54" spans="1:11" hidden="1" x14ac:dyDescent="0.25">
      <c r="B54" s="275" t="s">
        <v>53</v>
      </c>
      <c r="C54" s="286" t="s">
        <v>73</v>
      </c>
      <c r="D54" s="95">
        <f>'Permitted Diesel Engines'!AO55</f>
        <v>0</v>
      </c>
      <c r="E54" s="99" t="str">
        <f>IF(D54&gt;10,"Thresholds exceeded, contact DNR for assistance.","")</f>
        <v/>
      </c>
      <c r="H54" s="275" t="s">
        <v>53</v>
      </c>
      <c r="I54" s="286" t="s">
        <v>73</v>
      </c>
      <c r="J54" s="95">
        <f>'Permitted Diesel Engines'!AO56</f>
        <v>0</v>
      </c>
      <c r="K54" s="99" t="str">
        <f>IF(J54&gt;10,"Thresholds exceeded, contact DNR for assistance.","")</f>
        <v/>
      </c>
    </row>
    <row r="55" spans="1:11" ht="15.75" hidden="1" thickBot="1" x14ac:dyDescent="0.3">
      <c r="B55" s="276" t="s">
        <v>30</v>
      </c>
      <c r="C55" s="290"/>
      <c r="D55" s="97">
        <f>SUM(D53:D54)</f>
        <v>0</v>
      </c>
      <c r="E55" s="99" t="str">
        <f>IF(D55&gt;25,"Thresholds exceeded, contact DNR for assistance.","")</f>
        <v/>
      </c>
      <c r="H55" s="276" t="s">
        <v>30</v>
      </c>
      <c r="I55" s="290"/>
      <c r="J55" s="97">
        <f>SUM(J53:J54)</f>
        <v>0</v>
      </c>
      <c r="K55" s="99" t="str">
        <f>IF(J55&gt;25,"Thresholds exceeded, contact DNR for assistance.","")</f>
        <v/>
      </c>
    </row>
    <row r="56" spans="1:11" ht="16.5" hidden="1" thickBot="1" x14ac:dyDescent="0.3">
      <c r="G56" s="98"/>
    </row>
    <row r="57" spans="1:11" ht="16.5" thickBot="1" x14ac:dyDescent="0.3">
      <c r="A57" s="98" t="s">
        <v>227</v>
      </c>
      <c r="B57" s="291" t="s">
        <v>167</v>
      </c>
      <c r="C57" s="282"/>
      <c r="D57" s="292"/>
      <c r="G57" s="98" t="s">
        <v>228</v>
      </c>
      <c r="H57" s="291" t="s">
        <v>167</v>
      </c>
      <c r="I57" s="282"/>
      <c r="J57" s="292"/>
    </row>
    <row r="58" spans="1:11" x14ac:dyDescent="0.25">
      <c r="B58" s="273" t="s">
        <v>21</v>
      </c>
      <c r="C58" s="293" t="s">
        <v>22</v>
      </c>
      <c r="D58" s="5" t="s">
        <v>23</v>
      </c>
      <c r="H58" s="273" t="s">
        <v>21</v>
      </c>
      <c r="I58" s="293" t="s">
        <v>22</v>
      </c>
      <c r="J58" s="5" t="s">
        <v>23</v>
      </c>
    </row>
    <row r="59" spans="1:11" x14ac:dyDescent="0.25">
      <c r="B59" s="274" t="s">
        <v>24</v>
      </c>
      <c r="C59" s="283" t="s">
        <v>24</v>
      </c>
      <c r="D59" s="95">
        <f ca="1">SUM('Concrete Plant (CP-3)'!V21:V31,'Concrete Plant (CP-3)'!V49,'Haul Roads'!AM11,'Permitted Diesel Engines'!AA55)</f>
        <v>0</v>
      </c>
      <c r="E59" s="99"/>
      <c r="H59" s="274" t="s">
        <v>24</v>
      </c>
      <c r="I59" s="283" t="s">
        <v>24</v>
      </c>
      <c r="J59" s="95">
        <f ca="1">SUM('Concrete Plant (CP-4)'!V21:V31,'Concrete Plant (CP-4)'!V49,'Haul Roads'!A10,'Permitted Diesel Engines'!AA56)</f>
        <v>0</v>
      </c>
    </row>
    <row r="60" spans="1:11" x14ac:dyDescent="0.25">
      <c r="B60" s="274" t="s">
        <v>25</v>
      </c>
      <c r="C60" s="284" t="s">
        <v>25</v>
      </c>
      <c r="D60" s="95">
        <f ca="1">SUM('Concrete Plant (CP-3)'!V35:V45,'Concrete Plant (CP-3)'!V49,'Haul Roads'!AO11,'Permitted Diesel Engines'!AB55)</f>
        <v>0</v>
      </c>
      <c r="H60" s="274" t="s">
        <v>25</v>
      </c>
      <c r="I60" s="284" t="s">
        <v>25</v>
      </c>
      <c r="J60" s="95">
        <f ca="1">SUM('Concrete Plant (CP-4)'!V35:V45,'Concrete Plant (CP-4)'!V49,'Haul Roads'!AO12,'Permitted Diesel Engines'!AB56)</f>
        <v>0</v>
      </c>
    </row>
    <row r="61" spans="1:11" x14ac:dyDescent="0.25">
      <c r="B61" s="274" t="s">
        <v>3</v>
      </c>
      <c r="C61" s="285" t="s">
        <v>26</v>
      </c>
      <c r="D61" s="95">
        <f>'Permitted Diesel Engines'!AE55</f>
        <v>0</v>
      </c>
      <c r="H61" s="274" t="s">
        <v>3</v>
      </c>
      <c r="I61" s="285" t="s">
        <v>26</v>
      </c>
      <c r="J61" s="95">
        <f>'Permitted Diesel Engines'!AE56</f>
        <v>0</v>
      </c>
    </row>
    <row r="62" spans="1:11" x14ac:dyDescent="0.25">
      <c r="B62" s="274" t="s">
        <v>27</v>
      </c>
      <c r="C62" s="285" t="s">
        <v>27</v>
      </c>
      <c r="D62" s="95">
        <f>'Permitted Diesel Engines'!AF55</f>
        <v>0</v>
      </c>
      <c r="H62" s="274" t="s">
        <v>27</v>
      </c>
      <c r="I62" s="285" t="s">
        <v>27</v>
      </c>
      <c r="J62" s="95">
        <f>'Permitted Diesel Engines'!AF56</f>
        <v>0</v>
      </c>
    </row>
    <row r="63" spans="1:11" x14ac:dyDescent="0.25">
      <c r="B63" s="274" t="s">
        <v>5</v>
      </c>
      <c r="C63" s="285" t="s">
        <v>5</v>
      </c>
      <c r="D63" s="95">
        <f>'Permitted Diesel Engines'!AI55</f>
        <v>0</v>
      </c>
      <c r="H63" s="274" t="s">
        <v>5</v>
      </c>
      <c r="I63" s="285" t="s">
        <v>5</v>
      </c>
      <c r="J63" s="95">
        <f>'Permitted Diesel Engines'!AI56</f>
        <v>0</v>
      </c>
    </row>
    <row r="64" spans="1:11" x14ac:dyDescent="0.25">
      <c r="B64" s="274" t="s">
        <v>6</v>
      </c>
      <c r="C64" s="285" t="s">
        <v>28</v>
      </c>
      <c r="D64" s="95">
        <f>'Permitted Diesel Engines'!AJ55</f>
        <v>0</v>
      </c>
      <c r="H64" s="274" t="s">
        <v>6</v>
      </c>
      <c r="I64" s="285" t="s">
        <v>28</v>
      </c>
      <c r="J64" s="95">
        <f>'Permitted Diesel Engines'!AJ56</f>
        <v>0</v>
      </c>
    </row>
    <row r="65" spans="1:11" x14ac:dyDescent="0.25">
      <c r="B65" s="274" t="s">
        <v>7</v>
      </c>
      <c r="C65" s="285"/>
      <c r="D65" s="95"/>
      <c r="H65" s="274" t="s">
        <v>7</v>
      </c>
      <c r="I65" s="285"/>
      <c r="J65" s="95"/>
    </row>
    <row r="66" spans="1:11" x14ac:dyDescent="0.25">
      <c r="B66" s="274" t="s">
        <v>8</v>
      </c>
      <c r="C66" s="285" t="s">
        <v>29</v>
      </c>
      <c r="D66" s="95">
        <f>'Permitted Diesel Engines'!AM55</f>
        <v>0</v>
      </c>
      <c r="H66" s="274" t="s">
        <v>8</v>
      </c>
      <c r="I66" s="285" t="s">
        <v>29</v>
      </c>
      <c r="J66" s="95">
        <f>'Permitted Diesel Engines'!AM56</f>
        <v>0</v>
      </c>
    </row>
    <row r="67" spans="1:11" x14ac:dyDescent="0.25">
      <c r="B67" s="275" t="s">
        <v>53</v>
      </c>
      <c r="C67" s="286" t="s">
        <v>73</v>
      </c>
      <c r="D67" s="95">
        <f>'Permitted Diesel Engines'!AN55</f>
        <v>0</v>
      </c>
      <c r="H67" s="275" t="s">
        <v>53</v>
      </c>
      <c r="I67" s="286" t="s">
        <v>73</v>
      </c>
      <c r="J67" s="95">
        <f>'Permitted Diesel Engines'!AN56</f>
        <v>0</v>
      </c>
    </row>
    <row r="68" spans="1:11" ht="15.75" thickBot="1" x14ac:dyDescent="0.3">
      <c r="B68" s="276" t="s">
        <v>30</v>
      </c>
      <c r="C68" s="290"/>
      <c r="D68" s="97">
        <f>SUM(D66:D67)</f>
        <v>0</v>
      </c>
      <c r="H68" s="276" t="s">
        <v>30</v>
      </c>
      <c r="I68" s="290"/>
      <c r="J68" s="97">
        <f>SUM(J66:J67)</f>
        <v>0</v>
      </c>
    </row>
    <row r="69" spans="1:11" ht="15.75" thickBot="1" x14ac:dyDescent="0.3"/>
    <row r="70" spans="1:11" ht="16.5" hidden="1" thickBot="1" x14ac:dyDescent="0.3">
      <c r="A70" s="98" t="s">
        <v>229</v>
      </c>
      <c r="B70" s="291" t="s">
        <v>166</v>
      </c>
      <c r="C70" s="282"/>
      <c r="D70" s="292"/>
      <c r="G70" s="98" t="s">
        <v>230</v>
      </c>
      <c r="H70" s="291" t="s">
        <v>166</v>
      </c>
      <c r="I70" s="282"/>
      <c r="J70" s="292"/>
    </row>
    <row r="71" spans="1:11" hidden="1" x14ac:dyDescent="0.25">
      <c r="B71" s="273" t="s">
        <v>21</v>
      </c>
      <c r="C71" s="293" t="s">
        <v>22</v>
      </c>
      <c r="D71" s="5" t="s">
        <v>23</v>
      </c>
      <c r="H71" s="273" t="s">
        <v>21</v>
      </c>
      <c r="I71" s="293" t="s">
        <v>22</v>
      </c>
      <c r="J71" s="5" t="s">
        <v>23</v>
      </c>
    </row>
    <row r="72" spans="1:11" hidden="1" x14ac:dyDescent="0.25">
      <c r="B72" s="278" t="s">
        <v>24</v>
      </c>
      <c r="C72" s="283" t="s">
        <v>24</v>
      </c>
      <c r="D72" s="95">
        <f ca="1">IF('Concrete Plant (CP-5)'!J10&gt;0,SUM('Concrete Plant (CP-5)'!J10,'Concrete Plant (CP-5)'!U49,'Haul Roads'!AL13,'Permitted Diesel Engines'!Z57),SUM('Concrete Plant (CP-5)'!U21:U31,'Concrete Plant (CP-5)'!U49,'Haul Roads'!AL13,'Permitted Diesel Engines'!Z57))</f>
        <v>0</v>
      </c>
      <c r="E72" s="99"/>
      <c r="H72" s="278" t="s">
        <v>24</v>
      </c>
      <c r="I72" s="283" t="s">
        <v>24</v>
      </c>
      <c r="J72" s="95">
        <f ca="1">IF('Concrete Plant (CP-6)'!J10&gt;0,SUM('Concrete Plant (CP-6)'!J10,'Concrete Plant (CP-6)'!U49,'Haul Roads'!AL14,'Permitted Diesel Engines'!Z58),SUM('Concrete Plant (CP-6)'!U21:U31,'Concrete Plant (CP-6)'!U49,'Haul Roads'!AL14,'Permitted Diesel Engines'!Z58))</f>
        <v>0</v>
      </c>
      <c r="K72" s="99"/>
    </row>
    <row r="73" spans="1:11" hidden="1" x14ac:dyDescent="0.25">
      <c r="B73" s="274" t="s">
        <v>25</v>
      </c>
      <c r="C73" s="284" t="s">
        <v>25</v>
      </c>
      <c r="D73" s="95">
        <f ca="1">IF('Concrete Plant (CP-5)'!J11&gt;0,SUM('Concrete Plant (CP-5)'!J11,'Concrete Plant (CP-5)'!U49,'Haul Roads'!AN13,'Permitted Diesel Engines'!AC57),SUM('Concrete Plant (CP-5)'!U35:U45,'Concrete Plant (CP-5)'!U49,'Haul Roads'!AN13,'Permitted Diesel Engines'!AC57))</f>
        <v>0</v>
      </c>
      <c r="E73" s="99"/>
      <c r="H73" s="274" t="s">
        <v>25</v>
      </c>
      <c r="I73" s="284" t="s">
        <v>25</v>
      </c>
      <c r="J73" s="95">
        <f ca="1">IF('Concrete Plant (CP-6)'!J11&gt;0,SUM('Concrete Plant (CP-6)'!J11,'Concrete Plant (CP-6)'!U49,'Haul Roads'!AN14,'Permitted Diesel Engines'!AC58),SUM('Concrete Plant (CP-6)'!U35:U45,'Concrete Plant (CP-6)'!U49,'Haul Roads'!AN14,'Permitted Diesel Engines'!AC58))</f>
        <v>0</v>
      </c>
      <c r="K73" s="99"/>
    </row>
    <row r="74" spans="1:11" hidden="1" x14ac:dyDescent="0.25">
      <c r="B74" s="274" t="s">
        <v>3</v>
      </c>
      <c r="C74" s="285" t="s">
        <v>26</v>
      </c>
      <c r="D74" s="95">
        <f>IF('Concrete Plant (CP-5)'!J12&gt;0,'Concrete Plant (CP-5)'!J12,'Permitted Diesel Engines'!AD57)</f>
        <v>0</v>
      </c>
      <c r="E74" s="99" t="str">
        <f>IF(D74&gt;100,"Thresholds exceeded, contact DNR for assistance.","")</f>
        <v/>
      </c>
      <c r="H74" s="274" t="s">
        <v>3</v>
      </c>
      <c r="I74" s="285" t="s">
        <v>26</v>
      </c>
      <c r="J74" s="95">
        <f>IF('Concrete Plant (CP-6)'!J12&gt;0,'Concrete Plant (CP-6)'!J12,'Permitted Diesel Engines'!AD58)</f>
        <v>0</v>
      </c>
      <c r="K74" s="99" t="str">
        <f>IF(J74&gt;100,"Thresholds exceeded, contact DNR for assistance.","")</f>
        <v/>
      </c>
    </row>
    <row r="75" spans="1:11" hidden="1" x14ac:dyDescent="0.25">
      <c r="B75" s="274" t="s">
        <v>27</v>
      </c>
      <c r="C75" s="285" t="s">
        <v>27</v>
      </c>
      <c r="D75" s="95">
        <f>IF('Concrete Plant (CP-5)'!J13&gt;0,'Concrete Plant (CP-5)'!J13,'Permitted Diesel Engines'!AG57)</f>
        <v>0</v>
      </c>
      <c r="E75" s="99" t="str">
        <f>IF(D75&gt;100,"Thresholds exceeded, contact DNR for assistance.","")</f>
        <v/>
      </c>
      <c r="H75" s="274" t="s">
        <v>27</v>
      </c>
      <c r="I75" s="285" t="s">
        <v>27</v>
      </c>
      <c r="J75" s="95">
        <f>IF('Concrete Plant (CP-6)'!J13&gt;0,'Concrete Plant (CP-6)'!J13,'Permitted Diesel Engines'!AG58)</f>
        <v>0</v>
      </c>
      <c r="K75" s="99" t="str">
        <f>IF(J75&gt;100,"Thresholds exceeded, contact DNR for assistance.","")</f>
        <v/>
      </c>
    </row>
    <row r="76" spans="1:11" hidden="1" x14ac:dyDescent="0.25">
      <c r="B76" s="274" t="s">
        <v>5</v>
      </c>
      <c r="C76" s="285" t="s">
        <v>5</v>
      </c>
      <c r="D76" s="95">
        <f>IF('Concrete Plant (CP-5)'!J14&gt;0,'Concrete Plant (CP-5)'!J14,'Permitted Diesel Engines'!AH57)</f>
        <v>0</v>
      </c>
      <c r="E76" s="99" t="str">
        <f>IF(D76&gt;100,"Thresholds exceeded, contact DNR for assistance.","")</f>
        <v/>
      </c>
      <c r="H76" s="274" t="s">
        <v>5</v>
      </c>
      <c r="I76" s="285" t="s">
        <v>5</v>
      </c>
      <c r="J76" s="95">
        <f>IF('Concrete Plant (CP-6)'!J14&gt;0,'Concrete Plant (CP-6)'!J14,'Permitted Diesel Engines'!AH58)</f>
        <v>0</v>
      </c>
      <c r="K76" s="99" t="str">
        <f>IF(J76&gt;100,"Thresholds exceeded, contact DNR for assistance.","")</f>
        <v/>
      </c>
    </row>
    <row r="77" spans="1:11" hidden="1" x14ac:dyDescent="0.25">
      <c r="B77" s="274" t="s">
        <v>6</v>
      </c>
      <c r="C77" s="285" t="s">
        <v>28</v>
      </c>
      <c r="D77" s="95">
        <f>IF('Concrete Plant (CP-5)'!J15&gt;0,'Concrete Plant (CP-5)'!J15,'Permitted Diesel Engines'!AK57)</f>
        <v>0</v>
      </c>
      <c r="E77" s="99" t="str">
        <f>IF(D77&gt;100,"Thresholds exceeded, contact DNR for assistance.","")</f>
        <v/>
      </c>
      <c r="H77" s="274" t="s">
        <v>6</v>
      </c>
      <c r="I77" s="285" t="s">
        <v>28</v>
      </c>
      <c r="J77" s="95">
        <f>IF('Concrete Plant (CP-6)'!J15&gt;0,'Concrete Plant (CP-6)'!J15,'Permitted Diesel Engines'!AK58)</f>
        <v>0</v>
      </c>
      <c r="K77" s="99" t="str">
        <f>IF(J77&gt;100,"Thresholds exceeded, contact DNR for assistance.","")</f>
        <v/>
      </c>
    </row>
    <row r="78" spans="1:11" hidden="1" x14ac:dyDescent="0.25">
      <c r="B78" s="274" t="s">
        <v>7</v>
      </c>
      <c r="C78" s="285"/>
      <c r="D78" s="95"/>
      <c r="E78" s="99" t="str">
        <f>IF(D78&gt;100,"Thresholds exceeded, contact DNR for assistance.","")</f>
        <v/>
      </c>
      <c r="H78" s="274" t="s">
        <v>7</v>
      </c>
      <c r="I78" s="285"/>
      <c r="J78" s="95"/>
      <c r="K78" s="99" t="str">
        <f>IF(J78&gt;100,"Thresholds exceeded, contact DNR for assistance.","")</f>
        <v/>
      </c>
    </row>
    <row r="79" spans="1:11" hidden="1" x14ac:dyDescent="0.25">
      <c r="B79" s="274" t="s">
        <v>8</v>
      </c>
      <c r="C79" s="285" t="s">
        <v>29</v>
      </c>
      <c r="D79" s="95">
        <f>'Permitted Diesel Engines'!AL57</f>
        <v>0</v>
      </c>
      <c r="E79" s="99" t="str">
        <f>IF(D79&gt;10,"Thresholds exceeded, contact DNR for assistance.","")</f>
        <v/>
      </c>
      <c r="H79" s="274" t="s">
        <v>8</v>
      </c>
      <c r="I79" s="285" t="s">
        <v>29</v>
      </c>
      <c r="J79" s="95">
        <f>'Permitted Diesel Engines'!AL58</f>
        <v>0</v>
      </c>
      <c r="K79" s="99" t="str">
        <f>IF(J79&gt;10,"Thresholds exceeded, contact DNR for assistance.","")</f>
        <v/>
      </c>
    </row>
    <row r="80" spans="1:11" hidden="1" x14ac:dyDescent="0.25">
      <c r="B80" s="275" t="s">
        <v>53</v>
      </c>
      <c r="C80" s="286" t="s">
        <v>73</v>
      </c>
      <c r="D80" s="95">
        <f>'Permitted Diesel Engines'!AO57</f>
        <v>0</v>
      </c>
      <c r="E80" s="99" t="str">
        <f>IF(D80&gt;10,"Thresholds exceeded, contact DNR for assistance.","")</f>
        <v/>
      </c>
      <c r="H80" s="275" t="s">
        <v>53</v>
      </c>
      <c r="I80" s="286" t="s">
        <v>73</v>
      </c>
      <c r="J80" s="95">
        <f>'Permitted Diesel Engines'!AO58</f>
        <v>0</v>
      </c>
      <c r="K80" s="99" t="str">
        <f>IF(J80&gt;10,"Thresholds exceeded, contact DNR for assistance.","")</f>
        <v/>
      </c>
    </row>
    <row r="81" spans="1:11" ht="15.75" hidden="1" thickBot="1" x14ac:dyDescent="0.3">
      <c r="B81" s="276" t="s">
        <v>30</v>
      </c>
      <c r="C81" s="290"/>
      <c r="D81" s="97">
        <f>SUM(D79:D80)</f>
        <v>0</v>
      </c>
      <c r="E81" s="99" t="str">
        <f>IF(D81&gt;25,"Thresholds exceeded, contact DNR for assistance.","")</f>
        <v/>
      </c>
      <c r="H81" s="276" t="s">
        <v>30</v>
      </c>
      <c r="I81" s="290"/>
      <c r="J81" s="97">
        <f>SUM(J79:J80)</f>
        <v>0</v>
      </c>
      <c r="K81" s="99" t="str">
        <f>IF(J81&gt;25,"Thresholds exceeded, contact DNR for assistance.","")</f>
        <v/>
      </c>
    </row>
    <row r="82" spans="1:11" ht="15.75" hidden="1" thickBot="1" x14ac:dyDescent="0.3"/>
    <row r="83" spans="1:11" ht="16.5" thickBot="1" x14ac:dyDescent="0.3">
      <c r="A83" s="98" t="s">
        <v>229</v>
      </c>
      <c r="B83" s="291" t="s">
        <v>167</v>
      </c>
      <c r="C83" s="282"/>
      <c r="D83" s="292"/>
      <c r="G83" s="98" t="s">
        <v>230</v>
      </c>
      <c r="H83" s="291" t="s">
        <v>167</v>
      </c>
      <c r="I83" s="282"/>
      <c r="J83" s="292"/>
    </row>
    <row r="84" spans="1:11" x14ac:dyDescent="0.25">
      <c r="B84" s="273" t="s">
        <v>21</v>
      </c>
      <c r="C84" s="293" t="s">
        <v>22</v>
      </c>
      <c r="D84" s="5" t="s">
        <v>23</v>
      </c>
      <c r="H84" s="273" t="s">
        <v>21</v>
      </c>
      <c r="I84" s="293" t="s">
        <v>22</v>
      </c>
      <c r="J84" s="5" t="s">
        <v>23</v>
      </c>
    </row>
    <row r="85" spans="1:11" x14ac:dyDescent="0.25">
      <c r="B85" s="274" t="s">
        <v>24</v>
      </c>
      <c r="C85" s="283" t="s">
        <v>24</v>
      </c>
      <c r="D85" s="95">
        <f ca="1">SUM('Concrete Plant (CP-5)'!V21:V31,'Concrete Plant (CP-5)'!V49,'Haul Roads'!AM13,'Permitted Diesel Engines'!AA57)</f>
        <v>0</v>
      </c>
      <c r="E85" s="99"/>
      <c r="H85" s="274" t="s">
        <v>24</v>
      </c>
      <c r="I85" s="283" t="s">
        <v>24</v>
      </c>
      <c r="J85" s="95">
        <f ca="1">SUM('Concrete Plant (CP-6)'!V21:V31,'Concrete Plant (CP-6)'!V49,'Haul Roads'!AM14,'Permitted Diesel Engines'!AA58)</f>
        <v>0</v>
      </c>
    </row>
    <row r="86" spans="1:11" x14ac:dyDescent="0.25">
      <c r="B86" s="274" t="s">
        <v>25</v>
      </c>
      <c r="C86" s="284" t="s">
        <v>25</v>
      </c>
      <c r="D86" s="95">
        <f ca="1">SUM('Concrete Plant (CP-5)'!V35:V45,'Concrete Plant (CP-5)'!V49,'Haul Roads'!AO13,'Permitted Diesel Engines'!AB57)</f>
        <v>0</v>
      </c>
      <c r="H86" s="274" t="s">
        <v>25</v>
      </c>
      <c r="I86" s="284" t="s">
        <v>25</v>
      </c>
      <c r="J86" s="95">
        <f ca="1">SUM('Concrete Plant (CP-6)'!V35:V45,'Concrete Plant (CP-6)'!V49,'Haul Roads'!AO14,'Permitted Diesel Engines'!AB58)</f>
        <v>0</v>
      </c>
    </row>
    <row r="87" spans="1:11" x14ac:dyDescent="0.25">
      <c r="B87" s="274" t="s">
        <v>3</v>
      </c>
      <c r="C87" s="285" t="s">
        <v>26</v>
      </c>
      <c r="D87" s="95">
        <f>'Permitted Diesel Engines'!AE57</f>
        <v>0</v>
      </c>
      <c r="H87" s="274" t="s">
        <v>3</v>
      </c>
      <c r="I87" s="285" t="s">
        <v>26</v>
      </c>
      <c r="J87" s="95">
        <f>'Permitted Diesel Engines'!AE58</f>
        <v>0</v>
      </c>
    </row>
    <row r="88" spans="1:11" x14ac:dyDescent="0.25">
      <c r="B88" s="274" t="s">
        <v>27</v>
      </c>
      <c r="C88" s="285" t="s">
        <v>27</v>
      </c>
      <c r="D88" s="95">
        <f>'Permitted Diesel Engines'!AF57</f>
        <v>0</v>
      </c>
      <c r="H88" s="274" t="s">
        <v>27</v>
      </c>
      <c r="I88" s="285" t="s">
        <v>27</v>
      </c>
      <c r="J88" s="95">
        <f>'Permitted Diesel Engines'!AF58</f>
        <v>0</v>
      </c>
    </row>
    <row r="89" spans="1:11" x14ac:dyDescent="0.25">
      <c r="B89" s="274" t="s">
        <v>5</v>
      </c>
      <c r="C89" s="285" t="s">
        <v>5</v>
      </c>
      <c r="D89" s="95">
        <f>'Permitted Diesel Engines'!AI57</f>
        <v>0</v>
      </c>
      <c r="H89" s="274" t="s">
        <v>5</v>
      </c>
      <c r="I89" s="285" t="s">
        <v>5</v>
      </c>
      <c r="J89" s="95">
        <f>'Permitted Diesel Engines'!AI58</f>
        <v>0</v>
      </c>
    </row>
    <row r="90" spans="1:11" x14ac:dyDescent="0.25">
      <c r="B90" s="274" t="s">
        <v>6</v>
      </c>
      <c r="C90" s="285" t="s">
        <v>28</v>
      </c>
      <c r="D90" s="95">
        <f>'Permitted Diesel Engines'!AJ57</f>
        <v>0</v>
      </c>
      <c r="H90" s="274" t="s">
        <v>6</v>
      </c>
      <c r="I90" s="285" t="s">
        <v>28</v>
      </c>
      <c r="J90" s="95">
        <f>'Permitted Diesel Engines'!AJ58</f>
        <v>0</v>
      </c>
    </row>
    <row r="91" spans="1:11" x14ac:dyDescent="0.25">
      <c r="B91" s="274" t="s">
        <v>7</v>
      </c>
      <c r="C91" s="285"/>
      <c r="D91" s="95"/>
      <c r="H91" s="274" t="s">
        <v>7</v>
      </c>
      <c r="I91" s="285"/>
      <c r="J91" s="95"/>
    </row>
    <row r="92" spans="1:11" x14ac:dyDescent="0.25">
      <c r="B92" s="274" t="s">
        <v>8</v>
      </c>
      <c r="C92" s="285" t="s">
        <v>29</v>
      </c>
      <c r="D92" s="95">
        <f>'Permitted Diesel Engines'!AM57</f>
        <v>0</v>
      </c>
      <c r="H92" s="274" t="s">
        <v>8</v>
      </c>
      <c r="I92" s="285" t="s">
        <v>29</v>
      </c>
      <c r="J92" s="95">
        <f>'Permitted Diesel Engines'!AM58</f>
        <v>0</v>
      </c>
    </row>
    <row r="93" spans="1:11" x14ac:dyDescent="0.25">
      <c r="B93" s="275" t="s">
        <v>53</v>
      </c>
      <c r="C93" s="286" t="s">
        <v>73</v>
      </c>
      <c r="D93" s="95">
        <f>'Permitted Diesel Engines'!AN57</f>
        <v>0</v>
      </c>
      <c r="H93" s="275" t="s">
        <v>53</v>
      </c>
      <c r="I93" s="286" t="s">
        <v>73</v>
      </c>
      <c r="J93" s="95">
        <f>'Permitted Diesel Engines'!AN58</f>
        <v>0</v>
      </c>
    </row>
    <row r="94" spans="1:11" ht="15.75" thickBot="1" x14ac:dyDescent="0.3">
      <c r="B94" s="276" t="s">
        <v>30</v>
      </c>
      <c r="C94" s="290"/>
      <c r="D94" s="97">
        <f>SUM(D92:D93)</f>
        <v>0</v>
      </c>
      <c r="H94" s="276" t="s">
        <v>30</v>
      </c>
      <c r="I94" s="290"/>
      <c r="J94" s="97">
        <f>SUM(J92:J93)</f>
        <v>0</v>
      </c>
    </row>
    <row r="95" spans="1:11" ht="15.75" thickBot="1" x14ac:dyDescent="0.3"/>
    <row r="96" spans="1:11" ht="16.5" hidden="1" thickBot="1" x14ac:dyDescent="0.3">
      <c r="A96" s="98" t="s">
        <v>231</v>
      </c>
      <c r="B96" s="291" t="s">
        <v>166</v>
      </c>
      <c r="C96" s="282"/>
      <c r="D96" s="292"/>
      <c r="G96" s="98" t="s">
        <v>232</v>
      </c>
      <c r="H96" s="291" t="s">
        <v>166</v>
      </c>
      <c r="I96" s="282"/>
      <c r="J96" s="292"/>
    </row>
    <row r="97" spans="1:11" hidden="1" x14ac:dyDescent="0.25">
      <c r="B97" s="273" t="s">
        <v>21</v>
      </c>
      <c r="C97" s="293" t="s">
        <v>22</v>
      </c>
      <c r="D97" s="5" t="s">
        <v>23</v>
      </c>
      <c r="H97" s="273" t="s">
        <v>21</v>
      </c>
      <c r="I97" s="293" t="s">
        <v>22</v>
      </c>
      <c r="J97" s="5" t="s">
        <v>23</v>
      </c>
    </row>
    <row r="98" spans="1:11" hidden="1" x14ac:dyDescent="0.25">
      <c r="B98" s="278" t="s">
        <v>24</v>
      </c>
      <c r="C98" s="283" t="s">
        <v>24</v>
      </c>
      <c r="D98" s="95">
        <f ca="1">IF('Concrete Plant (CP-7)'!J10&gt;0,SUM('Concrete Plant (CP-7)'!J10,'Concrete Plant (CP-7)'!U49,'Haul Roads'!AL15,'Permitted Diesel Engines'!Z59),SUM('Concrete Plant (CP-7)'!U21:U31,'Concrete Plant (CP-7)'!U49,'Haul Roads'!AL15,'Permitted Diesel Engines'!Z59))</f>
        <v>0</v>
      </c>
      <c r="E98" s="99"/>
      <c r="H98" s="278" t="s">
        <v>24</v>
      </c>
      <c r="I98" s="283" t="s">
        <v>24</v>
      </c>
      <c r="J98" s="95">
        <f ca="1">IF('Concrete Plant (CP-8)'!J10&gt;0,SUM('Concrete Plant (CP-8)'!J10,'Concrete Plant (CP-8)'!U49,'Haul Roads'!AL16,'Permitted Diesel Engines'!Z60),SUM('Concrete Plant (CP-8)'!U21:U31,'Concrete Plant (CP-8)'!U49,'Haul Roads'!AL16,'Permitted Diesel Engines'!Z60))</f>
        <v>0</v>
      </c>
      <c r="K98" s="99"/>
    </row>
    <row r="99" spans="1:11" hidden="1" x14ac:dyDescent="0.25">
      <c r="B99" s="274" t="s">
        <v>25</v>
      </c>
      <c r="C99" s="284" t="s">
        <v>25</v>
      </c>
      <c r="D99" s="95">
        <f ca="1">IF('Concrete Plant (CP-7)'!J11&gt;0,SUM('Concrete Plant (CP-7)'!J11,'Concrete Plant (CP-7)'!U49,'Haul Roads'!AN15,'Permitted Diesel Engines'!AC59),SUM('Concrete Plant (CP-7)'!U35:U45,'Concrete Plant (CP-7)'!U49,'Haul Roads'!AN15,'Permitted Diesel Engines'!AC59))</f>
        <v>0</v>
      </c>
      <c r="E99" s="99"/>
      <c r="H99" s="274" t="s">
        <v>25</v>
      </c>
      <c r="I99" s="284" t="s">
        <v>25</v>
      </c>
      <c r="J99" s="95">
        <f ca="1">IF('Concrete Plant (CP-8)'!J11&gt;0,SUM('Concrete Plant (CP-8)'!J11,'Concrete Plant (CP-8)'!U49,'Haul Roads'!AN16,'Permitted Diesel Engines'!AC60),SUM('Concrete Plant (CP-8)'!U35:U45,'Concrete Plant (CP-8)'!U49,'Haul Roads'!AN16,'Permitted Diesel Engines'!AC60))</f>
        <v>0</v>
      </c>
      <c r="K99" s="99"/>
    </row>
    <row r="100" spans="1:11" hidden="1" x14ac:dyDescent="0.25">
      <c r="B100" s="274" t="s">
        <v>3</v>
      </c>
      <c r="C100" s="285" t="s">
        <v>26</v>
      </c>
      <c r="D100" s="95">
        <f>IF('Concrete Plant (CP-7)'!J12&gt;0,'Concrete Plant (CP-7)'!J12,'Permitted Diesel Engines'!AD59)</f>
        <v>0</v>
      </c>
      <c r="E100" s="99" t="str">
        <f>IF(D100&gt;100,"Thresholds exceeded, contact DNR for assistance.","")</f>
        <v/>
      </c>
      <c r="H100" s="274" t="s">
        <v>3</v>
      </c>
      <c r="I100" s="285" t="s">
        <v>26</v>
      </c>
      <c r="J100" s="95">
        <f>IF('Concrete Plant (CP-8)'!J12&gt;0,'Concrete Plant (CP-8)'!J12,'Permitted Diesel Engines'!AD60)</f>
        <v>0</v>
      </c>
      <c r="K100" s="99" t="str">
        <f>IF(J100&gt;100,"Thresholds exceeded, contact DNR for assistance.","")</f>
        <v/>
      </c>
    </row>
    <row r="101" spans="1:11" hidden="1" x14ac:dyDescent="0.25">
      <c r="B101" s="274" t="s">
        <v>27</v>
      </c>
      <c r="C101" s="285" t="s">
        <v>27</v>
      </c>
      <c r="D101" s="95">
        <f>IF('Concrete Plant (CP-7)'!J13&gt;0,'Concrete Plant (CP-7)'!J13,'Permitted Diesel Engines'!AG59)</f>
        <v>0</v>
      </c>
      <c r="E101" s="99" t="str">
        <f>IF(D101&gt;100,"Thresholds exceeded, contact DNR for assistance.","")</f>
        <v/>
      </c>
      <c r="H101" s="274" t="s">
        <v>27</v>
      </c>
      <c r="I101" s="285" t="s">
        <v>27</v>
      </c>
      <c r="J101" s="95">
        <f>IF('Concrete Plant (CP-8)'!J13&gt;0,'Concrete Plant (CP-8)'!J13,'Permitted Diesel Engines'!AG60)</f>
        <v>0</v>
      </c>
      <c r="K101" s="99" t="str">
        <f>IF(J101&gt;100,"Thresholds exceeded, contact DNR for assistance.","")</f>
        <v/>
      </c>
    </row>
    <row r="102" spans="1:11" hidden="1" x14ac:dyDescent="0.25">
      <c r="B102" s="274" t="s">
        <v>5</v>
      </c>
      <c r="C102" s="285" t="s">
        <v>5</v>
      </c>
      <c r="D102" s="95">
        <f>IF('Concrete Plant (CP-7)'!J14&gt;0,'Concrete Plant (CP-7)'!J14,'Permitted Diesel Engines'!AH59)</f>
        <v>0</v>
      </c>
      <c r="E102" s="99" t="str">
        <f>IF(D102&gt;100,"Thresholds exceeded, contact DNR for assistance.","")</f>
        <v/>
      </c>
      <c r="H102" s="274" t="s">
        <v>5</v>
      </c>
      <c r="I102" s="285" t="s">
        <v>5</v>
      </c>
      <c r="J102" s="95">
        <f>IF('Concrete Plant (CP-8)'!J14&gt;0,'Concrete Plant (CP-8)'!J14,'Permitted Diesel Engines'!AH60)</f>
        <v>0</v>
      </c>
      <c r="K102" s="99" t="str">
        <f>IF(J102&gt;100,"Thresholds exceeded, contact DNR for assistance.","")</f>
        <v/>
      </c>
    </row>
    <row r="103" spans="1:11" hidden="1" x14ac:dyDescent="0.25">
      <c r="B103" s="274" t="s">
        <v>6</v>
      </c>
      <c r="C103" s="285" t="s">
        <v>28</v>
      </c>
      <c r="D103" s="95">
        <f>IF('Concrete Plant (CP-7)'!J15&gt;0,'Concrete Plant (CP-7)'!J15,'Permitted Diesel Engines'!AK59)</f>
        <v>0</v>
      </c>
      <c r="E103" s="99" t="str">
        <f>IF(D103&gt;100,"Thresholds exceeded, contact DNR for assistance.","")</f>
        <v/>
      </c>
      <c r="H103" s="274" t="s">
        <v>6</v>
      </c>
      <c r="I103" s="285" t="s">
        <v>28</v>
      </c>
      <c r="J103" s="95">
        <f>IF('Concrete Plant (CP-8)'!J15&gt;0,'Concrete Plant (CP-8)'!J15,'Permitted Diesel Engines'!AK60)</f>
        <v>0</v>
      </c>
      <c r="K103" s="99" t="str">
        <f>IF(J103&gt;100,"Thresholds exceeded, contact DNR for assistance.","")</f>
        <v/>
      </c>
    </row>
    <row r="104" spans="1:11" hidden="1" x14ac:dyDescent="0.25">
      <c r="B104" s="274" t="s">
        <v>7</v>
      </c>
      <c r="C104" s="285"/>
      <c r="D104" s="95"/>
      <c r="E104" s="99" t="str">
        <f>IF(D104&gt;100,"Thresholds exceeded, contact DNR for assistance.","")</f>
        <v/>
      </c>
      <c r="H104" s="274" t="s">
        <v>7</v>
      </c>
      <c r="I104" s="285"/>
      <c r="J104" s="95"/>
      <c r="K104" s="99" t="str">
        <f>IF(J104&gt;100,"Thresholds exceeded, contact DNR for assistance.","")</f>
        <v/>
      </c>
    </row>
    <row r="105" spans="1:11" hidden="1" x14ac:dyDescent="0.25">
      <c r="B105" s="274" t="s">
        <v>8</v>
      </c>
      <c r="C105" s="285" t="s">
        <v>29</v>
      </c>
      <c r="D105" s="95">
        <f>'Permitted Diesel Engines'!AL59</f>
        <v>0</v>
      </c>
      <c r="E105" s="99" t="str">
        <f>IF(D105&gt;10,"Thresholds exceeded, contact DNR for assistance.","")</f>
        <v/>
      </c>
      <c r="H105" s="274" t="s">
        <v>8</v>
      </c>
      <c r="I105" s="285" t="s">
        <v>29</v>
      </c>
      <c r="J105" s="95">
        <f>'Permitted Diesel Engines'!AL60</f>
        <v>0</v>
      </c>
      <c r="K105" s="99" t="str">
        <f>IF(J105&gt;10,"Thresholds exceeded, contact DNR for assistance.","")</f>
        <v/>
      </c>
    </row>
    <row r="106" spans="1:11" hidden="1" x14ac:dyDescent="0.25">
      <c r="B106" s="275" t="s">
        <v>53</v>
      </c>
      <c r="C106" s="286" t="s">
        <v>73</v>
      </c>
      <c r="D106" s="95">
        <f>'Permitted Diesel Engines'!AO59</f>
        <v>0</v>
      </c>
      <c r="E106" s="99" t="str">
        <f>IF(D106&gt;10,"Thresholds exceeded, contact DNR for assistance.","")</f>
        <v/>
      </c>
      <c r="H106" s="275" t="s">
        <v>53</v>
      </c>
      <c r="I106" s="286" t="s">
        <v>73</v>
      </c>
      <c r="J106" s="95">
        <f>'Permitted Diesel Engines'!AO60</f>
        <v>0</v>
      </c>
      <c r="K106" s="99" t="str">
        <f>IF(J106&gt;10,"Thresholds exceeded, contact DNR for assistance.","")</f>
        <v/>
      </c>
    </row>
    <row r="107" spans="1:11" ht="15.75" hidden="1" thickBot="1" x14ac:dyDescent="0.3">
      <c r="B107" s="276" t="s">
        <v>30</v>
      </c>
      <c r="C107" s="290"/>
      <c r="D107" s="97">
        <f>SUM(D105:D106)</f>
        <v>0</v>
      </c>
      <c r="E107" s="99" t="str">
        <f>IF(D107&gt;25,"Thresholds exceeded, contact DNR for assistance.","")</f>
        <v/>
      </c>
      <c r="H107" s="276" t="s">
        <v>30</v>
      </c>
      <c r="I107" s="290"/>
      <c r="J107" s="97">
        <f>SUM(J105:J106)</f>
        <v>0</v>
      </c>
      <c r="K107" s="99" t="str">
        <f>IF(J107&gt;25,"Thresholds exceeded, contact DNR for assistance.","")</f>
        <v/>
      </c>
    </row>
    <row r="108" spans="1:11" ht="15.75" hidden="1" thickBot="1" x14ac:dyDescent="0.3"/>
    <row r="109" spans="1:11" ht="16.5" thickBot="1" x14ac:dyDescent="0.3">
      <c r="A109" s="98" t="s">
        <v>231</v>
      </c>
      <c r="B109" s="291" t="s">
        <v>167</v>
      </c>
      <c r="C109" s="282"/>
      <c r="D109" s="292"/>
      <c r="G109" s="98" t="s">
        <v>232</v>
      </c>
      <c r="H109" s="291" t="s">
        <v>167</v>
      </c>
      <c r="I109" s="282"/>
      <c r="J109" s="292"/>
    </row>
    <row r="110" spans="1:11" x14ac:dyDescent="0.25">
      <c r="B110" s="273" t="s">
        <v>21</v>
      </c>
      <c r="C110" s="293" t="s">
        <v>22</v>
      </c>
      <c r="D110" s="5" t="s">
        <v>23</v>
      </c>
      <c r="H110" s="273" t="s">
        <v>21</v>
      </c>
      <c r="I110" s="293" t="s">
        <v>22</v>
      </c>
      <c r="J110" s="5" t="s">
        <v>23</v>
      </c>
    </row>
    <row r="111" spans="1:11" x14ac:dyDescent="0.25">
      <c r="B111" s="274" t="s">
        <v>24</v>
      </c>
      <c r="C111" s="283" t="s">
        <v>24</v>
      </c>
      <c r="D111" s="95">
        <f ca="1">SUM('Concrete Plant (CP-7)'!V21:V31,'Concrete Plant (CP-7)'!V49,'Haul Roads'!AM15,'Permitted Diesel Engines'!AA59)</f>
        <v>0</v>
      </c>
      <c r="E111" s="99"/>
      <c r="H111" s="274" t="s">
        <v>24</v>
      </c>
      <c r="I111" s="283" t="s">
        <v>24</v>
      </c>
      <c r="J111" s="95">
        <f ca="1">SUM('Concrete Plant (CP-8)'!V21:V31,'Concrete Plant (CP-9)'!V49,'Haul Roads'!AM16,'Permitted Diesel Engines'!AA60)</f>
        <v>0</v>
      </c>
    </row>
    <row r="112" spans="1:11" x14ac:dyDescent="0.25">
      <c r="B112" s="274" t="s">
        <v>25</v>
      </c>
      <c r="C112" s="284" t="s">
        <v>25</v>
      </c>
      <c r="D112" s="95">
        <f ca="1">SUM('Concrete Plant (CP-7)'!V35:V45,'Concrete Plant (CP-7)'!V49,'Haul Roads'!AO15,'Permitted Diesel Engines'!AB59)</f>
        <v>0</v>
      </c>
      <c r="H112" s="274" t="s">
        <v>25</v>
      </c>
      <c r="I112" s="284" t="s">
        <v>25</v>
      </c>
      <c r="J112" s="95">
        <f ca="1">SUM('Concrete Plant (CP-8)'!V35:V45,'Concrete Plant (CP-9)'!V49,'Haul Roads'!AO16,'Permitted Diesel Engines'!AB60)</f>
        <v>0</v>
      </c>
    </row>
    <row r="113" spans="1:11" x14ac:dyDescent="0.25">
      <c r="B113" s="274" t="s">
        <v>3</v>
      </c>
      <c r="C113" s="285" t="s">
        <v>26</v>
      </c>
      <c r="D113" s="95">
        <f>'Permitted Diesel Engines'!AE59</f>
        <v>0</v>
      </c>
      <c r="H113" s="274" t="s">
        <v>3</v>
      </c>
      <c r="I113" s="285" t="s">
        <v>26</v>
      </c>
      <c r="J113" s="95">
        <f>'Permitted Diesel Engines'!AE60</f>
        <v>0</v>
      </c>
    </row>
    <row r="114" spans="1:11" x14ac:dyDescent="0.25">
      <c r="B114" s="274" t="s">
        <v>27</v>
      </c>
      <c r="C114" s="285" t="s">
        <v>27</v>
      </c>
      <c r="D114" s="95">
        <f>'Permitted Diesel Engines'!AF59</f>
        <v>0</v>
      </c>
      <c r="H114" s="274" t="s">
        <v>27</v>
      </c>
      <c r="I114" s="285" t="s">
        <v>27</v>
      </c>
      <c r="J114" s="95">
        <f>'Permitted Diesel Engines'!AF60</f>
        <v>0</v>
      </c>
    </row>
    <row r="115" spans="1:11" x14ac:dyDescent="0.25">
      <c r="B115" s="274" t="s">
        <v>5</v>
      </c>
      <c r="C115" s="285" t="s">
        <v>5</v>
      </c>
      <c r="D115" s="95">
        <f>'Permitted Diesel Engines'!AI59</f>
        <v>0</v>
      </c>
      <c r="H115" s="274" t="s">
        <v>5</v>
      </c>
      <c r="I115" s="285" t="s">
        <v>5</v>
      </c>
      <c r="J115" s="95">
        <f>'Permitted Diesel Engines'!AI60</f>
        <v>0</v>
      </c>
    </row>
    <row r="116" spans="1:11" x14ac:dyDescent="0.25">
      <c r="B116" s="274" t="s">
        <v>6</v>
      </c>
      <c r="C116" s="285" t="s">
        <v>28</v>
      </c>
      <c r="D116" s="95">
        <f>'Permitted Diesel Engines'!AJ59</f>
        <v>0</v>
      </c>
      <c r="H116" s="274" t="s">
        <v>6</v>
      </c>
      <c r="I116" s="285" t="s">
        <v>28</v>
      </c>
      <c r="J116" s="95">
        <f>'Permitted Diesel Engines'!AJ60</f>
        <v>0</v>
      </c>
    </row>
    <row r="117" spans="1:11" x14ac:dyDescent="0.25">
      <c r="B117" s="274" t="s">
        <v>7</v>
      </c>
      <c r="C117" s="285"/>
      <c r="D117" s="95"/>
      <c r="H117" s="274" t="s">
        <v>7</v>
      </c>
      <c r="I117" s="285"/>
      <c r="J117" s="95"/>
    </row>
    <row r="118" spans="1:11" x14ac:dyDescent="0.25">
      <c r="B118" s="274" t="s">
        <v>8</v>
      </c>
      <c r="C118" s="285" t="s">
        <v>29</v>
      </c>
      <c r="D118" s="95">
        <f>'Permitted Diesel Engines'!AM59</f>
        <v>0</v>
      </c>
      <c r="H118" s="274" t="s">
        <v>8</v>
      </c>
      <c r="I118" s="285" t="s">
        <v>29</v>
      </c>
      <c r="J118" s="95">
        <f>'Permitted Diesel Engines'!AM60</f>
        <v>0</v>
      </c>
    </row>
    <row r="119" spans="1:11" x14ac:dyDescent="0.25">
      <c r="B119" s="275" t="s">
        <v>53</v>
      </c>
      <c r="C119" s="286" t="s">
        <v>73</v>
      </c>
      <c r="D119" s="95">
        <f>'Permitted Diesel Engines'!AN59</f>
        <v>0</v>
      </c>
      <c r="H119" s="275" t="s">
        <v>53</v>
      </c>
      <c r="I119" s="286" t="s">
        <v>73</v>
      </c>
      <c r="J119" s="95">
        <f>'Permitted Diesel Engines'!AN60</f>
        <v>0</v>
      </c>
    </row>
    <row r="120" spans="1:11" ht="15.75" thickBot="1" x14ac:dyDescent="0.3">
      <c r="B120" s="276" t="s">
        <v>30</v>
      </c>
      <c r="C120" s="290"/>
      <c r="D120" s="97">
        <f>SUM(D118:D119)</f>
        <v>0</v>
      </c>
      <c r="H120" s="276" t="s">
        <v>30</v>
      </c>
      <c r="I120" s="290"/>
      <c r="J120" s="97">
        <f>SUM(J118:J119)</f>
        <v>0</v>
      </c>
    </row>
    <row r="121" spans="1:11" ht="15.75" thickBot="1" x14ac:dyDescent="0.3"/>
    <row r="122" spans="1:11" ht="16.5" hidden="1" thickBot="1" x14ac:dyDescent="0.3">
      <c r="A122" s="98" t="s">
        <v>233</v>
      </c>
      <c r="B122" s="291" t="s">
        <v>166</v>
      </c>
      <c r="C122" s="282"/>
      <c r="D122" s="292"/>
      <c r="G122" s="98" t="s">
        <v>234</v>
      </c>
      <c r="H122" s="291" t="s">
        <v>166</v>
      </c>
      <c r="I122" s="282"/>
      <c r="J122" s="292"/>
    </row>
    <row r="123" spans="1:11" hidden="1" x14ac:dyDescent="0.25">
      <c r="B123" s="273" t="s">
        <v>21</v>
      </c>
      <c r="C123" s="293" t="s">
        <v>22</v>
      </c>
      <c r="D123" s="5" t="s">
        <v>23</v>
      </c>
      <c r="H123" s="273" t="s">
        <v>21</v>
      </c>
      <c r="I123" s="293" t="s">
        <v>22</v>
      </c>
      <c r="J123" s="5" t="s">
        <v>23</v>
      </c>
    </row>
    <row r="124" spans="1:11" hidden="1" x14ac:dyDescent="0.25">
      <c r="B124" s="278" t="s">
        <v>24</v>
      </c>
      <c r="C124" s="283" t="s">
        <v>24</v>
      </c>
      <c r="D124" s="95">
        <f ca="1">IF('Concrete Plant (CP-9)'!J10&gt;0,SUM('Concrete Plant (CP-9)'!J10,'Concrete Plant (CP-9)'!U49,'Haul Roads'!AL17,'Permitted Diesel Engines'!Z61),SUM('Concrete Plant (CP-9)'!U21:U31,'Concrete Plant (CP-9)'!U49,'Haul Roads'!AL17,'Permitted Diesel Engines'!Z61))</f>
        <v>0</v>
      </c>
      <c r="E124" s="99"/>
      <c r="H124" s="278" t="s">
        <v>24</v>
      </c>
      <c r="I124" s="283" t="s">
        <v>24</v>
      </c>
      <c r="J124" s="95">
        <f ca="1">IF('Concrete Plant (CP-9)'!J10&gt;0,SUM('Concrete Plant (CP-9)'!J10,'Concrete Plant (CP-9)'!U49,'Haul Roads'!AL18,'Permitted Diesel Engines'!Z62),SUM('Concrete Plant (CP-9)'!U21:U31,'Concrete Plant (CP-9)'!U49,'Haul Roads'!AL18,'Permitted Diesel Engines'!Z62))</f>
        <v>0</v>
      </c>
      <c r="K124" s="99"/>
    </row>
    <row r="125" spans="1:11" hidden="1" x14ac:dyDescent="0.25">
      <c r="B125" s="274" t="s">
        <v>25</v>
      </c>
      <c r="C125" s="284" t="s">
        <v>25</v>
      </c>
      <c r="D125" s="95">
        <f ca="1">IF('Concrete Plant (CP-9)'!J11&gt;0,SUM('Concrete Plant (CP-9)'!J11,'Concrete Plant (CP-9)'!U49,'Haul Roads'!AN17,'Permitted Diesel Engines'!AC61),SUM('Concrete Plant (CP-9)'!U35:U45,'Concrete Plant (CP-9)'!U49,'Haul Roads'!AN17,'Permitted Diesel Engines'!AC61))</f>
        <v>0</v>
      </c>
      <c r="E125" s="99"/>
      <c r="H125" s="274" t="s">
        <v>25</v>
      </c>
      <c r="I125" s="284" t="s">
        <v>25</v>
      </c>
      <c r="J125" s="95">
        <f ca="1">IF('Concrete Plant (CP-9)'!J11&gt;0,SUM('Concrete Plant (CP-9)'!J11,'Concrete Plant (CP-9)'!U49,'Haul Roads'!AN18,'Permitted Diesel Engines'!AC62),SUM('Concrete Plant (CP-9)'!U35:U45,'Concrete Plant (CP-9)'!U49,'Haul Roads'!AN18,'Permitted Diesel Engines'!AC62))</f>
        <v>0</v>
      </c>
      <c r="K125" s="99"/>
    </row>
    <row r="126" spans="1:11" hidden="1" x14ac:dyDescent="0.25">
      <c r="B126" s="274" t="s">
        <v>3</v>
      </c>
      <c r="C126" s="285" t="s">
        <v>26</v>
      </c>
      <c r="D126" s="95">
        <f>IF('Concrete Plant (CP-9)'!J12&gt;0,'Concrete Plant (CP-9)'!J12,'Permitted Diesel Engines'!AD61)</f>
        <v>0</v>
      </c>
      <c r="E126" s="99" t="str">
        <f>IF(D126&gt;100,"Thresholds exceeded, contact DNR for assistance.","")</f>
        <v/>
      </c>
      <c r="H126" s="274" t="s">
        <v>3</v>
      </c>
      <c r="I126" s="285" t="s">
        <v>26</v>
      </c>
      <c r="J126" s="95">
        <f>IF('Concrete Plant (CP-9)'!J12&gt;0,'Concrete Plant (CP-9)'!J12,'Permitted Diesel Engines'!AD62)</f>
        <v>0</v>
      </c>
      <c r="K126" s="99" t="str">
        <f>IF(J126&gt;100,"Thresholds exceeded, contact DNR for assistance.","")</f>
        <v/>
      </c>
    </row>
    <row r="127" spans="1:11" hidden="1" x14ac:dyDescent="0.25">
      <c r="B127" s="274" t="s">
        <v>27</v>
      </c>
      <c r="C127" s="285" t="s">
        <v>27</v>
      </c>
      <c r="D127" s="95">
        <f>IF('Concrete Plant (CP-9)'!J13&gt;0,'Concrete Plant (CP-9)'!J13,'Permitted Diesel Engines'!AG61)</f>
        <v>0</v>
      </c>
      <c r="E127" s="99" t="str">
        <f>IF(D127&gt;100,"Thresholds exceeded, contact DNR for assistance.","")</f>
        <v/>
      </c>
      <c r="H127" s="274" t="s">
        <v>27</v>
      </c>
      <c r="I127" s="285" t="s">
        <v>27</v>
      </c>
      <c r="J127" s="95">
        <f>IF('Concrete Plant (CP-9)'!J13&gt;0,'Concrete Plant (CP-9)'!J13,'Permitted Diesel Engines'!AG62)</f>
        <v>0</v>
      </c>
      <c r="K127" s="99" t="str">
        <f>IF(J127&gt;100,"Thresholds exceeded, contact DNR for assistance.","")</f>
        <v/>
      </c>
    </row>
    <row r="128" spans="1:11" hidden="1" x14ac:dyDescent="0.25">
      <c r="B128" s="274" t="s">
        <v>5</v>
      </c>
      <c r="C128" s="285" t="s">
        <v>5</v>
      </c>
      <c r="D128" s="95">
        <f>IF('Concrete Plant (CP-9)'!J14&gt;0,'Concrete Plant (CP-9)'!J14,'Permitted Diesel Engines'!AH61)</f>
        <v>0</v>
      </c>
      <c r="E128" s="99" t="str">
        <f>IF(D128&gt;100,"Thresholds exceeded, contact DNR for assistance.","")</f>
        <v/>
      </c>
      <c r="H128" s="274" t="s">
        <v>5</v>
      </c>
      <c r="I128" s="285" t="s">
        <v>5</v>
      </c>
      <c r="J128" s="95">
        <f>IF('Concrete Plant (CP-9)'!J14&gt;0,'Concrete Plant (CP-9)'!J14,'Permitted Diesel Engines'!AH62)</f>
        <v>0</v>
      </c>
      <c r="K128" s="99" t="str">
        <f>IF(J128&gt;100,"Thresholds exceeded, contact DNR for assistance.","")</f>
        <v/>
      </c>
    </row>
    <row r="129" spans="1:11" hidden="1" x14ac:dyDescent="0.25">
      <c r="B129" s="274" t="s">
        <v>6</v>
      </c>
      <c r="C129" s="285" t="s">
        <v>28</v>
      </c>
      <c r="D129" s="95">
        <f>IF('Concrete Plant (CP-9)'!J15&gt;0,'Concrete Plant (CP-9)'!J15,'Permitted Diesel Engines'!AK61)</f>
        <v>0</v>
      </c>
      <c r="E129" s="99" t="str">
        <f>IF(D129&gt;100,"Thresholds exceeded, contact DNR for assistance.","")</f>
        <v/>
      </c>
      <c r="H129" s="274" t="s">
        <v>6</v>
      </c>
      <c r="I129" s="285" t="s">
        <v>28</v>
      </c>
      <c r="J129" s="95">
        <f>IF('Concrete Plant (CP-9)'!J15&gt;0,'Concrete Plant (CP-9)'!J15,'Permitted Diesel Engines'!AK62)</f>
        <v>0</v>
      </c>
      <c r="K129" s="99" t="str">
        <f>IF(J129&gt;100,"Thresholds exceeded, contact DNR for assistance.","")</f>
        <v/>
      </c>
    </row>
    <row r="130" spans="1:11" hidden="1" x14ac:dyDescent="0.25">
      <c r="B130" s="274" t="s">
        <v>7</v>
      </c>
      <c r="C130" s="285"/>
      <c r="D130" s="95"/>
      <c r="E130" s="99" t="str">
        <f>IF(D130&gt;100,"Thresholds exceeded, contact DNR for assistance.","")</f>
        <v/>
      </c>
      <c r="H130" s="274" t="s">
        <v>7</v>
      </c>
      <c r="I130" s="285"/>
      <c r="J130" s="95"/>
      <c r="K130" s="99" t="str">
        <f>IF(J130&gt;100,"Thresholds exceeded, contact DNR for assistance.","")</f>
        <v/>
      </c>
    </row>
    <row r="131" spans="1:11" hidden="1" x14ac:dyDescent="0.25">
      <c r="B131" s="274" t="s">
        <v>8</v>
      </c>
      <c r="C131" s="285" t="s">
        <v>29</v>
      </c>
      <c r="D131" s="95">
        <f>'Permitted Diesel Engines'!AL61</f>
        <v>0</v>
      </c>
      <c r="E131" s="99" t="str">
        <f>IF(D131&gt;10,"Thresholds exceeded, contact DNR for assistance.","")</f>
        <v/>
      </c>
      <c r="H131" s="274" t="s">
        <v>8</v>
      </c>
      <c r="I131" s="285" t="s">
        <v>29</v>
      </c>
      <c r="J131" s="95">
        <f>'Permitted Diesel Engines'!AL62</f>
        <v>0</v>
      </c>
      <c r="K131" s="99" t="str">
        <f>IF(J131&gt;10,"Thresholds exceeded, contact DNR for assistance.","")</f>
        <v/>
      </c>
    </row>
    <row r="132" spans="1:11" hidden="1" x14ac:dyDescent="0.25">
      <c r="B132" s="275" t="s">
        <v>53</v>
      </c>
      <c r="C132" s="286" t="s">
        <v>73</v>
      </c>
      <c r="D132" s="95">
        <f>'Permitted Diesel Engines'!AO61</f>
        <v>0</v>
      </c>
      <c r="E132" s="99" t="str">
        <f>IF(D132&gt;10,"Thresholds exceeded, contact DNR for assistance.","")</f>
        <v/>
      </c>
      <c r="H132" s="275" t="s">
        <v>53</v>
      </c>
      <c r="I132" s="286" t="s">
        <v>73</v>
      </c>
      <c r="J132" s="95">
        <f>'Permitted Diesel Engines'!AO62</f>
        <v>0</v>
      </c>
      <c r="K132" s="99" t="str">
        <f>IF(J132&gt;10,"Thresholds exceeded, contact DNR for assistance.","")</f>
        <v/>
      </c>
    </row>
    <row r="133" spans="1:11" ht="15.75" hidden="1" thickBot="1" x14ac:dyDescent="0.3">
      <c r="B133" s="276" t="s">
        <v>30</v>
      </c>
      <c r="C133" s="290"/>
      <c r="D133" s="97">
        <f>SUM(D131:D132)</f>
        <v>0</v>
      </c>
      <c r="E133" s="99" t="str">
        <f>IF(D133&gt;25,"Thresholds exceeded, contact DNR for assistance.","")</f>
        <v/>
      </c>
      <c r="H133" s="276" t="s">
        <v>30</v>
      </c>
      <c r="I133" s="290"/>
      <c r="J133" s="97">
        <f>SUM(J131:J132)</f>
        <v>0</v>
      </c>
      <c r="K133" s="99" t="str">
        <f>IF(J133&gt;25,"Thresholds exceeded, contact DNR for assistance.","")</f>
        <v/>
      </c>
    </row>
    <row r="134" spans="1:11" ht="15.75" hidden="1" thickBot="1" x14ac:dyDescent="0.3"/>
    <row r="135" spans="1:11" ht="16.5" thickBot="1" x14ac:dyDescent="0.3">
      <c r="A135" s="98" t="s">
        <v>233</v>
      </c>
      <c r="B135" s="291" t="s">
        <v>167</v>
      </c>
      <c r="C135" s="282"/>
      <c r="D135" s="292"/>
      <c r="G135" s="98" t="s">
        <v>234</v>
      </c>
      <c r="H135" s="291" t="s">
        <v>167</v>
      </c>
      <c r="I135" s="282"/>
      <c r="J135" s="292"/>
    </row>
    <row r="136" spans="1:11" x14ac:dyDescent="0.25">
      <c r="B136" s="273" t="s">
        <v>21</v>
      </c>
      <c r="C136" s="293" t="s">
        <v>22</v>
      </c>
      <c r="D136" s="5" t="s">
        <v>23</v>
      </c>
      <c r="H136" s="273" t="s">
        <v>21</v>
      </c>
      <c r="I136" s="293" t="s">
        <v>22</v>
      </c>
      <c r="J136" s="5" t="s">
        <v>23</v>
      </c>
    </row>
    <row r="137" spans="1:11" x14ac:dyDescent="0.25">
      <c r="B137" s="274" t="s">
        <v>24</v>
      </c>
      <c r="C137" s="283" t="s">
        <v>24</v>
      </c>
      <c r="D137" s="95">
        <f ca="1">SUM('Concrete Plant (CP-9)'!V21:V31,'Concrete Plant (CP-9)'!V49,'Haul Roads'!AM17,'Permitted Diesel Engines'!AA61)</f>
        <v>0</v>
      </c>
      <c r="H137" s="274" t="s">
        <v>24</v>
      </c>
      <c r="I137" s="283" t="s">
        <v>24</v>
      </c>
      <c r="J137" s="95">
        <f ca="1">SUM('Concrete Plant (CP-10)'!V21:V31,'Concrete Plant (CP-10)'!V48,'Haul Roads'!AM18,'Permitted Diesel Engines'!AA62)</f>
        <v>0</v>
      </c>
    </row>
    <row r="138" spans="1:11" x14ac:dyDescent="0.25">
      <c r="B138" s="274" t="s">
        <v>25</v>
      </c>
      <c r="C138" s="284" t="s">
        <v>25</v>
      </c>
      <c r="D138" s="95">
        <f ca="1">SUM('Concrete Plant (CP-9)'!V35:V45,'Concrete Plant (CP-9)'!V49,'Haul Roads'!AO17,'Permitted Diesel Engines'!AB61)</f>
        <v>0</v>
      </c>
      <c r="H138" s="274" t="s">
        <v>25</v>
      </c>
      <c r="I138" s="284" t="s">
        <v>25</v>
      </c>
      <c r="J138" s="95">
        <f ca="1">SUM('Concrete Plant (CP-10)'!V34:V44,'Concrete Plant (CP-10)'!V48,'Haul Roads'!AO18,'Permitted Diesel Engines'!AB62)</f>
        <v>0</v>
      </c>
    </row>
    <row r="139" spans="1:11" x14ac:dyDescent="0.25">
      <c r="B139" s="274" t="s">
        <v>3</v>
      </c>
      <c r="C139" s="285" t="s">
        <v>26</v>
      </c>
      <c r="D139" s="95">
        <f>'Permitted Diesel Engines'!AE61</f>
        <v>0</v>
      </c>
      <c r="H139" s="274" t="s">
        <v>3</v>
      </c>
      <c r="I139" s="285" t="s">
        <v>26</v>
      </c>
      <c r="J139" s="95">
        <f>'Permitted Diesel Engines'!AE62</f>
        <v>0</v>
      </c>
    </row>
    <row r="140" spans="1:11" x14ac:dyDescent="0.25">
      <c r="B140" s="274" t="s">
        <v>27</v>
      </c>
      <c r="C140" s="285" t="s">
        <v>27</v>
      </c>
      <c r="D140" s="95">
        <f>'Permitted Diesel Engines'!AF61</f>
        <v>0</v>
      </c>
      <c r="H140" s="274" t="s">
        <v>27</v>
      </c>
      <c r="I140" s="285" t="s">
        <v>27</v>
      </c>
      <c r="J140" s="95">
        <f>'Permitted Diesel Engines'!AF62</f>
        <v>0</v>
      </c>
    </row>
    <row r="141" spans="1:11" x14ac:dyDescent="0.25">
      <c r="B141" s="274" t="s">
        <v>5</v>
      </c>
      <c r="C141" s="285" t="s">
        <v>5</v>
      </c>
      <c r="D141" s="95">
        <f>'Permitted Diesel Engines'!AI61</f>
        <v>0</v>
      </c>
      <c r="H141" s="274" t="s">
        <v>5</v>
      </c>
      <c r="I141" s="285" t="s">
        <v>5</v>
      </c>
      <c r="J141" s="95">
        <f>'Permitted Diesel Engines'!AI62</f>
        <v>0</v>
      </c>
    </row>
    <row r="142" spans="1:11" x14ac:dyDescent="0.25">
      <c r="B142" s="274" t="s">
        <v>6</v>
      </c>
      <c r="C142" s="285" t="s">
        <v>28</v>
      </c>
      <c r="D142" s="95">
        <f>'Permitted Diesel Engines'!AJ61</f>
        <v>0</v>
      </c>
      <c r="H142" s="274" t="s">
        <v>6</v>
      </c>
      <c r="I142" s="285" t="s">
        <v>28</v>
      </c>
      <c r="J142" s="95">
        <f>'Permitted Diesel Engines'!AJ62</f>
        <v>0</v>
      </c>
    </row>
    <row r="143" spans="1:11" x14ac:dyDescent="0.25">
      <c r="B143" s="274" t="s">
        <v>7</v>
      </c>
      <c r="C143" s="285"/>
      <c r="D143" s="95"/>
      <c r="H143" s="274" t="s">
        <v>7</v>
      </c>
      <c r="I143" s="285"/>
      <c r="J143" s="95"/>
    </row>
    <row r="144" spans="1:11" x14ac:dyDescent="0.25">
      <c r="B144" s="274" t="s">
        <v>8</v>
      </c>
      <c r="C144" s="285" t="s">
        <v>29</v>
      </c>
      <c r="D144" s="95">
        <f>'Permitted Diesel Engines'!AM61</f>
        <v>0</v>
      </c>
      <c r="H144" s="274" t="s">
        <v>8</v>
      </c>
      <c r="I144" s="285" t="s">
        <v>29</v>
      </c>
      <c r="J144" s="95">
        <f>'Permitted Diesel Engines'!AM62</f>
        <v>0</v>
      </c>
    </row>
    <row r="145" spans="2:10" x14ac:dyDescent="0.25">
      <c r="B145" s="275" t="s">
        <v>53</v>
      </c>
      <c r="C145" s="286" t="s">
        <v>73</v>
      </c>
      <c r="D145" s="95">
        <f>'Permitted Diesel Engines'!AN61</f>
        <v>0</v>
      </c>
      <c r="H145" s="275" t="s">
        <v>53</v>
      </c>
      <c r="I145" s="286" t="s">
        <v>73</v>
      </c>
      <c r="J145" s="95">
        <f>'Permitted Diesel Engines'!AN62</f>
        <v>0</v>
      </c>
    </row>
    <row r="146" spans="2:10" ht="15.75" thickBot="1" x14ac:dyDescent="0.3">
      <c r="B146" s="276" t="s">
        <v>30</v>
      </c>
      <c r="C146" s="290"/>
      <c r="D146" s="97">
        <f>SUM(D144:D145)</f>
        <v>0</v>
      </c>
      <c r="H146" s="276" t="s">
        <v>30</v>
      </c>
      <c r="I146" s="290"/>
      <c r="J146" s="97">
        <f>SUM(J144:J145)</f>
        <v>0</v>
      </c>
    </row>
  </sheetData>
  <sheetProtection algorithmName="SHA-512" hashValue="MfGKnQCAzYB87AjbY4XB20hBm2rcl4gteMjHe+aKgMqHcWYA9m/Kj6dVNbWf5X9N8PZanQ+sr7Ig/QczBJtWGg==" saltValue="8ND40kXdb5Q9/u5dE4LAbg==" spinCount="100000" sheet="1" objects="1" scenarios="1"/>
  <pageMargins left="0.25" right="0.25" top="0.75" bottom="0.75" header="0.3" footer="0.3"/>
  <pageSetup scale="88" orientation="portrait" verticalDpi="300" r:id="rId1"/>
  <rowBreaks count="2" manualBreakCount="2">
    <brk id="42" max="16383" man="1"/>
    <brk id="94"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T35"/>
  <sheetViews>
    <sheetView workbookViewId="0"/>
  </sheetViews>
  <sheetFormatPr defaultColWidth="8.85546875" defaultRowHeight="15" x14ac:dyDescent="0.25"/>
  <cols>
    <col min="1" max="1" width="35" style="14" customWidth="1"/>
    <col min="2" max="2" width="10.140625" style="14" customWidth="1"/>
    <col min="3" max="3" width="10" style="14" bestFit="1" customWidth="1"/>
    <col min="4" max="4" width="8.85546875" style="14"/>
    <col min="5" max="5" width="14.85546875" style="14" bestFit="1" customWidth="1"/>
    <col min="6" max="6" width="20.85546875" style="14" customWidth="1"/>
    <col min="7" max="7" width="21.28515625" style="14" customWidth="1"/>
    <col min="8" max="8" width="7.42578125" style="14" customWidth="1"/>
    <col min="9" max="9" width="14.85546875" style="14" bestFit="1" customWidth="1"/>
    <col min="10" max="10" width="5.140625" style="14" bestFit="1" customWidth="1"/>
    <col min="11" max="11" width="14.85546875" style="14" bestFit="1" customWidth="1"/>
    <col min="12" max="12" width="6" style="14" bestFit="1" customWidth="1"/>
    <col min="13" max="13" width="14.85546875" style="14" bestFit="1" customWidth="1"/>
    <col min="14" max="14" width="5" style="14" bestFit="1" customWidth="1"/>
    <col min="15" max="15" width="14.85546875" style="14" bestFit="1" customWidth="1"/>
    <col min="16" max="16" width="14.28515625" style="14" bestFit="1" customWidth="1"/>
    <col min="17" max="17" width="14.85546875" style="14" bestFit="1" customWidth="1"/>
    <col min="18" max="18" width="9" style="14" bestFit="1" customWidth="1"/>
    <col min="19" max="19" width="14.85546875" style="14" bestFit="1" customWidth="1"/>
    <col min="20" max="20" width="16.140625" style="14" customWidth="1"/>
    <col min="21" max="16384" width="8.85546875" style="14"/>
  </cols>
  <sheetData>
    <row r="1" spans="1:13" ht="18.75" x14ac:dyDescent="0.3">
      <c r="A1" s="27" t="s">
        <v>75</v>
      </c>
    </row>
    <row r="2" spans="1:13" ht="11.25" customHeight="1" x14ac:dyDescent="0.3">
      <c r="A2" s="27"/>
    </row>
    <row r="3" spans="1:13" x14ac:dyDescent="0.25">
      <c r="A3" s="19" t="s">
        <v>206</v>
      </c>
      <c r="B3" s="19"/>
      <c r="C3" s="141"/>
      <c r="D3" s="141"/>
      <c r="E3" s="141"/>
      <c r="F3" s="141"/>
      <c r="G3" s="185"/>
      <c r="H3" s="141"/>
      <c r="I3" s="141"/>
      <c r="J3" s="141"/>
      <c r="K3" s="141"/>
    </row>
    <row r="4" spans="1:13" x14ac:dyDescent="0.25">
      <c r="A4" s="13" t="s">
        <v>0</v>
      </c>
      <c r="B4" s="13"/>
      <c r="C4" s="13" t="s">
        <v>9</v>
      </c>
      <c r="D4" s="13" t="s">
        <v>110</v>
      </c>
      <c r="E4" s="13" t="s">
        <v>2</v>
      </c>
      <c r="F4" s="13"/>
      <c r="G4" s="13"/>
      <c r="H4" s="13" t="s">
        <v>17</v>
      </c>
      <c r="I4" s="13" t="s">
        <v>2</v>
      </c>
      <c r="J4" s="13"/>
      <c r="K4" s="147"/>
      <c r="L4" s="147"/>
    </row>
    <row r="5" spans="1:13" ht="15" customHeight="1" x14ac:dyDescent="0.25">
      <c r="A5" s="14" t="s">
        <v>191</v>
      </c>
      <c r="C5" s="141">
        <v>30501121</v>
      </c>
      <c r="D5" s="141">
        <v>9.6000000000000002E-4</v>
      </c>
      <c r="E5" s="141" t="s">
        <v>207</v>
      </c>
      <c r="F5" s="269" t="s">
        <v>208</v>
      </c>
      <c r="G5" s="269"/>
      <c r="H5" s="141">
        <v>3.0999999999999999E-3</v>
      </c>
      <c r="I5" s="141" t="s">
        <v>207</v>
      </c>
      <c r="J5" s="268" t="s">
        <v>209</v>
      </c>
      <c r="K5" s="268"/>
      <c r="L5" s="268"/>
      <c r="M5" s="268"/>
    </row>
    <row r="6" spans="1:13" x14ac:dyDescent="0.25">
      <c r="A6" s="14" t="s">
        <v>193</v>
      </c>
      <c r="C6" s="141">
        <v>30501123</v>
      </c>
      <c r="D6" s="141">
        <v>9.6000000000000002E-4</v>
      </c>
      <c r="E6" s="141" t="s">
        <v>207</v>
      </c>
      <c r="F6" s="269" t="s">
        <v>208</v>
      </c>
      <c r="G6" s="269"/>
      <c r="H6" s="141">
        <v>3.0999999999999999E-3</v>
      </c>
      <c r="I6" s="141" t="s">
        <v>207</v>
      </c>
      <c r="J6" s="268" t="s">
        <v>209</v>
      </c>
      <c r="K6" s="268"/>
      <c r="L6" s="268"/>
      <c r="M6" s="268"/>
    </row>
    <row r="7" spans="1:13" x14ac:dyDescent="0.25">
      <c r="A7" s="14" t="s">
        <v>195</v>
      </c>
      <c r="C7" s="141">
        <v>30501104</v>
      </c>
      <c r="D7" s="141">
        <v>9.6000000000000002E-4</v>
      </c>
      <c r="E7" s="141" t="s">
        <v>207</v>
      </c>
      <c r="F7" s="269" t="s">
        <v>208</v>
      </c>
      <c r="G7" s="269"/>
      <c r="H7" s="141">
        <v>3.0999999999999999E-3</v>
      </c>
      <c r="I7" s="141" t="s">
        <v>207</v>
      </c>
      <c r="J7" s="268" t="s">
        <v>209</v>
      </c>
      <c r="K7" s="268"/>
      <c r="L7" s="268"/>
      <c r="M7" s="268"/>
    </row>
    <row r="8" spans="1:13" x14ac:dyDescent="0.25">
      <c r="A8" s="14" t="s">
        <v>199</v>
      </c>
      <c r="B8" s="14" t="s">
        <v>210</v>
      </c>
      <c r="C8" s="141">
        <v>30501107</v>
      </c>
      <c r="D8" s="141">
        <v>3.0000000000000001E-5</v>
      </c>
      <c r="E8" s="141" t="s">
        <v>207</v>
      </c>
      <c r="F8" s="269" t="s">
        <v>208</v>
      </c>
      <c r="G8" s="269"/>
      <c r="H8" s="141">
        <v>1E-4</v>
      </c>
      <c r="I8" s="141" t="s">
        <v>207</v>
      </c>
      <c r="J8" s="268" t="s">
        <v>209</v>
      </c>
      <c r="K8" s="268"/>
      <c r="L8" s="268"/>
      <c r="M8" s="268"/>
    </row>
    <row r="9" spans="1:13" x14ac:dyDescent="0.25">
      <c r="A9" s="14" t="s">
        <v>200</v>
      </c>
      <c r="B9" s="14" t="s">
        <v>210</v>
      </c>
      <c r="C9" s="141">
        <v>30501117</v>
      </c>
      <c r="D9" s="141">
        <v>4.5000000000000003E-5</v>
      </c>
      <c r="E9" s="141" t="s">
        <v>207</v>
      </c>
      <c r="F9" s="269" t="s">
        <v>208</v>
      </c>
      <c r="G9" s="269"/>
      <c r="H9" s="141">
        <v>2.0000000000000001E-4</v>
      </c>
      <c r="I9" s="141" t="s">
        <v>207</v>
      </c>
      <c r="J9" s="268" t="s">
        <v>209</v>
      </c>
      <c r="K9" s="268"/>
      <c r="L9" s="268"/>
      <c r="M9" s="268"/>
    </row>
    <row r="10" spans="1:13" x14ac:dyDescent="0.25">
      <c r="A10" s="14" t="s">
        <v>197</v>
      </c>
      <c r="C10" s="141">
        <v>30501109</v>
      </c>
      <c r="D10" s="157">
        <v>2.4199999999999999E-2</v>
      </c>
      <c r="E10" s="141" t="s">
        <v>207</v>
      </c>
      <c r="F10" s="269" t="s">
        <v>211</v>
      </c>
      <c r="G10" s="269"/>
      <c r="H10" s="157">
        <v>4.3999999999999997E-2</v>
      </c>
      <c r="I10" s="141" t="s">
        <v>207</v>
      </c>
      <c r="J10" s="268" t="s">
        <v>211</v>
      </c>
      <c r="K10" s="268"/>
      <c r="L10" s="268"/>
      <c r="M10" s="268"/>
    </row>
    <row r="11" spans="1:13" x14ac:dyDescent="0.25">
      <c r="A11" s="14" t="s">
        <v>192</v>
      </c>
      <c r="C11" s="141">
        <v>30501122</v>
      </c>
      <c r="D11" s="141">
        <v>2.2499999999999999E-4</v>
      </c>
      <c r="E11" s="141" t="s">
        <v>207</v>
      </c>
      <c r="F11" s="269" t="s">
        <v>208</v>
      </c>
      <c r="G11" s="269"/>
      <c r="H11" s="141">
        <v>6.9999999999999999E-4</v>
      </c>
      <c r="I11" s="141" t="s">
        <v>207</v>
      </c>
      <c r="J11" s="268" t="s">
        <v>209</v>
      </c>
      <c r="K11" s="268"/>
      <c r="L11" s="268"/>
      <c r="M11" s="268"/>
    </row>
    <row r="12" spans="1:13" x14ac:dyDescent="0.25">
      <c r="A12" s="14" t="s">
        <v>194</v>
      </c>
      <c r="C12" s="141">
        <v>30501124</v>
      </c>
      <c r="D12" s="141">
        <v>2.2499999999999999E-4</v>
      </c>
      <c r="E12" s="141" t="s">
        <v>207</v>
      </c>
      <c r="F12" s="269" t="s">
        <v>208</v>
      </c>
      <c r="G12" s="269"/>
      <c r="H12" s="141">
        <v>6.9999999999999999E-4</v>
      </c>
      <c r="I12" s="141" t="s">
        <v>207</v>
      </c>
      <c r="J12" s="268" t="s">
        <v>209</v>
      </c>
      <c r="K12" s="268"/>
      <c r="L12" s="268"/>
      <c r="M12" s="268"/>
    </row>
    <row r="13" spans="1:13" x14ac:dyDescent="0.25">
      <c r="A13" s="14" t="s">
        <v>196</v>
      </c>
      <c r="C13" s="141">
        <v>30501105</v>
      </c>
      <c r="D13" s="141">
        <v>2.2499999999999999E-4</v>
      </c>
      <c r="E13" s="141" t="s">
        <v>207</v>
      </c>
      <c r="F13" s="269" t="s">
        <v>208</v>
      </c>
      <c r="G13" s="269"/>
      <c r="H13" s="141">
        <v>6.9999999999999999E-4</v>
      </c>
      <c r="I13" s="141" t="s">
        <v>207</v>
      </c>
      <c r="J13" s="268" t="s">
        <v>209</v>
      </c>
      <c r="K13" s="268"/>
      <c r="L13" s="268"/>
      <c r="M13" s="268"/>
    </row>
    <row r="14" spans="1:13" ht="15" customHeight="1" x14ac:dyDescent="0.25">
      <c r="A14" s="14" t="s">
        <v>40</v>
      </c>
      <c r="C14" s="141">
        <v>30502507</v>
      </c>
      <c r="D14" s="141">
        <v>3.64</v>
      </c>
      <c r="E14" s="141" t="s">
        <v>43</v>
      </c>
      <c r="F14" s="269" t="s">
        <v>212</v>
      </c>
      <c r="G14" s="269"/>
      <c r="H14" s="141">
        <v>3.64</v>
      </c>
      <c r="I14" s="141" t="s">
        <v>43</v>
      </c>
      <c r="J14" s="268" t="s">
        <v>212</v>
      </c>
      <c r="K14" s="268"/>
      <c r="L14" s="268"/>
      <c r="M14" s="268"/>
    </row>
    <row r="15" spans="1:13" ht="15" customHeight="1" x14ac:dyDescent="0.25">
      <c r="A15" s="14" t="s">
        <v>198</v>
      </c>
      <c r="C15" s="141">
        <v>30501110</v>
      </c>
      <c r="D15" s="157">
        <v>1.41E-2</v>
      </c>
      <c r="E15" s="141" t="s">
        <v>207</v>
      </c>
      <c r="F15" s="269" t="s">
        <v>211</v>
      </c>
      <c r="G15" s="269"/>
      <c r="H15" s="157">
        <v>8.7400000000000005E-2</v>
      </c>
      <c r="I15" s="141" t="s">
        <v>207</v>
      </c>
      <c r="J15" s="268" t="s">
        <v>211</v>
      </c>
      <c r="K15" s="268"/>
      <c r="L15" s="268"/>
      <c r="M15" s="268"/>
    </row>
    <row r="16" spans="1:13" ht="15" customHeight="1" x14ac:dyDescent="0.25">
      <c r="A16" s="14" t="s">
        <v>203</v>
      </c>
      <c r="C16" s="141">
        <v>30501108</v>
      </c>
      <c r="D16" s="141">
        <v>1.1850000000000001E-3</v>
      </c>
      <c r="E16" s="141" t="s">
        <v>207</v>
      </c>
      <c r="F16" s="269" t="s">
        <v>208</v>
      </c>
      <c r="G16" s="269"/>
      <c r="H16" s="141">
        <v>3.8E-3</v>
      </c>
      <c r="I16" s="141" t="s">
        <v>207</v>
      </c>
      <c r="J16" s="268" t="s">
        <v>209</v>
      </c>
      <c r="K16" s="268"/>
      <c r="L16" s="268"/>
      <c r="M16" s="268"/>
    </row>
    <row r="17" spans="1:20" ht="9" customHeight="1" x14ac:dyDescent="0.25"/>
    <row r="18" spans="1:20" x14ac:dyDescent="0.25">
      <c r="A18" s="20" t="s">
        <v>62</v>
      </c>
    </row>
    <row r="19" spans="1:20" x14ac:dyDescent="0.25">
      <c r="A19" s="16" t="s">
        <v>33</v>
      </c>
      <c r="B19" s="213">
        <v>30205054</v>
      </c>
      <c r="O19" s="17"/>
      <c r="P19" s="18"/>
      <c r="Q19" s="17"/>
      <c r="R19" s="18"/>
      <c r="S19" s="17"/>
      <c r="T19" s="18"/>
    </row>
    <row r="20" spans="1:20" x14ac:dyDescent="0.25">
      <c r="A20" s="8"/>
      <c r="B20" s="211" t="s">
        <v>81</v>
      </c>
      <c r="C20" s="8"/>
      <c r="D20" s="8"/>
      <c r="E20" s="8"/>
      <c r="F20" s="9"/>
      <c r="G20" s="9"/>
      <c r="H20" s="18"/>
      <c r="I20" s="17"/>
      <c r="J20" s="18"/>
      <c r="K20" s="17"/>
      <c r="L20" s="18"/>
      <c r="O20" s="17"/>
      <c r="P20" s="18"/>
      <c r="Q20" s="17"/>
      <c r="R20" s="18"/>
      <c r="S20" s="17"/>
      <c r="T20" s="18"/>
    </row>
    <row r="21" spans="1:20" x14ac:dyDescent="0.25">
      <c r="A21" s="8"/>
      <c r="B21" s="8"/>
      <c r="C21" s="211" t="s">
        <v>34</v>
      </c>
      <c r="I21" s="17"/>
      <c r="J21" s="18"/>
      <c r="K21" s="17"/>
      <c r="L21" s="18"/>
      <c r="O21" s="17"/>
      <c r="P21" s="18"/>
      <c r="Q21" s="17"/>
      <c r="R21" s="18"/>
      <c r="S21" s="17"/>
      <c r="T21" s="18"/>
    </row>
    <row r="22" spans="1:20" x14ac:dyDescent="0.25">
      <c r="A22" s="8"/>
      <c r="B22" s="8"/>
      <c r="C22" s="211" t="s">
        <v>35</v>
      </c>
      <c r="I22" s="17"/>
      <c r="J22" s="18"/>
      <c r="K22" s="17"/>
      <c r="L22" s="18"/>
    </row>
    <row r="23" spans="1:20" x14ac:dyDescent="0.25">
      <c r="A23" s="8"/>
      <c r="B23" s="8"/>
      <c r="C23" s="211" t="s">
        <v>36</v>
      </c>
    </row>
    <row r="24" spans="1:20" x14ac:dyDescent="0.25">
      <c r="A24" s="8"/>
      <c r="B24" s="8"/>
      <c r="C24" s="212" t="s">
        <v>68</v>
      </c>
    </row>
    <row r="25" spans="1:20" x14ac:dyDescent="0.25">
      <c r="A25" s="8" t="s">
        <v>80</v>
      </c>
      <c r="B25" s="211">
        <v>30205054</v>
      </c>
      <c r="C25" s="8"/>
      <c r="E25" s="8"/>
      <c r="H25" s="12"/>
    </row>
    <row r="26" spans="1:20" x14ac:dyDescent="0.25">
      <c r="A26" s="8"/>
      <c r="B26" s="211" t="s">
        <v>82</v>
      </c>
      <c r="C26" s="8"/>
      <c r="E26" s="8"/>
      <c r="H26" s="12"/>
    </row>
    <row r="27" spans="1:20" x14ac:dyDescent="0.25">
      <c r="A27" s="8"/>
      <c r="B27" s="8"/>
      <c r="C27" s="211" t="s">
        <v>83</v>
      </c>
      <c r="E27" s="8"/>
    </row>
    <row r="28" spans="1:20" x14ac:dyDescent="0.25">
      <c r="A28" s="8"/>
      <c r="B28" s="8"/>
      <c r="C28" s="211" t="s">
        <v>84</v>
      </c>
      <c r="E28" s="8"/>
    </row>
    <row r="29" spans="1:20" x14ac:dyDescent="0.25">
      <c r="A29" s="8"/>
      <c r="B29" s="8"/>
      <c r="C29" s="211" t="s">
        <v>36</v>
      </c>
      <c r="E29" s="8"/>
    </row>
    <row r="30" spans="1:20" ht="12.75" customHeight="1" x14ac:dyDescent="0.25">
      <c r="A30" s="8"/>
      <c r="B30" s="8"/>
      <c r="C30" s="212" t="s">
        <v>68</v>
      </c>
      <c r="E30" s="8"/>
    </row>
    <row r="31" spans="1:20" x14ac:dyDescent="0.25">
      <c r="A31" s="15" t="s">
        <v>44</v>
      </c>
    </row>
    <row r="32" spans="1:20" x14ac:dyDescent="0.25">
      <c r="A32" s="13" t="s">
        <v>0</v>
      </c>
      <c r="B32" s="13" t="s">
        <v>9</v>
      </c>
      <c r="C32" s="13" t="s">
        <v>2</v>
      </c>
      <c r="D32" s="13" t="s">
        <v>41</v>
      </c>
      <c r="E32" s="13" t="s">
        <v>47</v>
      </c>
      <c r="F32" s="13" t="s">
        <v>42</v>
      </c>
      <c r="G32" s="13" t="s">
        <v>47</v>
      </c>
      <c r="H32" s="13" t="s">
        <v>3</v>
      </c>
      <c r="I32" s="13" t="s">
        <v>49</v>
      </c>
      <c r="J32" s="13" t="s">
        <v>4</v>
      </c>
      <c r="K32" s="13" t="s">
        <v>47</v>
      </c>
      <c r="L32" s="13" t="s">
        <v>5</v>
      </c>
      <c r="M32" s="13" t="s">
        <v>47</v>
      </c>
      <c r="N32" s="13" t="s">
        <v>6</v>
      </c>
      <c r="O32" s="13" t="s">
        <v>47</v>
      </c>
      <c r="P32" s="13" t="s">
        <v>8</v>
      </c>
      <c r="Q32" s="13" t="s">
        <v>47</v>
      </c>
      <c r="R32" s="13" t="s">
        <v>53</v>
      </c>
      <c r="S32" s="13" t="s">
        <v>47</v>
      </c>
    </row>
    <row r="33" spans="1:19" x14ac:dyDescent="0.25">
      <c r="A33" s="14" t="s">
        <v>70</v>
      </c>
      <c r="B33" s="213">
        <v>20100102</v>
      </c>
      <c r="C33" s="213" t="s">
        <v>45</v>
      </c>
      <c r="D33" s="213">
        <v>0.31</v>
      </c>
      <c r="E33" s="213" t="s">
        <v>48</v>
      </c>
      <c r="F33" s="213">
        <v>0.31</v>
      </c>
      <c r="G33" s="213" t="s">
        <v>48</v>
      </c>
      <c r="H33" s="213">
        <v>0.28999999999999998</v>
      </c>
      <c r="I33" s="213" t="s">
        <v>48</v>
      </c>
      <c r="J33" s="213">
        <v>4.41</v>
      </c>
      <c r="K33" s="213" t="s">
        <v>48</v>
      </c>
      <c r="L33" s="213">
        <v>0.35</v>
      </c>
      <c r="M33" s="213" t="s">
        <v>48</v>
      </c>
      <c r="N33" s="213">
        <v>0.95</v>
      </c>
      <c r="O33" s="213" t="s">
        <v>48</v>
      </c>
      <c r="P33" s="213">
        <v>1.1800000000000001E-3</v>
      </c>
      <c r="Q33" s="213" t="s">
        <v>50</v>
      </c>
      <c r="R33" s="213">
        <v>9.3300000000000002E-4</v>
      </c>
      <c r="S33" s="213" t="s">
        <v>50</v>
      </c>
    </row>
    <row r="34" spans="1:19" x14ac:dyDescent="0.25">
      <c r="A34" s="14" t="s">
        <v>71</v>
      </c>
      <c r="B34" s="213">
        <v>20200401</v>
      </c>
      <c r="C34" s="213" t="s">
        <v>45</v>
      </c>
      <c r="D34" s="213">
        <v>5.3900000000000003E-2</v>
      </c>
      <c r="E34" s="213" t="s">
        <v>54</v>
      </c>
      <c r="F34" s="213">
        <v>0.14000000000000001</v>
      </c>
      <c r="G34" s="213" t="s">
        <v>46</v>
      </c>
      <c r="H34" s="213">
        <v>1.01</v>
      </c>
      <c r="I34" s="213" t="s">
        <v>51</v>
      </c>
      <c r="J34" s="213">
        <v>3.2</v>
      </c>
      <c r="K34" s="213" t="s">
        <v>51</v>
      </c>
      <c r="L34" s="213">
        <v>8.2000000000000003E-2</v>
      </c>
      <c r="M34" s="213" t="s">
        <v>51</v>
      </c>
      <c r="N34" s="213">
        <v>0.85</v>
      </c>
      <c r="O34" s="213" t="s">
        <v>51</v>
      </c>
      <c r="P34" s="213">
        <v>7.8899999999999993E-5</v>
      </c>
      <c r="Q34" s="213" t="s">
        <v>52</v>
      </c>
      <c r="R34" s="213">
        <v>7.76E-4</v>
      </c>
      <c r="S34" s="213" t="s">
        <v>52</v>
      </c>
    </row>
    <row r="35" spans="1:19" x14ac:dyDescent="0.25">
      <c r="B35" s="213"/>
      <c r="C35" s="213"/>
      <c r="D35" s="213"/>
      <c r="E35" s="213"/>
      <c r="F35" s="213"/>
      <c r="G35" s="213"/>
      <c r="H35" s="213"/>
      <c r="I35" s="213"/>
      <c r="J35" s="213"/>
      <c r="K35" s="213"/>
      <c r="L35" s="213"/>
      <c r="M35" s="214" t="s">
        <v>69</v>
      </c>
      <c r="N35" s="213"/>
      <c r="O35" s="213"/>
      <c r="P35" s="213"/>
      <c r="Q35" s="213"/>
      <c r="R35" s="213"/>
      <c r="S35" s="213"/>
    </row>
  </sheetData>
  <sheetProtection algorithmName="SHA-512" hashValue="UlygHAqQwqqr8XHlBcBI8XMmef9R/zpBdYrr+Bqt7C+42h0A1yFJDH2blNHrKOzpayKfj09QZTTJLkXUXbBT8g==" saltValue="qGnDdfv+r9iynFpisV8y/g==" spinCount="100000" sheet="1" objects="1" scenarios="1"/>
  <pageMargins left="0.25" right="0.25" top="0.75" bottom="0.75" header="0.3" footer="0.3"/>
  <pageSetup scale="79" fitToWidth="2" fitToHeight="0" orientation="landscape"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45</vt:i4>
      </vt:variant>
    </vt:vector>
  </HeadingPairs>
  <TitlesOfParts>
    <vt:vector size="61" baseType="lpstr">
      <vt:lpstr>Facility Information</vt:lpstr>
      <vt:lpstr>Concrete Plant (CP-1)</vt:lpstr>
      <vt:lpstr>Concrete Plant (CP-2)</vt:lpstr>
      <vt:lpstr>Concrete Plant (CP-3)</vt:lpstr>
      <vt:lpstr>Concrete Plant (CP-4)</vt:lpstr>
      <vt:lpstr>Concrete Plant (CP-5)</vt:lpstr>
      <vt:lpstr>Concrete Plant (CP-6)</vt:lpstr>
      <vt:lpstr>Concrete Plant (CP-7)</vt:lpstr>
      <vt:lpstr>Concrete Plant (CP-8)</vt:lpstr>
      <vt:lpstr>Concrete Plant (CP-9)</vt:lpstr>
      <vt:lpstr>Concrete Plant (CP-10)</vt:lpstr>
      <vt:lpstr>Haul Roads</vt:lpstr>
      <vt:lpstr>Permitted Diesel Engines</vt:lpstr>
      <vt:lpstr>Emission Calculations</vt:lpstr>
      <vt:lpstr>Facility Wide Emissions</vt:lpstr>
      <vt:lpstr>Emission Factors</vt:lpstr>
      <vt:lpstr>apptype</vt:lpstr>
      <vt:lpstr>aptype</vt:lpstr>
      <vt:lpstr>'Concrete Plant (CP-10)'!CHECK</vt:lpstr>
      <vt:lpstr>'Concrete Plant (CP-2)'!CHECK</vt:lpstr>
      <vt:lpstr>'Concrete Plant (CP-3)'!CHECK</vt:lpstr>
      <vt:lpstr>'Concrete Plant (CP-4)'!CHECK</vt:lpstr>
      <vt:lpstr>'Concrete Plant (CP-5)'!CHECK</vt:lpstr>
      <vt:lpstr>'Concrete Plant (CP-6)'!CHECK</vt:lpstr>
      <vt:lpstr>'Concrete Plant (CP-7)'!CHECK</vt:lpstr>
      <vt:lpstr>'Concrete Plant (CP-8)'!CHECK</vt:lpstr>
      <vt:lpstr>'Concrete Plant (CP-9)'!CHECK</vt:lpstr>
      <vt:lpstr>CHECK</vt:lpstr>
      <vt:lpstr>'Concrete Plant (CP-10)'!ConcreteProcesses</vt:lpstr>
      <vt:lpstr>'Concrete Plant (CP-2)'!ConcreteProcesses</vt:lpstr>
      <vt:lpstr>'Concrete Plant (CP-3)'!ConcreteProcesses</vt:lpstr>
      <vt:lpstr>'Concrete Plant (CP-4)'!ConcreteProcesses</vt:lpstr>
      <vt:lpstr>'Concrete Plant (CP-5)'!ConcreteProcesses</vt:lpstr>
      <vt:lpstr>'Concrete Plant (CP-6)'!ConcreteProcesses</vt:lpstr>
      <vt:lpstr>'Concrete Plant (CP-7)'!ConcreteProcesses</vt:lpstr>
      <vt:lpstr>'Concrete Plant (CP-8)'!ConcreteProcesses</vt:lpstr>
      <vt:lpstr>'Concrete Plant (CP-9)'!ConcreteProcesses</vt:lpstr>
      <vt:lpstr>ConcreteProcesses</vt:lpstr>
      <vt:lpstr>control</vt:lpstr>
      <vt:lpstr>Gen</vt:lpstr>
      <vt:lpstr>NoEmploy</vt:lpstr>
      <vt:lpstr>'Emission Calculations'!Print_Area</vt:lpstr>
      <vt:lpstr>'Facility Information'!Print_Area</vt:lpstr>
      <vt:lpstr>'Facility Wide Emissions'!Print_Area</vt:lpstr>
      <vt:lpstr>'Permitted Diesel Engines'!Print_Area</vt:lpstr>
      <vt:lpstr>'Emission Calculations'!Print_Titles</vt:lpstr>
      <vt:lpstr>'Emission Factors'!Print_Titles</vt:lpstr>
      <vt:lpstr>'Haul Roads'!Print_Titles</vt:lpstr>
      <vt:lpstr>'Concrete Plant (CP-10)'!process</vt:lpstr>
      <vt:lpstr>'Concrete Plant (CP-2)'!process</vt:lpstr>
      <vt:lpstr>'Concrete Plant (CP-3)'!process</vt:lpstr>
      <vt:lpstr>'Concrete Plant (CP-4)'!process</vt:lpstr>
      <vt:lpstr>'Concrete Plant (CP-5)'!process</vt:lpstr>
      <vt:lpstr>'Concrete Plant (CP-6)'!process</vt:lpstr>
      <vt:lpstr>'Concrete Plant (CP-7)'!process</vt:lpstr>
      <vt:lpstr>'Concrete Plant (CP-8)'!process</vt:lpstr>
      <vt:lpstr>'Concrete Plant (CP-9)'!process</vt:lpstr>
      <vt:lpstr>process</vt:lpstr>
      <vt:lpstr>RoadType</vt:lpstr>
      <vt:lpstr>stack</vt:lpstr>
      <vt:lpstr>Submit</vt:lpstr>
    </vt:vector>
  </TitlesOfParts>
  <Company>IWRC University of Northern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Wittenburg</dc:creator>
  <cp:lastModifiedBy>Page, Nick [DNR]</cp:lastModifiedBy>
  <cp:lastPrinted>2021-01-20T18:53:30Z</cp:lastPrinted>
  <dcterms:created xsi:type="dcterms:W3CDTF">2011-11-02T19:41:52Z</dcterms:created>
  <dcterms:modified xsi:type="dcterms:W3CDTF">2021-08-10T12:11:35Z</dcterms:modified>
</cp:coreProperties>
</file>