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iowa.gov.state.ia.us\data\DNR_AQ_Shared\Emissions Inventory\Forms and Instructions\Spreadsheets\"/>
    </mc:Choice>
  </mc:AlternateContent>
  <xr:revisionPtr revIDLastSave="0" documentId="8_{8ECF61D7-5573-4192-B940-98B38CD87D8E}" xr6:coauthVersionLast="36" xr6:coauthVersionMax="36" xr10:uidLastSave="{00000000-0000-0000-0000-000000000000}"/>
  <bookViews>
    <workbookView xWindow="1215" yWindow="75" windowWidth="17985" windowHeight="8550" xr2:uid="{00000000-000D-0000-FFFF-FFFF00000000}"/>
  </bookViews>
  <sheets>
    <sheet name="Facility Information" sheetId="1" r:id="rId1"/>
    <sheet name="Facility Processes" sheetId="2" r:id="rId2"/>
    <sheet name="Permitted Diesel Engines" sheetId="7" r:id="rId3"/>
    <sheet name="Emission Calculations" sheetId="4" r:id="rId4"/>
    <sheet name="Facility Wide Emissions" sheetId="5" r:id="rId5"/>
    <sheet name="Emission Factors" sheetId="6" r:id="rId6"/>
  </sheets>
  <definedNames>
    <definedName name="apptype">'Facility Information'!$L$4:$L$5</definedName>
    <definedName name="aptype">'Facility Information'!$L$10:$L$11</definedName>
    <definedName name="CHS">'Facility Processes'!$A$14:$A$18</definedName>
    <definedName name="CHSCon">'Facility Processes'!#REF!</definedName>
    <definedName name="CHSControl">#REF!</definedName>
    <definedName name="CleanHandleStore">#REF!</definedName>
    <definedName name="Combust">'Facility Processes'!#REF!</definedName>
    <definedName name="Combustion">#REF!</definedName>
    <definedName name="Crushing">'Facility Processes'!$A$6:$A$16</definedName>
    <definedName name="Dryer">'Facility Processes'!$A$6:$A$10</definedName>
    <definedName name="Drying">#REF!</definedName>
    <definedName name="Employ">'Facility Information'!$L$7:$L$8</definedName>
    <definedName name="Fuel">'Facility Information'!$K$27:$K$30</definedName>
    <definedName name="FuelTypes">'Facility Information'!$K$27:$K$29</definedName>
    <definedName name="Gen">'Permitted Diesel Engines'!$N$7:$N$8</definedName>
    <definedName name="Generator">'Facility Processes'!$A$61:$A$73</definedName>
    <definedName name="Load">'Facility Processes'!$A$19:$A$20</definedName>
    <definedName name="LoadCon">'Facility Processes'!#REF!</definedName>
    <definedName name="Loading">'Facility Processes'!$A$19:$A$20</definedName>
    <definedName name="Loadout">#REF!</definedName>
    <definedName name="LoadoutControl">#REF!</definedName>
    <definedName name="NoEmploy">'Facility Information'!$K$15:$K$16</definedName>
    <definedName name="Plant">'Facility Information'!$K$35:$K$35</definedName>
    <definedName name="Plants">'Facility Information'!$K$35:$K$36</definedName>
    <definedName name="_xlnm.Print_Area" localSheetId="1">'Facility Processes'!$B$1:$K$20,'Facility Processes'!$B$22:$K$72</definedName>
    <definedName name="Processes">'Facility Processes'!$A$14:$A$16</definedName>
    <definedName name="Receive">'Facility Processes'!$A$21:$A$21</definedName>
    <definedName name="ReceiveCon">'Facility Processes'!#REF!</definedName>
    <definedName name="ReceiveControl">#REF!</definedName>
    <definedName name="Receiving">#REF!</definedName>
    <definedName name="RoadCon">'Facility Processes'!$A$22</definedName>
    <definedName name="Submit">'Facility Information'!$K$11:$K$12</definedName>
    <definedName name="Type">'Facility Information'!$K$27:$K$33</definedName>
    <definedName name="yesnno">'Facility Processes'!$A$47:$A$48</definedName>
    <definedName name="YesNO">'Facility Processes'!$A$34:$A$48</definedName>
    <definedName name="yn">'Facility Information'!$K$24:$K$25</definedName>
  </definedNames>
  <calcPr calcId="191029"/>
</workbook>
</file>

<file path=xl/calcChain.xml><?xml version="1.0" encoding="utf-8"?>
<calcChain xmlns="http://schemas.openxmlformats.org/spreadsheetml/2006/main">
  <c r="A23" i="4" l="1"/>
  <c r="A9" i="4"/>
  <c r="A6" i="4" l="1"/>
  <c r="A7" i="4"/>
  <c r="A5" i="4"/>
  <c r="H5" i="2" l="1"/>
  <c r="C6" i="2"/>
  <c r="A68" i="4" s="1"/>
  <c r="G68" i="4" s="1"/>
  <c r="C10" i="2"/>
  <c r="A9" i="2"/>
  <c r="G9" i="2" s="1"/>
  <c r="O7" i="4"/>
  <c r="O6" i="4"/>
  <c r="A97" i="4"/>
  <c r="G97" i="4" s="1"/>
  <c r="C97" i="4" s="1"/>
  <c r="F27" i="4"/>
  <c r="F9" i="4"/>
  <c r="H13" i="2"/>
  <c r="C71" i="4"/>
  <c r="D71" i="4" s="1"/>
  <c r="C70" i="4"/>
  <c r="D70" i="4" s="1"/>
  <c r="C60" i="4"/>
  <c r="D60" i="4" s="1"/>
  <c r="C59" i="4"/>
  <c r="G59" i="4" s="1"/>
  <c r="C26" i="4"/>
  <c r="D26" i="4" s="1"/>
  <c r="C25" i="4"/>
  <c r="G25" i="4" s="1"/>
  <c r="I25" i="4" s="1"/>
  <c r="C24" i="4"/>
  <c r="D24" i="4" s="1"/>
  <c r="O26" i="4"/>
  <c r="O25" i="4"/>
  <c r="O24" i="4"/>
  <c r="O8" i="4"/>
  <c r="C8" i="4"/>
  <c r="G8" i="4" s="1"/>
  <c r="C7" i="4"/>
  <c r="D7" i="4" s="1"/>
  <c r="C6" i="4"/>
  <c r="D6" i="4" s="1"/>
  <c r="F70" i="4"/>
  <c r="E70" i="4"/>
  <c r="B70" i="4"/>
  <c r="F59" i="4"/>
  <c r="E59" i="4"/>
  <c r="B59" i="4"/>
  <c r="F24" i="4"/>
  <c r="E24" i="4"/>
  <c r="B24" i="4"/>
  <c r="F26" i="4"/>
  <c r="E26" i="4"/>
  <c r="B26" i="4"/>
  <c r="F71" i="4"/>
  <c r="E71" i="4"/>
  <c r="B71" i="4"/>
  <c r="F60" i="4"/>
  <c r="E60" i="4"/>
  <c r="B60" i="4"/>
  <c r="F25" i="4"/>
  <c r="E25" i="4"/>
  <c r="B25" i="4"/>
  <c r="E58" i="4"/>
  <c r="M68" i="4"/>
  <c r="M58" i="4"/>
  <c r="M50" i="4"/>
  <c r="M42" i="4"/>
  <c r="B6" i="4"/>
  <c r="E6" i="4"/>
  <c r="F6" i="4"/>
  <c r="L11" i="4"/>
  <c r="K11" i="4" s="1"/>
  <c r="L29" i="4"/>
  <c r="K29" i="4" s="1"/>
  <c r="L28" i="4"/>
  <c r="K28" i="4" s="1"/>
  <c r="G29" i="4"/>
  <c r="O29" i="4" s="1"/>
  <c r="C13" i="4"/>
  <c r="D13" i="4" s="1"/>
  <c r="C31" i="4"/>
  <c r="D31" i="4" s="1"/>
  <c r="C12" i="4"/>
  <c r="D12" i="4" s="1"/>
  <c r="C30" i="4"/>
  <c r="D30" i="4" s="1"/>
  <c r="C11" i="4"/>
  <c r="D11" i="4" s="1"/>
  <c r="C29" i="4"/>
  <c r="D29" i="4" s="1"/>
  <c r="C10" i="4"/>
  <c r="D10" i="4" s="1"/>
  <c r="C28" i="4"/>
  <c r="D28" i="4" s="1"/>
  <c r="B13" i="4"/>
  <c r="B31" i="4"/>
  <c r="B12" i="4"/>
  <c r="B30" i="4"/>
  <c r="B11" i="4"/>
  <c r="B29" i="4"/>
  <c r="B10" i="4"/>
  <c r="B28" i="4"/>
  <c r="B9" i="4"/>
  <c r="C9" i="4"/>
  <c r="G9" i="4" s="1"/>
  <c r="J9" i="4" s="1"/>
  <c r="F68" i="4"/>
  <c r="F58" i="4"/>
  <c r="F50" i="4"/>
  <c r="F42" i="4"/>
  <c r="E68" i="4"/>
  <c r="E50" i="4"/>
  <c r="E42" i="4"/>
  <c r="E43" i="4"/>
  <c r="G61" i="4"/>
  <c r="N61" i="4" s="1"/>
  <c r="E83" i="4"/>
  <c r="E85" i="4"/>
  <c r="I106" i="4"/>
  <c r="I108" i="4"/>
  <c r="I110" i="4"/>
  <c r="I112" i="4"/>
  <c r="I114" i="4"/>
  <c r="I116" i="4"/>
  <c r="I118" i="4"/>
  <c r="I120" i="4"/>
  <c r="I122" i="4"/>
  <c r="I124" i="4"/>
  <c r="I126" i="4"/>
  <c r="I83" i="4"/>
  <c r="I85" i="4"/>
  <c r="H99" i="4"/>
  <c r="H100" i="4"/>
  <c r="H101" i="4"/>
  <c r="H102" i="4"/>
  <c r="H98" i="4"/>
  <c r="G99" i="4"/>
  <c r="N99" i="4" s="1"/>
  <c r="G100" i="4"/>
  <c r="N100" i="4" s="1"/>
  <c r="G101" i="4"/>
  <c r="N101" i="4" s="1"/>
  <c r="G102" i="4"/>
  <c r="N102" i="4" s="1"/>
  <c r="G98" i="4"/>
  <c r="N98" i="4" s="1"/>
  <c r="H88" i="4"/>
  <c r="H89" i="4"/>
  <c r="H90" i="4"/>
  <c r="H91" i="4"/>
  <c r="H87" i="4"/>
  <c r="G88" i="4"/>
  <c r="N88" i="4" s="1"/>
  <c r="G89" i="4"/>
  <c r="N89" i="4" s="1"/>
  <c r="G90" i="4"/>
  <c r="N90" i="4" s="1"/>
  <c r="G91" i="4"/>
  <c r="N91" i="4" s="1"/>
  <c r="G87" i="4"/>
  <c r="N87" i="4" s="1"/>
  <c r="H83" i="4"/>
  <c r="H85" i="4"/>
  <c r="H92" i="4"/>
  <c r="H93" i="4"/>
  <c r="H95" i="4"/>
  <c r="H103" i="4"/>
  <c r="H104" i="4"/>
  <c r="H106" i="4"/>
  <c r="H108" i="4"/>
  <c r="H110" i="4"/>
  <c r="H112" i="4"/>
  <c r="H114" i="4"/>
  <c r="H116" i="4"/>
  <c r="H118" i="4"/>
  <c r="H120" i="4"/>
  <c r="H122" i="4"/>
  <c r="H124" i="4"/>
  <c r="H126" i="4"/>
  <c r="F5" i="4"/>
  <c r="E5" i="4"/>
  <c r="B96" i="4"/>
  <c r="B94" i="4"/>
  <c r="B5" i="4"/>
  <c r="A69" i="4"/>
  <c r="G69" i="4" s="1"/>
  <c r="D68" i="2"/>
  <c r="D70" i="2"/>
  <c r="D67" i="2"/>
  <c r="G13" i="4"/>
  <c r="J13" i="4" s="1"/>
  <c r="D42" i="2"/>
  <c r="D43" i="2"/>
  <c r="D41" i="2"/>
  <c r="G11" i="4"/>
  <c r="H11" i="4" s="1"/>
  <c r="D55" i="2"/>
  <c r="D56" i="2"/>
  <c r="D57" i="2"/>
  <c r="D58" i="2"/>
  <c r="G30" i="4"/>
  <c r="J30" i="4" s="1"/>
  <c r="G12" i="4"/>
  <c r="J12" i="4" s="1"/>
  <c r="L10" i="4"/>
  <c r="K10" i="4" s="1"/>
  <c r="O47" i="4"/>
  <c r="O46" i="4"/>
  <c r="O45" i="4"/>
  <c r="O44" i="4"/>
  <c r="O43" i="4"/>
  <c r="G48" i="4"/>
  <c r="K9" i="7"/>
  <c r="K10" i="7"/>
  <c r="K11" i="7"/>
  <c r="K12" i="7"/>
  <c r="K8" i="7"/>
  <c r="J45" i="4"/>
  <c r="J46" i="4"/>
  <c r="J47" i="4"/>
  <c r="J44" i="4"/>
  <c r="M9" i="7"/>
  <c r="M10" i="7"/>
  <c r="M11" i="7"/>
  <c r="M12" i="7"/>
  <c r="M8" i="7"/>
  <c r="C27" i="4"/>
  <c r="G27" i="4" s="1"/>
  <c r="J100" i="4"/>
  <c r="J101" i="4"/>
  <c r="J102" i="4"/>
  <c r="J74" i="4"/>
  <c r="J75" i="4"/>
  <c r="J76" i="4"/>
  <c r="J63" i="4"/>
  <c r="J64" i="4"/>
  <c r="J65" i="4"/>
  <c r="J53" i="4"/>
  <c r="J54" i="4"/>
  <c r="J55" i="4"/>
  <c r="N11" i="7"/>
  <c r="N10" i="7"/>
  <c r="L7" i="7"/>
  <c r="I88" i="4"/>
  <c r="I89" i="4"/>
  <c r="I90" i="4"/>
  <c r="I91" i="4"/>
  <c r="I87" i="4"/>
  <c r="I99" i="4"/>
  <c r="I100" i="4"/>
  <c r="I101" i="4"/>
  <c r="I102" i="4"/>
  <c r="I98" i="4"/>
  <c r="I73" i="4"/>
  <c r="I74" i="4"/>
  <c r="I75" i="4"/>
  <c r="I76" i="4"/>
  <c r="I72" i="4"/>
  <c r="I62" i="4"/>
  <c r="I63" i="4"/>
  <c r="I64" i="4"/>
  <c r="I65" i="4"/>
  <c r="I61" i="4"/>
  <c r="I52" i="4"/>
  <c r="I53" i="4"/>
  <c r="I54" i="4"/>
  <c r="I55" i="4"/>
  <c r="I51" i="4"/>
  <c r="I44" i="4"/>
  <c r="I45" i="4"/>
  <c r="I46" i="4"/>
  <c r="I47" i="4"/>
  <c r="I43" i="4"/>
  <c r="I32" i="4"/>
  <c r="H73" i="4"/>
  <c r="H74" i="4"/>
  <c r="H75" i="4"/>
  <c r="H76" i="4"/>
  <c r="H72" i="4"/>
  <c r="H62" i="4"/>
  <c r="H63" i="4"/>
  <c r="H64" i="4"/>
  <c r="H65" i="4"/>
  <c r="H61" i="4"/>
  <c r="H52" i="4"/>
  <c r="H53" i="4"/>
  <c r="H54" i="4"/>
  <c r="H55" i="4"/>
  <c r="H51" i="4"/>
  <c r="H44" i="4"/>
  <c r="H45" i="4"/>
  <c r="H46" i="4"/>
  <c r="H47" i="4"/>
  <c r="H43" i="4"/>
  <c r="H32" i="4"/>
  <c r="O88" i="4"/>
  <c r="O89" i="4"/>
  <c r="O90" i="4"/>
  <c r="O91" i="4"/>
  <c r="O87" i="4"/>
  <c r="O99" i="4"/>
  <c r="O100" i="4"/>
  <c r="O101" i="4"/>
  <c r="O102" i="4"/>
  <c r="O98" i="4"/>
  <c r="G73" i="4"/>
  <c r="N73" i="4" s="1"/>
  <c r="O73" i="4"/>
  <c r="G74" i="4"/>
  <c r="N74" i="4" s="1"/>
  <c r="O74" i="4"/>
  <c r="G75" i="4"/>
  <c r="N75" i="4" s="1"/>
  <c r="O75" i="4"/>
  <c r="G76" i="4"/>
  <c r="N76" i="4" s="1"/>
  <c r="O76" i="4"/>
  <c r="G72" i="4"/>
  <c r="N72" i="4" s="1"/>
  <c r="O72" i="4"/>
  <c r="G62" i="4"/>
  <c r="N62" i="4" s="1"/>
  <c r="O62" i="4"/>
  <c r="G63" i="4"/>
  <c r="N63" i="4" s="1"/>
  <c r="O63" i="4"/>
  <c r="G64" i="4"/>
  <c r="N64" i="4" s="1"/>
  <c r="O64" i="4"/>
  <c r="G65" i="4"/>
  <c r="N65" i="4" s="1"/>
  <c r="O65" i="4"/>
  <c r="O61" i="4"/>
  <c r="G52" i="4"/>
  <c r="N52" i="4" s="1"/>
  <c r="O52" i="4"/>
  <c r="G53" i="4"/>
  <c r="N53" i="4" s="1"/>
  <c r="O53" i="4"/>
  <c r="G54" i="4"/>
  <c r="N54" i="4" s="1"/>
  <c r="O54" i="4"/>
  <c r="G55" i="4"/>
  <c r="N55" i="4" s="1"/>
  <c r="O55" i="4"/>
  <c r="G51" i="4"/>
  <c r="N51" i="4" s="1"/>
  <c r="O51" i="4"/>
  <c r="G44" i="4"/>
  <c r="N44" i="4" s="1"/>
  <c r="G45" i="4"/>
  <c r="N45" i="4" s="1"/>
  <c r="G46" i="4"/>
  <c r="N46" i="4" s="1"/>
  <c r="G47" i="4"/>
  <c r="N47" i="4" s="1"/>
  <c r="G43" i="4"/>
  <c r="N43" i="4" s="1"/>
  <c r="G32" i="4"/>
  <c r="N32" i="4" s="1"/>
  <c r="O32" i="4"/>
  <c r="F88" i="4"/>
  <c r="F89" i="4"/>
  <c r="F90" i="4"/>
  <c r="F91" i="4"/>
  <c r="F87" i="4"/>
  <c r="F99" i="4"/>
  <c r="F100" i="4"/>
  <c r="F101" i="4"/>
  <c r="F102" i="4"/>
  <c r="F98" i="4"/>
  <c r="F73" i="4"/>
  <c r="F74" i="4"/>
  <c r="F75" i="4"/>
  <c r="F76" i="4"/>
  <c r="F72" i="4"/>
  <c r="F62" i="4"/>
  <c r="F63" i="4"/>
  <c r="F64" i="4"/>
  <c r="F65" i="4"/>
  <c r="F61" i="4"/>
  <c r="F52" i="4"/>
  <c r="F53" i="4"/>
  <c r="F54" i="4"/>
  <c r="F55" i="4"/>
  <c r="F51" i="4"/>
  <c r="F44" i="4"/>
  <c r="F45" i="4"/>
  <c r="F46" i="4"/>
  <c r="F47" i="4"/>
  <c r="F43" i="4"/>
  <c r="F32" i="4"/>
  <c r="E88" i="4"/>
  <c r="E89" i="4"/>
  <c r="E90" i="4"/>
  <c r="E91" i="4"/>
  <c r="E87" i="4"/>
  <c r="J87" i="4"/>
  <c r="E99" i="4"/>
  <c r="J99" i="4"/>
  <c r="E100" i="4"/>
  <c r="E101" i="4"/>
  <c r="E102" i="4"/>
  <c r="E98" i="4"/>
  <c r="E73" i="4"/>
  <c r="J73" i="4"/>
  <c r="E74" i="4"/>
  <c r="E75" i="4"/>
  <c r="E76" i="4"/>
  <c r="E72" i="4"/>
  <c r="J72" i="4"/>
  <c r="E62" i="4"/>
  <c r="J62" i="4"/>
  <c r="E63" i="4"/>
  <c r="E64" i="4"/>
  <c r="E65" i="4"/>
  <c r="E61" i="4"/>
  <c r="J61" i="4"/>
  <c r="E52" i="4"/>
  <c r="J52" i="4"/>
  <c r="E53" i="4"/>
  <c r="E54" i="4"/>
  <c r="E55" i="4"/>
  <c r="E51" i="4"/>
  <c r="J51" i="4"/>
  <c r="E44" i="4"/>
  <c r="E45" i="4"/>
  <c r="E46" i="4"/>
  <c r="E47" i="4"/>
  <c r="E32" i="4"/>
  <c r="J32" i="4"/>
  <c r="D88" i="4"/>
  <c r="D89" i="4"/>
  <c r="D90" i="4"/>
  <c r="D91" i="4"/>
  <c r="D87" i="4"/>
  <c r="D99" i="4"/>
  <c r="D100" i="4"/>
  <c r="D101" i="4"/>
  <c r="D102" i="4"/>
  <c r="D98" i="4"/>
  <c r="D73" i="4"/>
  <c r="D74" i="4"/>
  <c r="D75" i="4"/>
  <c r="D76" i="4"/>
  <c r="D72" i="4"/>
  <c r="D62" i="4"/>
  <c r="D63" i="4"/>
  <c r="D64" i="4"/>
  <c r="D65" i="4"/>
  <c r="D61" i="4"/>
  <c r="D52" i="4"/>
  <c r="D53" i="4"/>
  <c r="D54" i="4"/>
  <c r="D55" i="4"/>
  <c r="D51" i="4"/>
  <c r="D44" i="4"/>
  <c r="D45" i="4"/>
  <c r="D46" i="4"/>
  <c r="D47" i="4"/>
  <c r="D43" i="4"/>
  <c r="D32" i="4"/>
  <c r="C88" i="4"/>
  <c r="C89" i="4"/>
  <c r="C90" i="4"/>
  <c r="C91" i="4"/>
  <c r="C87" i="4"/>
  <c r="C99" i="4"/>
  <c r="C100" i="4"/>
  <c r="C101" i="4"/>
  <c r="C102" i="4"/>
  <c r="C98" i="4"/>
  <c r="C73" i="4"/>
  <c r="C74" i="4"/>
  <c r="C75" i="4"/>
  <c r="C76" i="4"/>
  <c r="C72" i="4"/>
  <c r="C62" i="4"/>
  <c r="C63" i="4"/>
  <c r="C64" i="4"/>
  <c r="C65" i="4"/>
  <c r="C61" i="4"/>
  <c r="C52" i="4"/>
  <c r="C53" i="4"/>
  <c r="C54" i="4"/>
  <c r="C55" i="4"/>
  <c r="C51" i="4"/>
  <c r="C44" i="4"/>
  <c r="C45" i="4"/>
  <c r="C46" i="4"/>
  <c r="C47" i="4"/>
  <c r="C43" i="4"/>
  <c r="C32" i="4"/>
  <c r="B88" i="4"/>
  <c r="B89" i="4"/>
  <c r="B90" i="4"/>
  <c r="B91" i="4"/>
  <c r="B87" i="4"/>
  <c r="B99" i="4"/>
  <c r="B100" i="4"/>
  <c r="B101" i="4"/>
  <c r="B102" i="4"/>
  <c r="B98" i="4"/>
  <c r="B73" i="4"/>
  <c r="B74" i="4"/>
  <c r="B75" i="4"/>
  <c r="B76" i="4"/>
  <c r="B72" i="4"/>
  <c r="B62" i="4"/>
  <c r="B63" i="4"/>
  <c r="B64" i="4"/>
  <c r="B65" i="4"/>
  <c r="B61" i="4"/>
  <c r="B52" i="4"/>
  <c r="B53" i="4"/>
  <c r="B54" i="4"/>
  <c r="B55" i="4"/>
  <c r="B51" i="4"/>
  <c r="B44" i="4"/>
  <c r="B45" i="4"/>
  <c r="B46" i="4"/>
  <c r="B47" i="4"/>
  <c r="B43" i="4"/>
  <c r="B32" i="4"/>
  <c r="D14" i="4"/>
  <c r="G15" i="4"/>
  <c r="N15" i="4" s="1"/>
  <c r="I33" i="4"/>
  <c r="I34" i="4"/>
  <c r="I35" i="4"/>
  <c r="I36" i="4"/>
  <c r="I14" i="4"/>
  <c r="H33" i="4"/>
  <c r="H34" i="4"/>
  <c r="H35" i="4"/>
  <c r="H36" i="4"/>
  <c r="H14" i="4"/>
  <c r="G33" i="4"/>
  <c r="N33" i="4" s="1"/>
  <c r="O33" i="4"/>
  <c r="G34" i="4"/>
  <c r="N34" i="4" s="1"/>
  <c r="O34" i="4"/>
  <c r="G35" i="4"/>
  <c r="N35" i="4" s="1"/>
  <c r="O35" i="4"/>
  <c r="G36" i="4"/>
  <c r="N36" i="4" s="1"/>
  <c r="O36" i="4"/>
  <c r="G14" i="4"/>
  <c r="N14" i="4" s="1"/>
  <c r="O14" i="4"/>
  <c r="F33" i="4"/>
  <c r="F34" i="4"/>
  <c r="F35" i="4"/>
  <c r="F36" i="4"/>
  <c r="F14" i="4"/>
  <c r="E33" i="4"/>
  <c r="E34" i="4"/>
  <c r="J34" i="4"/>
  <c r="E35" i="4"/>
  <c r="E36" i="4"/>
  <c r="J36" i="4"/>
  <c r="E15" i="4"/>
  <c r="E16" i="4"/>
  <c r="E17" i="4"/>
  <c r="E18" i="4"/>
  <c r="E14" i="4"/>
  <c r="D33" i="4"/>
  <c r="D34" i="4"/>
  <c r="D35" i="4"/>
  <c r="D36" i="4"/>
  <c r="C33" i="4"/>
  <c r="C34" i="4"/>
  <c r="C35" i="4"/>
  <c r="C36" i="4"/>
  <c r="C14" i="4"/>
  <c r="B33" i="4"/>
  <c r="B34" i="4"/>
  <c r="B35" i="4"/>
  <c r="B36" i="4"/>
  <c r="B14" i="4"/>
  <c r="B15" i="4"/>
  <c r="B16" i="4"/>
  <c r="B17" i="4"/>
  <c r="B18" i="4"/>
  <c r="J98" i="4"/>
  <c r="J14" i="4"/>
  <c r="J33" i="4"/>
  <c r="J35" i="4"/>
  <c r="I15" i="4"/>
  <c r="I16" i="4"/>
  <c r="I17" i="4"/>
  <c r="I18" i="4"/>
  <c r="F15" i="4"/>
  <c r="F16" i="4"/>
  <c r="F17" i="4"/>
  <c r="F18" i="4"/>
  <c r="G16" i="4"/>
  <c r="N16" i="4" s="1"/>
  <c r="G17" i="4"/>
  <c r="N17" i="4" s="1"/>
  <c r="G18" i="4"/>
  <c r="N18" i="4" s="1"/>
  <c r="H15" i="4"/>
  <c r="H16" i="4"/>
  <c r="H17" i="4"/>
  <c r="H18" i="4"/>
  <c r="D15" i="4"/>
  <c r="D16" i="4"/>
  <c r="D17" i="4"/>
  <c r="D18" i="4"/>
  <c r="C15" i="4"/>
  <c r="C16" i="4"/>
  <c r="C17" i="4"/>
  <c r="C18" i="4"/>
  <c r="F23" i="4"/>
  <c r="E27" i="4"/>
  <c r="E9" i="4"/>
  <c r="E23" i="4"/>
  <c r="B7" i="4"/>
  <c r="B8" i="4"/>
  <c r="B27" i="4"/>
  <c r="B23" i="4"/>
  <c r="F7" i="4"/>
  <c r="F8" i="4"/>
  <c r="E7" i="4"/>
  <c r="E8" i="4"/>
  <c r="D29" i="2"/>
  <c r="D31" i="2"/>
  <c r="D28" i="2"/>
  <c r="G28" i="4"/>
  <c r="F28" i="4" s="1"/>
  <c r="O18" i="4"/>
  <c r="O17" i="4"/>
  <c r="J17" i="4"/>
  <c r="O15" i="4"/>
  <c r="J15" i="4"/>
  <c r="J18" i="4"/>
  <c r="O16" i="4"/>
  <c r="J16" i="4"/>
  <c r="J43" i="4"/>
  <c r="D69" i="2"/>
  <c r="D44" i="2"/>
  <c r="G10" i="4"/>
  <c r="H10" i="4" s="1"/>
  <c r="O27" i="4"/>
  <c r="G31" i="4"/>
  <c r="H31" i="4" s="1"/>
  <c r="N27" i="4"/>
  <c r="N26" i="4"/>
  <c r="D30" i="2"/>
  <c r="N9" i="4"/>
  <c r="O9" i="4"/>
  <c r="N25" i="4"/>
  <c r="N24" i="4"/>
  <c r="G5" i="4" l="1"/>
  <c r="O23" i="4"/>
  <c r="G23" i="4"/>
  <c r="A111" i="4"/>
  <c r="G111" i="4" s="1"/>
  <c r="A42" i="4"/>
  <c r="A115" i="4"/>
  <c r="G115" i="4" s="1"/>
  <c r="E115" i="4" s="1"/>
  <c r="N115" i="4" s="1"/>
  <c r="D21" i="5" s="1"/>
  <c r="F21" i="5" s="1"/>
  <c r="A96" i="4"/>
  <c r="G96" i="4" s="1"/>
  <c r="H96" i="4" s="1"/>
  <c r="A121" i="4"/>
  <c r="G121" i="4" s="1"/>
  <c r="F121" i="4" s="1"/>
  <c r="O68" i="4"/>
  <c r="A117" i="4"/>
  <c r="G117" i="4" s="1"/>
  <c r="C117" i="4" s="1"/>
  <c r="I117" i="4" s="1"/>
  <c r="A109" i="4"/>
  <c r="G109" i="4" s="1"/>
  <c r="D109" i="4" s="1"/>
  <c r="A119" i="4"/>
  <c r="G119" i="4" s="1"/>
  <c r="F119" i="4" s="1"/>
  <c r="A58" i="4"/>
  <c r="A50" i="4"/>
  <c r="A113" i="4"/>
  <c r="G113" i="4" s="1"/>
  <c r="F113" i="4" s="1"/>
  <c r="A82" i="4"/>
  <c r="G82" i="4" s="1"/>
  <c r="E82" i="4" s="1"/>
  <c r="A107" i="4"/>
  <c r="G107" i="4" s="1"/>
  <c r="O107" i="4" s="1"/>
  <c r="D44" i="5" s="1"/>
  <c r="A127" i="4"/>
  <c r="G127" i="4" s="1"/>
  <c r="E127" i="4" s="1"/>
  <c r="H23" i="4"/>
  <c r="A105" i="4"/>
  <c r="G105" i="4" s="1"/>
  <c r="C105" i="4" s="1"/>
  <c r="A94" i="4"/>
  <c r="G94" i="4" s="1"/>
  <c r="C94" i="4" s="1"/>
  <c r="A86" i="4"/>
  <c r="G86" i="4" s="1"/>
  <c r="H86" i="4" s="1"/>
  <c r="A125" i="4"/>
  <c r="G125" i="4" s="1"/>
  <c r="F125" i="4" s="1"/>
  <c r="A84" i="4"/>
  <c r="G84" i="4" s="1"/>
  <c r="E84" i="4" s="1"/>
  <c r="A123" i="4"/>
  <c r="G123" i="4" s="1"/>
  <c r="B123" i="4" s="1"/>
  <c r="E12" i="4"/>
  <c r="I12" i="4"/>
  <c r="O11" i="4"/>
  <c r="G70" i="4"/>
  <c r="I70" i="4" s="1"/>
  <c r="H9" i="2"/>
  <c r="E30" i="4"/>
  <c r="G24" i="4"/>
  <c r="J24" i="4" s="1"/>
  <c r="N11" i="4"/>
  <c r="G71" i="4"/>
  <c r="H71" i="4" s="1"/>
  <c r="N12" i="4"/>
  <c r="J11" i="4"/>
  <c r="H12" i="4"/>
  <c r="H13" i="4"/>
  <c r="O12" i="4"/>
  <c r="F12" i="4"/>
  <c r="G6" i="4"/>
  <c r="I6" i="4" s="1"/>
  <c r="I31" i="4"/>
  <c r="F31" i="4"/>
  <c r="E11" i="4"/>
  <c r="E13" i="4"/>
  <c r="M28" i="4"/>
  <c r="F11" i="4"/>
  <c r="I11" i="4"/>
  <c r="N13" i="4"/>
  <c r="M11" i="4"/>
  <c r="I29" i="4"/>
  <c r="E28" i="4"/>
  <c r="N31" i="4"/>
  <c r="J31" i="4"/>
  <c r="O31" i="4"/>
  <c r="E31" i="4"/>
  <c r="N10" i="4"/>
  <c r="M10" i="4"/>
  <c r="M29" i="4"/>
  <c r="G26" i="4"/>
  <c r="H26" i="4" s="1"/>
  <c r="D59" i="4"/>
  <c r="F30" i="4"/>
  <c r="D9" i="4"/>
  <c r="J27" i="4"/>
  <c r="H27" i="4"/>
  <c r="I30" i="4"/>
  <c r="D27" i="4"/>
  <c r="H30" i="4"/>
  <c r="O30" i="4"/>
  <c r="G7" i="4"/>
  <c r="H7" i="4" s="1"/>
  <c r="D25" i="4"/>
  <c r="F10" i="4"/>
  <c r="O13" i="4"/>
  <c r="N30" i="4"/>
  <c r="H59" i="4"/>
  <c r="O59" i="4"/>
  <c r="J59" i="4"/>
  <c r="N59" i="4"/>
  <c r="I59" i="4"/>
  <c r="H8" i="4"/>
  <c r="I8" i="4"/>
  <c r="N8" i="4"/>
  <c r="I10" i="4"/>
  <c r="H9" i="4"/>
  <c r="E10" i="4"/>
  <c r="N28" i="4"/>
  <c r="G60" i="4"/>
  <c r="I27" i="4"/>
  <c r="J29" i="4"/>
  <c r="I13" i="4"/>
  <c r="J28" i="4"/>
  <c r="H28" i="4"/>
  <c r="D8" i="4"/>
  <c r="N29" i="4"/>
  <c r="I28" i="4"/>
  <c r="H29" i="4"/>
  <c r="F29" i="4"/>
  <c r="E29" i="4"/>
  <c r="J10" i="4"/>
  <c r="F13" i="4"/>
  <c r="O10" i="4"/>
  <c r="O28" i="4"/>
  <c r="I9" i="4"/>
  <c r="H25" i="4"/>
  <c r="J97" i="4"/>
  <c r="N23" i="4"/>
  <c r="J25" i="4"/>
  <c r="B97" i="4"/>
  <c r="E97" i="4"/>
  <c r="N97" i="4"/>
  <c r="H97" i="4"/>
  <c r="O97" i="4"/>
  <c r="D111" i="4"/>
  <c r="E111" i="4"/>
  <c r="O111" i="4"/>
  <c r="D46" i="5" s="1"/>
  <c r="B111" i="4"/>
  <c r="N111" i="4"/>
  <c r="D19" i="5" s="1"/>
  <c r="F19" i="5" s="1"/>
  <c r="F111" i="4"/>
  <c r="C111" i="4"/>
  <c r="J111" i="4"/>
  <c r="H111" i="4"/>
  <c r="I111" i="4"/>
  <c r="B115" i="4"/>
  <c r="H115" i="4"/>
  <c r="J8" i="4"/>
  <c r="C5" i="4"/>
  <c r="D115" i="4"/>
  <c r="C115" i="4"/>
  <c r="I115" i="4" s="1"/>
  <c r="H68" i="4"/>
  <c r="J68" i="4"/>
  <c r="C68" i="4"/>
  <c r="D68" i="4" s="1"/>
  <c r="B68" i="4"/>
  <c r="N68" i="4"/>
  <c r="B117" i="4"/>
  <c r="O117" i="4"/>
  <c r="D49" i="5" s="1"/>
  <c r="C69" i="4"/>
  <c r="H69" i="4" s="1"/>
  <c r="O69" i="4"/>
  <c r="B69" i="4"/>
  <c r="D69" i="4"/>
  <c r="F69" i="4"/>
  <c r="E69" i="4"/>
  <c r="J69" i="4" s="1"/>
  <c r="O109" i="4"/>
  <c r="D45" i="5" s="1"/>
  <c r="D5" i="4"/>
  <c r="C23" i="4"/>
  <c r="J109" i="4"/>
  <c r="O127" i="4"/>
  <c r="D54" i="5" s="1"/>
  <c r="I97" i="4"/>
  <c r="F97" i="4"/>
  <c r="F109" i="4"/>
  <c r="E109" i="4"/>
  <c r="J127" i="4"/>
  <c r="H109" i="4"/>
  <c r="D97" i="4"/>
  <c r="N109" i="4"/>
  <c r="D18" i="5" s="1"/>
  <c r="F18" i="5" s="1"/>
  <c r="D23" i="4"/>
  <c r="C109" i="4"/>
  <c r="D96" i="4" l="1"/>
  <c r="E96" i="4"/>
  <c r="J96" i="4" s="1"/>
  <c r="O96" i="4"/>
  <c r="G50" i="4"/>
  <c r="N50" i="4" s="1"/>
  <c r="N56" i="4" s="1"/>
  <c r="D8" i="5" s="1"/>
  <c r="F8" i="5" s="1"/>
  <c r="F96" i="4"/>
  <c r="C96" i="4"/>
  <c r="I96" i="4" s="1"/>
  <c r="G58" i="4"/>
  <c r="H58" i="4" s="1"/>
  <c r="B113" i="4"/>
  <c r="E121" i="4"/>
  <c r="G42" i="4"/>
  <c r="I42" i="4" s="1"/>
  <c r="H113" i="4"/>
  <c r="H121" i="4"/>
  <c r="B121" i="4"/>
  <c r="N121" i="4"/>
  <c r="D24" i="5" s="1"/>
  <c r="F24" i="5" s="1"/>
  <c r="I121" i="4"/>
  <c r="C121" i="4"/>
  <c r="D121" i="4"/>
  <c r="O121" i="4"/>
  <c r="D51" i="5" s="1"/>
  <c r="J121" i="4"/>
  <c r="D84" i="4"/>
  <c r="I69" i="4"/>
  <c r="F107" i="4"/>
  <c r="H125" i="4"/>
  <c r="I23" i="4"/>
  <c r="F115" i="4"/>
  <c r="I68" i="4"/>
  <c r="O115" i="4"/>
  <c r="D48" i="5" s="1"/>
  <c r="F48" i="5" s="1"/>
  <c r="N84" i="4"/>
  <c r="D12" i="5" s="1"/>
  <c r="F12" i="5" s="1"/>
  <c r="B50" i="4"/>
  <c r="J50" i="4"/>
  <c r="F84" i="4"/>
  <c r="O58" i="4"/>
  <c r="H117" i="4"/>
  <c r="B107" i="4"/>
  <c r="H127" i="4"/>
  <c r="O82" i="4"/>
  <c r="D38" i="5" s="1"/>
  <c r="I127" i="4"/>
  <c r="J119" i="4"/>
  <c r="I123" i="4"/>
  <c r="N127" i="4"/>
  <c r="D27" i="5" s="1"/>
  <c r="F27" i="5" s="1"/>
  <c r="E117" i="4"/>
  <c r="N117" i="4" s="1"/>
  <c r="D22" i="5" s="1"/>
  <c r="F22" i="5" s="1"/>
  <c r="C50" i="4"/>
  <c r="D50" i="4" s="1"/>
  <c r="F117" i="4"/>
  <c r="O86" i="4"/>
  <c r="O92" i="4" s="1"/>
  <c r="D40" i="5" s="1"/>
  <c r="D117" i="4"/>
  <c r="D86" i="4"/>
  <c r="B84" i="4"/>
  <c r="C107" i="4"/>
  <c r="C123" i="4"/>
  <c r="O123" i="4"/>
  <c r="D52" i="5" s="1"/>
  <c r="N123" i="4"/>
  <c r="D25" i="5" s="1"/>
  <c r="F25" i="5" s="1"/>
  <c r="J107" i="4"/>
  <c r="O50" i="4"/>
  <c r="O56" i="4" s="1"/>
  <c r="D35" i="5" s="1"/>
  <c r="E113" i="4"/>
  <c r="J113" i="4" s="1"/>
  <c r="J82" i="4"/>
  <c r="O125" i="4"/>
  <c r="D53" i="5" s="1"/>
  <c r="B125" i="4"/>
  <c r="N125" i="4"/>
  <c r="D26" i="5" s="1"/>
  <c r="F26" i="5" s="1"/>
  <c r="C113" i="4"/>
  <c r="I113" i="4" s="1"/>
  <c r="O113" i="4"/>
  <c r="D47" i="5" s="1"/>
  <c r="H119" i="4"/>
  <c r="I125" i="4"/>
  <c r="C119" i="4"/>
  <c r="D125" i="4"/>
  <c r="I119" i="4"/>
  <c r="D113" i="4"/>
  <c r="C125" i="4"/>
  <c r="D119" i="4"/>
  <c r="J105" i="4"/>
  <c r="E119" i="4"/>
  <c r="E125" i="4"/>
  <c r="E123" i="4"/>
  <c r="I109" i="4"/>
  <c r="B109" i="4"/>
  <c r="N119" i="4"/>
  <c r="D23" i="5" s="1"/>
  <c r="F23" i="5" s="1"/>
  <c r="B119" i="4"/>
  <c r="O119" i="4"/>
  <c r="D50" i="5" s="1"/>
  <c r="J125" i="4"/>
  <c r="O37" i="4"/>
  <c r="D33" i="5" s="1"/>
  <c r="C84" i="4"/>
  <c r="H84" i="4"/>
  <c r="E107" i="4"/>
  <c r="H107" i="4"/>
  <c r="M23" i="4"/>
  <c r="D107" i="4"/>
  <c r="N107" i="4"/>
  <c r="D17" i="5" s="1"/>
  <c r="F17" i="5" s="1"/>
  <c r="I84" i="4"/>
  <c r="I107" i="4"/>
  <c r="J84" i="4"/>
  <c r="O84" i="4"/>
  <c r="D39" i="5" s="1"/>
  <c r="F46" i="5"/>
  <c r="D123" i="4"/>
  <c r="F127" i="4"/>
  <c r="C127" i="4"/>
  <c r="F86" i="4"/>
  <c r="F123" i="4"/>
  <c r="B105" i="4"/>
  <c r="J23" i="4"/>
  <c r="J123" i="4"/>
  <c r="E86" i="4"/>
  <c r="N86" i="4" s="1"/>
  <c r="N92" i="4" s="1"/>
  <c r="D13" i="5" s="1"/>
  <c r="F13" i="5" s="1"/>
  <c r="B86" i="4"/>
  <c r="D127" i="4"/>
  <c r="H123" i="4"/>
  <c r="F105" i="4"/>
  <c r="N105" i="4"/>
  <c r="D16" i="5" s="1"/>
  <c r="F16" i="5" s="1"/>
  <c r="B127" i="4"/>
  <c r="C86" i="4"/>
  <c r="I86" i="4" s="1"/>
  <c r="F45" i="5"/>
  <c r="N69" i="4"/>
  <c r="C82" i="4"/>
  <c r="I82" i="4" s="1"/>
  <c r="N96" i="4"/>
  <c r="N103" i="4" s="1"/>
  <c r="D15" i="5" s="1"/>
  <c r="F15" i="5" s="1"/>
  <c r="N82" i="4"/>
  <c r="D11" i="5" s="1"/>
  <c r="F11" i="5" s="1"/>
  <c r="O105" i="4"/>
  <c r="D43" i="5" s="1"/>
  <c r="I94" i="4"/>
  <c r="J115" i="4"/>
  <c r="D105" i="4"/>
  <c r="F82" i="4"/>
  <c r="I105" i="4"/>
  <c r="H105" i="4"/>
  <c r="B82" i="4"/>
  <c r="E105" i="4"/>
  <c r="H82" i="4"/>
  <c r="D82" i="4"/>
  <c r="O94" i="4"/>
  <c r="D41" i="5" s="1"/>
  <c r="J86" i="4"/>
  <c r="F94" i="4"/>
  <c r="H94" i="4"/>
  <c r="E94" i="4"/>
  <c r="N94" i="4" s="1"/>
  <c r="D14" i="5" s="1"/>
  <c r="D94" i="4"/>
  <c r="O70" i="4"/>
  <c r="N70" i="4"/>
  <c r="H70" i="4"/>
  <c r="J70" i="4"/>
  <c r="H24" i="4"/>
  <c r="I24" i="4"/>
  <c r="N71" i="4"/>
  <c r="J6" i="4"/>
  <c r="H6" i="4"/>
  <c r="I71" i="4"/>
  <c r="O71" i="4"/>
  <c r="J71" i="4"/>
  <c r="N6" i="4"/>
  <c r="J26" i="4"/>
  <c r="I26" i="4"/>
  <c r="J7" i="4"/>
  <c r="N7" i="4"/>
  <c r="I7" i="4"/>
  <c r="N37" i="4"/>
  <c r="D6" i="5" s="1"/>
  <c r="F6" i="5" s="1"/>
  <c r="N60" i="4"/>
  <c r="O60" i="4"/>
  <c r="H60" i="4"/>
  <c r="J60" i="4"/>
  <c r="I60" i="4"/>
  <c r="O103" i="4"/>
  <c r="D42" i="5" s="1"/>
  <c r="N58" i="4" l="1"/>
  <c r="B58" i="4"/>
  <c r="J58" i="4"/>
  <c r="F51" i="5"/>
  <c r="H42" i="4"/>
  <c r="J42" i="4"/>
  <c r="N42" i="4"/>
  <c r="N48" i="4" s="1"/>
  <c r="D7" i="5" s="1"/>
  <c r="F7" i="5" s="1"/>
  <c r="C42" i="4"/>
  <c r="D42" i="4" s="1"/>
  <c r="B42" i="4"/>
  <c r="C58" i="4"/>
  <c r="D58" i="4" s="1"/>
  <c r="O42" i="4"/>
  <c r="O48" i="4" s="1"/>
  <c r="D34" i="5" s="1"/>
  <c r="H50" i="4"/>
  <c r="I58" i="4"/>
  <c r="N113" i="4"/>
  <c r="D20" i="5" s="1"/>
  <c r="F20" i="5" s="1"/>
  <c r="J117" i="4"/>
  <c r="F39" i="5"/>
  <c r="F35" i="5"/>
  <c r="O66" i="4"/>
  <c r="D36" i="5" s="1"/>
  <c r="I50" i="4"/>
  <c r="F52" i="5"/>
  <c r="F49" i="5"/>
  <c r="F53" i="5"/>
  <c r="F54" i="5"/>
  <c r="N66" i="4"/>
  <c r="D9" i="5" s="1"/>
  <c r="F9" i="5" s="1"/>
  <c r="F50" i="5"/>
  <c r="F44" i="5"/>
  <c r="F43" i="5"/>
  <c r="F42" i="5"/>
  <c r="F33" i="5"/>
  <c r="F41" i="5"/>
  <c r="F38" i="5"/>
  <c r="F40" i="5"/>
  <c r="F14" i="5"/>
  <c r="J94" i="4"/>
  <c r="N77" i="4"/>
  <c r="D10" i="5" s="1"/>
  <c r="F10" i="5" s="1"/>
  <c r="O77" i="4"/>
  <c r="D37" i="5" s="1"/>
  <c r="D55" i="5"/>
  <c r="F34" i="5" l="1"/>
  <c r="F47" i="5"/>
  <c r="D28" i="5"/>
  <c r="F28" i="5" s="1"/>
  <c r="F36" i="5"/>
  <c r="F37" i="5"/>
  <c r="F55" i="5" l="1"/>
  <c r="J5" i="4"/>
  <c r="H5" i="4"/>
  <c r="M5" i="4"/>
  <c r="O5" i="4"/>
  <c r="I5" i="4" s="1"/>
  <c r="N5" i="4"/>
  <c r="N19" i="4" s="1"/>
  <c r="D5" i="5" s="1"/>
  <c r="F5" i="5" s="1"/>
  <c r="O19" i="4" l="1"/>
  <c r="D32" i="5" s="1"/>
  <c r="F3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Jennifer Wittenburg</author>
  </authors>
  <commentList>
    <comment ref="I2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Maxiumum amount of material that can be hauled in one year.   </t>
        </r>
      </text>
    </comment>
    <comment ref="I3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Maxiumum amount of asphalt that can be hauled in one year.  This can be estimated using an operating limit from a construction permit or by the maximum hourly design rate of the facilty. </t>
        </r>
      </text>
    </comment>
    <comment ref="I52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 xml:space="preserve">Maxiumum amount of material that can be hauled in one year. </t>
        </r>
      </text>
    </comment>
    <comment ref="I64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 xml:space="preserve">Maxiumum amount of asphalt that can be hauled in one year.  This can be estimated using an operating limit from a construction permit or by the maximum hourly design rate of the facilty.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Jennifer Wittenburg</author>
  </authors>
  <commentList>
    <comment ref="I45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 xml:space="preserve">Emission Factor is 1.01(S) </t>
        </r>
        <r>
          <rPr>
            <sz val="9"/>
            <color indexed="81"/>
            <rFont val="Tahoma"/>
            <family val="2"/>
          </rPr>
          <t xml:space="preserve">
Where S = the sulfur content of the fuel oil. </t>
        </r>
      </text>
    </comment>
  </commentList>
</comments>
</file>

<file path=xl/sharedStrings.xml><?xml version="1.0" encoding="utf-8"?>
<sst xmlns="http://schemas.openxmlformats.org/spreadsheetml/2006/main" count="781" uniqueCount="270">
  <si>
    <t>FACILITY NUMBER:</t>
  </si>
  <si>
    <t>MAILING ADDRESS:</t>
  </si>
  <si>
    <t>FACILITY CONTACT:</t>
  </si>
  <si>
    <t>PHONE NUMBER:</t>
  </si>
  <si>
    <t>FACILITY NAME:</t>
  </si>
  <si>
    <t>SIC CODE:</t>
  </si>
  <si>
    <t>NAICS CODE:</t>
  </si>
  <si>
    <t>ACTIVITY DESCRIPTION:</t>
  </si>
  <si>
    <t>Process</t>
  </si>
  <si>
    <t>Emission Point #</t>
  </si>
  <si>
    <t>Units</t>
  </si>
  <si>
    <t>SO2</t>
  </si>
  <si>
    <t>Nox</t>
  </si>
  <si>
    <t>VOC</t>
  </si>
  <si>
    <t>CO</t>
  </si>
  <si>
    <t>Formaldehyde</t>
  </si>
  <si>
    <t>SCC #</t>
  </si>
  <si>
    <t>Max Design Rate</t>
  </si>
  <si>
    <t>EP</t>
  </si>
  <si>
    <t>Description of Process</t>
  </si>
  <si>
    <t>Emission Factor</t>
  </si>
  <si>
    <t>Potential Annual Emissions (tons/yr)</t>
  </si>
  <si>
    <t>Control Efficiency</t>
  </si>
  <si>
    <t>PM2. 5</t>
  </si>
  <si>
    <t>PM10</t>
  </si>
  <si>
    <t>Actual Emissions (tons/yr)</t>
  </si>
  <si>
    <t>Air Pollutant</t>
  </si>
  <si>
    <t>ID or CAS Number</t>
  </si>
  <si>
    <t>Tons/Yr</t>
  </si>
  <si>
    <t>PM-2.5</t>
  </si>
  <si>
    <t>PM-10</t>
  </si>
  <si>
    <t>7446-09-5</t>
  </si>
  <si>
    <t>NOx</t>
  </si>
  <si>
    <t>630-08-0</t>
  </si>
  <si>
    <t>50-00-0</t>
  </si>
  <si>
    <t>Total HAP</t>
  </si>
  <si>
    <t>FACILITY TOTALS:</t>
  </si>
  <si>
    <t>EMISSION YEAR:</t>
  </si>
  <si>
    <t>FACILITY ADDRESS:</t>
  </si>
  <si>
    <t>IA</t>
  </si>
  <si>
    <t>STATE:</t>
  </si>
  <si>
    <t>CITY:</t>
  </si>
  <si>
    <t>EMAIL ADDRESS:</t>
  </si>
  <si>
    <t>ZIP:</t>
  </si>
  <si>
    <t>PARENT COMPANY:</t>
  </si>
  <si>
    <t>PARENT COMPANY ADDRESS:</t>
  </si>
  <si>
    <t>PARENT COMPANY CONTACT:</t>
  </si>
  <si>
    <t>PLANT LOCATION:</t>
  </si>
  <si>
    <t>LATITUDE:</t>
  </si>
  <si>
    <t>LONGITUDE:</t>
  </si>
  <si>
    <t>Emission Unit Description</t>
  </si>
  <si>
    <t>Units of Measure</t>
  </si>
  <si>
    <t>NUMBER OF STATE-WIDE COMPANY EMPLOYEES:</t>
  </si>
  <si>
    <t>Unpaved Haul Road</t>
  </si>
  <si>
    <t>Empty (Unloaded)</t>
  </si>
  <si>
    <t>Full (Loaded)</t>
  </si>
  <si>
    <t>Maximum</t>
  </si>
  <si>
    <t>Actual</t>
  </si>
  <si>
    <t>Percent of Miles that the Vehicles Travel While Empty (%):</t>
  </si>
  <si>
    <t>If vehicles travel the same distance empty and full, this number is should be entered as 50.</t>
  </si>
  <si>
    <r>
      <t xml:space="preserve">Average Vehicle Weight </t>
    </r>
    <r>
      <rPr>
        <b/>
        <sz val="8"/>
        <color indexed="8"/>
        <rFont val="Arial"/>
        <family val="2"/>
      </rPr>
      <t>(W)</t>
    </r>
    <r>
      <rPr>
        <sz val="8"/>
        <color indexed="8"/>
        <rFont val="Arial"/>
        <family val="2"/>
      </rPr>
      <t xml:space="preserve"> (tons):</t>
    </r>
  </si>
  <si>
    <t>Average weight of vehicles based on the distance traveled on site.</t>
  </si>
  <si>
    <t>Average Load Weight (tons):</t>
  </si>
  <si>
    <t>Average weight of full vehicle minus average weight of empty vehicle.</t>
  </si>
  <si>
    <t>Potential Annual One-Way Trips taken on road:</t>
  </si>
  <si>
    <t>Maximum Potential Annual Throughput divided by Average Load Weight.</t>
  </si>
  <si>
    <t>Actual Annual One-Way Trips taken on road:</t>
  </si>
  <si>
    <t>Actual Annual Throughput divided by Mean Vehicle Weight.</t>
  </si>
  <si>
    <r>
      <t>Road Surface Silt Loading (g/m</t>
    </r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>):</t>
    </r>
  </si>
  <si>
    <t>&lt;---------</t>
  </si>
  <si>
    <t>Round Trip Length of Haul Road (miles)</t>
  </si>
  <si>
    <t>k=constant=1.5 for PM10 and 0.15 for PM2.5 (AP-42 Table 13.2.2-1)</t>
  </si>
  <si>
    <t>s= silt content (AP-42 Table 13.2.2-1)</t>
  </si>
  <si>
    <t>w= average vehicle weight</t>
  </si>
  <si>
    <t xml:space="preserve">Please fill in the yellow boxes as applicable for your facility. </t>
  </si>
  <si>
    <t>Days/Year with at Least 0.01 inches of Precipitation:</t>
  </si>
  <si>
    <t>YES</t>
  </si>
  <si>
    <t>NO</t>
  </si>
  <si>
    <t>Date of Construction</t>
  </si>
  <si>
    <t>Date of Installation</t>
  </si>
  <si>
    <t>Date of Modification</t>
  </si>
  <si>
    <t>Storage Piles</t>
  </si>
  <si>
    <t>Storage Pile</t>
  </si>
  <si>
    <t xml:space="preserve">Dates of Construction, Installation and Modification of Equipment (where applicable).  Enter a range of dates if you have more than one piece of equipment type listed. </t>
  </si>
  <si>
    <t>PM2.5 EF</t>
  </si>
  <si>
    <t>PM10 EF</t>
  </si>
  <si>
    <t>lbs/acre-day</t>
  </si>
  <si>
    <t>Permitted Diesel Engines</t>
  </si>
  <si>
    <t>Diesel Generators</t>
  </si>
  <si>
    <t>Diesel Generator &lt;or= 600 bhp</t>
  </si>
  <si>
    <t>Diesel Generator &gt; 600 bhp</t>
  </si>
  <si>
    <t>lb/MMBtu</t>
  </si>
  <si>
    <t>IDNR Memo</t>
  </si>
  <si>
    <t>Source</t>
  </si>
  <si>
    <t>AP-42 Table 3.3-1</t>
  </si>
  <si>
    <t xml:space="preserve">Source </t>
  </si>
  <si>
    <t>AP-42 Table 3.3-2</t>
  </si>
  <si>
    <t>AP-42 Table 3.4-1</t>
  </si>
  <si>
    <t>AP-42 Table 3.4-3</t>
  </si>
  <si>
    <t>Benzene</t>
  </si>
  <si>
    <t>WebFIRE</t>
  </si>
  <si>
    <t>Stack Height (ft)</t>
  </si>
  <si>
    <t>Stack Diameter (inches)</t>
  </si>
  <si>
    <t>Exhaust Flowrate (acfm)</t>
  </si>
  <si>
    <t>Exhaust Temp (Degree F)</t>
  </si>
  <si>
    <t>%</t>
  </si>
  <si>
    <t>Permit Number</t>
  </si>
  <si>
    <t>Emission Unit #</t>
  </si>
  <si>
    <r>
      <t xml:space="preserve">Operating Limits (found in the section titled Operating Limits) - </t>
    </r>
    <r>
      <rPr>
        <b/>
        <sz val="10"/>
        <color indexed="48"/>
        <rFont val="Arial"/>
        <family val="2"/>
      </rPr>
      <t>Leave Blank if Not Applicable</t>
    </r>
  </si>
  <si>
    <t>Gallons/Yr</t>
  </si>
  <si>
    <t>Unpaved Haul Roads</t>
  </si>
  <si>
    <t>Haul Roads</t>
  </si>
  <si>
    <t>SUBMITTAL TYPE:</t>
  </si>
  <si>
    <t>Emission Inventory - Initial</t>
  </si>
  <si>
    <t>Emission Inventory - Supplemental Information</t>
  </si>
  <si>
    <t>Less Than or Equal to 100</t>
  </si>
  <si>
    <t>Greater Than 100</t>
  </si>
  <si>
    <t>PERMIT OPERATING LIMITS:</t>
  </si>
  <si>
    <t>PERMIT EMISSION LIMITS:</t>
  </si>
  <si>
    <t>Annual Throughput Limit (tons/yr):</t>
  </si>
  <si>
    <t>Is a dust supressant used to control emissions?</t>
  </si>
  <si>
    <t xml:space="preserve">YES </t>
  </si>
  <si>
    <t>Facility Wide Annual Usage Limit:</t>
  </si>
  <si>
    <t>Please Note: IAC rule 23.3(3)"b" limits sulfur content in #1 and #2 fuel oil to 0.5%.</t>
  </si>
  <si>
    <t>Max Hourly Rate (MMBtu/hr)</t>
  </si>
  <si>
    <t>p = number of days per year with at least 0.01 inches of precipitation (see map - AP-42 3.2.2 Figure 1)</t>
  </si>
  <si>
    <t>&amp; footnote f</t>
  </si>
  <si>
    <t>Dust Supressant Control Effieciency = 40% (Iowa DNR)</t>
  </si>
  <si>
    <r>
      <t xml:space="preserve">Diesel Generator </t>
    </r>
    <r>
      <rPr>
        <sz val="11"/>
        <color indexed="8"/>
        <rFont val="Calibri"/>
        <family val="2"/>
      </rPr>
      <t xml:space="preserve">≤ </t>
    </r>
    <r>
      <rPr>
        <sz val="11"/>
        <color theme="1"/>
        <rFont val="Calibri"/>
        <family val="2"/>
        <scheme val="minor"/>
      </rPr>
      <t>600 bhp</t>
    </r>
  </si>
  <si>
    <t>Diesel Generator&gt; 600 bhp</t>
  </si>
  <si>
    <t>&gt; 600 bhp</t>
  </si>
  <si>
    <t>≤ 600 bhp</t>
  </si>
  <si>
    <t>Percent Sulfur:</t>
  </si>
  <si>
    <t>Sulfur Content Limit:</t>
  </si>
  <si>
    <t>71-43-2</t>
  </si>
  <si>
    <t>FACILITY WIDE EMISSIONS SUMMARY:</t>
  </si>
  <si>
    <t>EMISSION CALCULATIONS</t>
  </si>
  <si>
    <t>EMISSION FACTORS</t>
  </si>
  <si>
    <t>FACILITY PROCESSES</t>
  </si>
  <si>
    <t>Potential Hourly Uncontrolled Emissions(lb/hr)</t>
  </si>
  <si>
    <t>Potential Hourly Controlled Emissions (lb/hr)</t>
  </si>
  <si>
    <t>Annual Throughput (MMBtu/yr)</t>
  </si>
  <si>
    <t>Hours/Yr Operating Limit</t>
  </si>
  <si>
    <t>Please fill in the yellow boxes.</t>
  </si>
  <si>
    <t>Daily Hours of Operation Limit (hours/day):</t>
  </si>
  <si>
    <t>Max Hourly Rate (gal/hr)</t>
  </si>
  <si>
    <t>Actual Sulfur Content of Fuel:</t>
  </si>
  <si>
    <t>Paved Haul Roads</t>
  </si>
  <si>
    <t>See Map - AP-42 Figure 13.2.1-2 for value.  100 may be entered as a default value.</t>
  </si>
  <si>
    <t>Emission Factor equation from AP-42, 13.2.2 (Nov 2006): EF = [(k) x [(s/12)^0.9] x [(W/3)^0.45] ]((365-p)/365)) lb/VMT</t>
  </si>
  <si>
    <t>Emission Factor equation from AP-42, 13.2.1 (Jan 2011): EF = [(k) x [(s^0.91] x [W^1.02]]x((1-(p/1460)) lb/VMT</t>
  </si>
  <si>
    <t>k=constant=0.0022 for PM10 and 0.00054 for PM2.5 (AP-42 Table 13.2.1-1)</t>
  </si>
  <si>
    <t>s= silt content (AP-42 Table 13.2.1-3)</t>
  </si>
  <si>
    <t>STATIONARY ASPHALT PLANT</t>
  </si>
  <si>
    <t>HOT MIX ASPHALT PLANT</t>
  </si>
  <si>
    <t>SO2:</t>
  </si>
  <si>
    <t>PM10:</t>
  </si>
  <si>
    <t>NOx:</t>
  </si>
  <si>
    <t>VOC:</t>
  </si>
  <si>
    <t>CO:</t>
  </si>
  <si>
    <t>LB/HR LIMIT</t>
  </si>
  <si>
    <t>TONS/YR LIMIT</t>
  </si>
  <si>
    <t>Ethylbenzene</t>
  </si>
  <si>
    <t>Hexane</t>
  </si>
  <si>
    <t>Methyl Chloroform</t>
  </si>
  <si>
    <t>Toluene</t>
  </si>
  <si>
    <t>Xylene</t>
  </si>
  <si>
    <t>2,2,4-Trimethylpentane</t>
  </si>
  <si>
    <t>Nickel Compounds</t>
  </si>
  <si>
    <t>Aggregate Transfer</t>
  </si>
  <si>
    <t>lbs/ton</t>
  </si>
  <si>
    <t>Truck Loadout</t>
  </si>
  <si>
    <t>Silo Filling</t>
  </si>
  <si>
    <t>lbs/MMCF</t>
  </si>
  <si>
    <t>Dryer, Hot Screens, Mixer</t>
  </si>
  <si>
    <t>Maximum Hourly Capacity (tons/hr)</t>
  </si>
  <si>
    <t>Acetaldehyde</t>
  </si>
  <si>
    <t>Quinone</t>
  </si>
  <si>
    <t>Asphalt Plant - Controlled</t>
  </si>
  <si>
    <t>Asphalt Plant - Uncontrolled</t>
  </si>
  <si>
    <t>Acrolein</t>
  </si>
  <si>
    <t>Hydrocloric Acid</t>
  </si>
  <si>
    <t>Propionaldehyde</t>
  </si>
  <si>
    <t>Natural Gas Fired Heater</t>
  </si>
  <si>
    <t>Liquid Asphalt Cement Heater</t>
  </si>
  <si>
    <t>Type of Stationary Plant:</t>
  </si>
  <si>
    <t>Type of Fuel Used:</t>
  </si>
  <si>
    <t>Batch Mix Plant</t>
  </si>
  <si>
    <t>Drum Mix Plant</t>
  </si>
  <si>
    <t>Fuel Oil</t>
  </si>
  <si>
    <t>Natural Gas</t>
  </si>
  <si>
    <t>Silo Filling, Truck Loadout, Aggregate Transfer</t>
  </si>
  <si>
    <t>Number of Transfer Points</t>
  </si>
  <si>
    <t>AP-42 Table 11.1-2, 5, 6, 9</t>
  </si>
  <si>
    <t>AP-42 Table 11.1-4, 7, 8, 10</t>
  </si>
  <si>
    <t>AP-42 Table 11.1-4, 7, 8, 10, 12</t>
  </si>
  <si>
    <t>AP-42 Table 11.1-13</t>
  </si>
  <si>
    <t>AP-42 Table 11.1-14</t>
  </si>
  <si>
    <t>AP-42 Table 11.19.2-2 (&amp; App. B2 for PM2.5)</t>
  </si>
  <si>
    <t>WebFIRE SCC# 30502507</t>
  </si>
  <si>
    <t>Is Your Operation Controlled?</t>
  </si>
  <si>
    <t>Material Delivery Trucks Unpaved Haul Road</t>
  </si>
  <si>
    <t>Asphalt Trucks Unpaved Haul Road</t>
  </si>
  <si>
    <t>Material Delivery Trucks Paved Haul Road</t>
  </si>
  <si>
    <t>Asphalt Trucks Paved Haul Road</t>
  </si>
  <si>
    <t>(Material Delivery and Asphalt Trucks)</t>
  </si>
  <si>
    <t>Chromium Compounds</t>
  </si>
  <si>
    <t>Lead Compounds</t>
  </si>
  <si>
    <t>Manganese Compounds</t>
  </si>
  <si>
    <t>lbs/gal</t>
  </si>
  <si>
    <t>Fuel Oil Fired Heater</t>
  </si>
  <si>
    <t>Hydrochloric Acid</t>
  </si>
  <si>
    <t>Source of            Emission Factor</t>
  </si>
  <si>
    <t>gal/hr</t>
  </si>
  <si>
    <t>MMCF/hr</t>
  </si>
  <si>
    <t>Batch Mix Plant - Fuel Oil</t>
  </si>
  <si>
    <t>Batch Mix Plant - Natural Gas</t>
  </si>
  <si>
    <t>Batch Mix Plant - Waste Oil</t>
  </si>
  <si>
    <t xml:space="preserve">Drum Mix Plant - Fuel Oil </t>
  </si>
  <si>
    <t>Drum Mix Plant - Natural Gas</t>
  </si>
  <si>
    <t xml:space="preserve">Drum Mix Plant - Waste Oil </t>
  </si>
  <si>
    <t>Drum Mix Plant - Fuel Oil</t>
  </si>
  <si>
    <t>Drum Mix Plant - Waste Oil</t>
  </si>
  <si>
    <t>Acetaldhyde</t>
  </si>
  <si>
    <t>75-07-0</t>
  </si>
  <si>
    <t>107-02-8</t>
  </si>
  <si>
    <t>100-41-4</t>
  </si>
  <si>
    <t>110-54-3</t>
  </si>
  <si>
    <t>7647-01-0</t>
  </si>
  <si>
    <t>71-55-6</t>
  </si>
  <si>
    <t>123-38-6</t>
  </si>
  <si>
    <t>106-51-4</t>
  </si>
  <si>
    <t>108-88-3</t>
  </si>
  <si>
    <t>540-84-1</t>
  </si>
  <si>
    <t>1330-20-7</t>
  </si>
  <si>
    <t>Maximum Size of all Storage Piles Combined (acres)</t>
  </si>
  <si>
    <t>Average Storage Area of All Storage Piles Combined (acres)</t>
  </si>
  <si>
    <t>7440-02-0</t>
  </si>
  <si>
    <t>7440-47-3</t>
  </si>
  <si>
    <t>7439-92-1</t>
  </si>
  <si>
    <t>7439-96-5</t>
  </si>
  <si>
    <t>PERMIT NUMBER(S):</t>
  </si>
  <si>
    <t xml:space="preserve">Enter 0.6 for public road, 70 for sand &amp; gravel processing industrial road, 10 for stone quarrying and processing industrial road. </t>
  </si>
  <si>
    <t>Waste Oil</t>
  </si>
  <si>
    <t xml:space="preserve">Enter 0.6 for public road, 70 for sand &amp; gravel processing industrial road or 8.2 for quarry industrial road. </t>
  </si>
  <si>
    <t>Waste Oil Fired Heater</t>
  </si>
  <si>
    <t>** As of 2016 Potential Emissions are no longer required to be reported in the Minor Source Emissions Inventory**</t>
  </si>
  <si>
    <t>Stack Test Emissions:</t>
  </si>
  <si>
    <t>AVG LB/HR</t>
  </si>
  <si>
    <t>PM:</t>
  </si>
  <si>
    <t>PM2.5:</t>
  </si>
  <si>
    <t>Enter data in the chart below as applicable</t>
  </si>
  <si>
    <t>Number Days Storage Pile Existed in Emission Year (days/yr)</t>
  </si>
  <si>
    <t xml:space="preserve">                      Average Vehicle Weight (tons)</t>
  </si>
  <si>
    <t xml:space="preserve">                 Annual Throughput (tons)</t>
  </si>
  <si>
    <t>Source of Emission Factor</t>
  </si>
  <si>
    <t>Has stack testing been conducted at the plant?</t>
  </si>
  <si>
    <t xml:space="preserve">                         FACILITY-WIDE ACTUAL EMISSIONS:</t>
  </si>
  <si>
    <t xml:space="preserve">                  FACILITY-WIDE POTENTIAL EMISSIONS:</t>
  </si>
  <si>
    <t>PRODUCTION RATE DURING TEST (TONS/HR)</t>
  </si>
  <si>
    <t xml:space="preserve">you are calculating </t>
  </si>
  <si>
    <t>emissions, usually the</t>
  </si>
  <si>
    <t xml:space="preserve"> previous calendar year. </t>
  </si>
  <si>
    <t xml:space="preserve">Enter the year for which </t>
  </si>
  <si>
    <t xml:space="preserve">Note: if your facility has multiple permits for your stationary </t>
  </si>
  <si>
    <t xml:space="preserve">asphalt plant, review the emission limits section of each permit </t>
  </si>
  <si>
    <t>and add all emission limits (lbs/hr and tons/yr) for each pollutant</t>
  </si>
  <si>
    <t xml:space="preserve"> together and enter the sums in the table to the left.</t>
  </si>
  <si>
    <t>Last Updated 1/16/25</t>
  </si>
  <si>
    <t>542-0247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</si>
</sst>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"/>
    <numFmt numFmtId="166" formatCode="0.000000"/>
  </numFmts>
  <fonts count="42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sz val="10"/>
      <color indexed="48"/>
      <name val="Arial"/>
      <family val="2"/>
    </font>
    <font>
      <b/>
      <sz val="10"/>
      <color indexed="48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8"/>
      <color rgb="FFFF0000"/>
      <name val="Arial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8"/>
      <color theme="0"/>
      <name val="Arial"/>
      <family val="2"/>
    </font>
    <font>
      <i/>
      <sz val="8"/>
      <color theme="0"/>
      <name val="Arial"/>
      <family val="2"/>
    </font>
    <font>
      <sz val="8"/>
      <color theme="0"/>
      <name val="Arial"/>
      <family val="2"/>
    </font>
    <font>
      <i/>
      <sz val="8"/>
      <color rgb="FFC00000"/>
      <name val="Arial"/>
      <family val="2"/>
    </font>
    <font>
      <b/>
      <sz val="12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324">
    <xf numFmtId="0" fontId="0" fillId="0" borderId="0" xfId="0"/>
    <xf numFmtId="0" fontId="17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5" xfId="0" applyBorder="1" applyProtection="1"/>
    <xf numFmtId="2" fontId="0" fillId="0" borderId="0" xfId="0" applyNumberFormat="1" applyAlignment="1" applyProtection="1">
      <alignment horizontal="center"/>
    </xf>
    <xf numFmtId="2" fontId="18" fillId="0" borderId="5" xfId="0" applyNumberFormat="1" applyFont="1" applyBorder="1" applyAlignment="1" applyProtection="1">
      <alignment horizontal="center"/>
    </xf>
    <xf numFmtId="2" fontId="18" fillId="0" borderId="0" xfId="0" applyNumberFormat="1" applyFont="1" applyAlignment="1" applyProtection="1">
      <alignment horizontal="center"/>
    </xf>
    <xf numFmtId="2" fontId="19" fillId="0" borderId="0" xfId="0" applyNumberFormat="1" applyFont="1" applyAlignment="1" applyProtection="1">
      <alignment horizontal="left"/>
    </xf>
    <xf numFmtId="0" fontId="18" fillId="0" borderId="5" xfId="0" applyFont="1" applyBorder="1" applyAlignment="1" applyProtection="1">
      <alignment horizontal="center"/>
    </xf>
    <xf numFmtId="0" fontId="20" fillId="4" borderId="6" xfId="0" applyFont="1" applyFill="1" applyBorder="1" applyProtection="1">
      <protection locked="0"/>
    </xf>
    <xf numFmtId="0" fontId="20" fillId="4" borderId="5" xfId="0" applyFont="1" applyFill="1" applyBorder="1" applyAlignment="1" applyProtection="1">
      <alignment horizontal="center"/>
      <protection locked="0"/>
    </xf>
    <xf numFmtId="0" fontId="0" fillId="4" borderId="5" xfId="0" applyFill="1" applyBorder="1" applyProtection="1">
      <protection locked="0"/>
    </xf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21" fillId="0" borderId="0" xfId="0" applyFont="1" applyBorder="1" applyProtection="1"/>
    <xf numFmtId="0" fontId="0" fillId="4" borderId="5" xfId="0" applyFill="1" applyBorder="1" applyAlignment="1" applyProtection="1">
      <alignment horizontal="center"/>
      <protection locked="0"/>
    </xf>
    <xf numFmtId="3" fontId="0" fillId="4" borderId="5" xfId="0" applyNumberFormat="1" applyFill="1" applyBorder="1" applyAlignment="1" applyProtection="1">
      <alignment horizontal="center"/>
      <protection locked="0"/>
    </xf>
    <xf numFmtId="0" fontId="0" fillId="0" borderId="0" xfId="0" applyFill="1" applyBorder="1" applyProtection="1"/>
    <xf numFmtId="0" fontId="18" fillId="0" borderId="0" xfId="0" applyFont="1" applyFill="1" applyBorder="1" applyProtection="1"/>
    <xf numFmtId="0" fontId="16" fillId="0" borderId="0" xfId="0" applyFont="1" applyBorder="1" applyProtection="1"/>
    <xf numFmtId="0" fontId="16" fillId="0" borderId="0" xfId="0" applyFont="1" applyBorder="1" applyAlignment="1" applyProtection="1">
      <alignment horizontal="center"/>
    </xf>
    <xf numFmtId="0" fontId="4" fillId="0" borderId="0" xfId="1" applyFont="1" applyBorder="1" applyAlignment="1" applyProtection="1">
      <alignment vertical="center" wrapText="1"/>
    </xf>
    <xf numFmtId="0" fontId="16" fillId="0" borderId="0" xfId="0" applyFont="1" applyFill="1" applyBorder="1" applyAlignment="1" applyProtection="1">
      <alignment horizontal="left"/>
    </xf>
    <xf numFmtId="0" fontId="4" fillId="0" borderId="0" xfId="1" applyFont="1" applyBorder="1" applyAlignment="1" applyProtection="1"/>
    <xf numFmtId="0" fontId="4" fillId="0" borderId="0" xfId="1" applyFont="1" applyFill="1" applyAlignment="1" applyProtection="1"/>
    <xf numFmtId="0" fontId="4" fillId="0" borderId="5" xfId="1" applyFont="1" applyFill="1" applyBorder="1" applyAlignment="1" applyProtection="1">
      <alignment horizontal="center" vertical="center" wrapText="1"/>
    </xf>
    <xf numFmtId="0" fontId="4" fillId="3" borderId="5" xfId="1" applyFont="1" applyFill="1" applyBorder="1" applyAlignment="1" applyProtection="1">
      <alignment horizontal="center" vertical="center" wrapText="1"/>
    </xf>
    <xf numFmtId="3" fontId="4" fillId="0" borderId="5" xfId="1" applyNumberFormat="1" applyFont="1" applyFill="1" applyBorder="1" applyAlignment="1" applyProtection="1">
      <alignment horizontal="center" vertical="center" wrapText="1"/>
    </xf>
    <xf numFmtId="0" fontId="4" fillId="4" borderId="5" xfId="1" applyFont="1" applyFill="1" applyBorder="1" applyAlignment="1" applyProtection="1">
      <alignment horizontal="center" vertical="center" wrapText="1"/>
      <protection locked="0"/>
    </xf>
    <xf numFmtId="0" fontId="4" fillId="4" borderId="5" xfId="1" applyFont="1" applyFill="1" applyBorder="1" applyAlignment="1" applyProtection="1">
      <alignment horizontal="center"/>
      <protection locked="0"/>
    </xf>
    <xf numFmtId="0" fontId="4" fillId="0" borderId="0" xfId="1" applyFont="1" applyBorder="1" applyAlignment="1" applyProtection="1">
      <alignment vertical="center"/>
    </xf>
    <xf numFmtId="9" fontId="4" fillId="4" borderId="5" xfId="2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horizontal="center"/>
    </xf>
    <xf numFmtId="0" fontId="0" fillId="0" borderId="0" xfId="0"/>
    <xf numFmtId="0" fontId="16" fillId="0" borderId="0" xfId="0" applyFont="1"/>
    <xf numFmtId="0" fontId="18" fillId="0" borderId="0" xfId="0" applyFont="1"/>
    <xf numFmtId="165" fontId="0" fillId="0" borderId="0" xfId="0" applyNumberFormat="1"/>
    <xf numFmtId="0" fontId="23" fillId="0" borderId="0" xfId="1" applyFont="1" applyAlignment="1" applyProtection="1">
      <alignment horizontal="left"/>
    </xf>
    <xf numFmtId="0" fontId="16" fillId="0" borderId="0" xfId="0" applyFont="1" applyAlignment="1">
      <alignment horizontal="left"/>
    </xf>
    <xf numFmtId="0" fontId="24" fillId="0" borderId="0" xfId="0" applyFont="1"/>
    <xf numFmtId="0" fontId="25" fillId="0" borderId="0" xfId="0" applyFont="1" applyProtection="1"/>
    <xf numFmtId="2" fontId="0" fillId="0" borderId="5" xfId="0" applyNumberFormat="1" applyBorder="1" applyAlignment="1" applyProtection="1">
      <alignment horizontal="center"/>
    </xf>
    <xf numFmtId="0" fontId="4" fillId="0" borderId="0" xfId="1" applyFont="1" applyFill="1" applyAlignment="1" applyProtection="1">
      <alignment horizontal="left"/>
    </xf>
    <xf numFmtId="0" fontId="4" fillId="0" borderId="0" xfId="1" applyFont="1" applyFill="1" applyAlignment="1" applyProtection="1">
      <alignment horizontal="right"/>
    </xf>
    <xf numFmtId="0" fontId="0" fillId="0" borderId="0" xfId="0" applyAlignment="1">
      <alignment horizontal="right"/>
    </xf>
    <xf numFmtId="0" fontId="3" fillId="0" borderId="0" xfId="1" applyProtection="1"/>
    <xf numFmtId="0" fontId="2" fillId="0" borderId="0" xfId="1" applyFont="1" applyProtection="1"/>
    <xf numFmtId="0" fontId="7" fillId="0" borderId="0" xfId="1" applyFont="1" applyProtection="1"/>
    <xf numFmtId="0" fontId="1" fillId="0" borderId="0" xfId="1" applyFont="1" applyProtection="1"/>
    <xf numFmtId="0" fontId="3" fillId="2" borderId="5" xfId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</xf>
    <xf numFmtId="0" fontId="18" fillId="0" borderId="0" xfId="0" applyFont="1" applyBorder="1" applyAlignment="1" applyProtection="1">
      <alignment horizontal="center"/>
    </xf>
    <xf numFmtId="4" fontId="0" fillId="4" borderId="7" xfId="0" applyNumberFormat="1" applyFill="1" applyBorder="1" applyAlignment="1" applyProtection="1">
      <alignment horizontal="center"/>
      <protection locked="0"/>
    </xf>
    <xf numFmtId="2" fontId="0" fillId="0" borderId="5" xfId="0" applyNumberFormat="1" applyFill="1" applyBorder="1" applyAlignment="1" applyProtection="1">
      <alignment horizontal="center"/>
    </xf>
    <xf numFmtId="0" fontId="25" fillId="0" borderId="0" xfId="0" applyFont="1"/>
    <xf numFmtId="0" fontId="20" fillId="0" borderId="0" xfId="0" applyFont="1" applyProtection="1"/>
    <xf numFmtId="0" fontId="20" fillId="0" borderId="5" xfId="0" applyFont="1" applyBorder="1" applyProtection="1"/>
    <xf numFmtId="0" fontId="1" fillId="0" borderId="5" xfId="0" applyFont="1" applyBorder="1" applyAlignment="1" applyProtection="1">
      <alignment horizontal="left"/>
    </xf>
    <xf numFmtId="0" fontId="1" fillId="0" borderId="5" xfId="0" applyFont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left"/>
    </xf>
    <xf numFmtId="0" fontId="1" fillId="0" borderId="10" xfId="0" applyFont="1" applyFill="1" applyBorder="1" applyAlignment="1" applyProtection="1">
      <alignment horizontal="left"/>
    </xf>
    <xf numFmtId="0" fontId="1" fillId="0" borderId="11" xfId="0" applyFont="1" applyFill="1" applyBorder="1" applyAlignment="1" applyProtection="1">
      <alignment horizontal="left"/>
    </xf>
    <xf numFmtId="0" fontId="1" fillId="0" borderId="0" xfId="0" applyFont="1" applyBorder="1" applyProtection="1"/>
    <xf numFmtId="4" fontId="0" fillId="0" borderId="0" xfId="0" applyNumberFormat="1" applyFill="1" applyBorder="1" applyProtection="1"/>
    <xf numFmtId="0" fontId="16" fillId="0" borderId="0" xfId="0" applyFont="1" applyFill="1" applyBorder="1" applyAlignment="1" applyProtection="1">
      <alignment horizontal="center"/>
    </xf>
    <xf numFmtId="4" fontId="0" fillId="4" borderId="5" xfId="0" applyNumberFormat="1" applyFill="1" applyBorder="1" applyAlignment="1" applyProtection="1">
      <alignment horizontal="center"/>
      <protection locked="0"/>
    </xf>
    <xf numFmtId="0" fontId="27" fillId="0" borderId="0" xfId="0" applyFont="1" applyProtection="1"/>
    <xf numFmtId="0" fontId="10" fillId="0" borderId="5" xfId="0" applyFont="1" applyFill="1" applyBorder="1" applyAlignment="1" applyProtection="1">
      <alignment horizontal="left"/>
    </xf>
    <xf numFmtId="0" fontId="20" fillId="0" borderId="0" xfId="0" applyFont="1" applyFill="1" applyBorder="1" applyProtection="1"/>
    <xf numFmtId="0" fontId="20" fillId="0" borderId="12" xfId="0" applyFont="1" applyBorder="1" applyAlignment="1" applyProtection="1">
      <alignment wrapText="1"/>
    </xf>
    <xf numFmtId="0" fontId="20" fillId="0" borderId="0" xfId="0" applyFont="1" applyAlignment="1" applyProtection="1">
      <alignment horizontal="left"/>
    </xf>
    <xf numFmtId="0" fontId="20" fillId="0" borderId="0" xfId="0" applyFont="1" applyFill="1" applyProtection="1"/>
    <xf numFmtId="0" fontId="20" fillId="0" borderId="0" xfId="0" applyFont="1" applyBorder="1" applyProtection="1"/>
    <xf numFmtId="2" fontId="0" fillId="0" borderId="0" xfId="0" applyNumberFormat="1" applyBorder="1" applyAlignment="1" applyProtection="1">
      <alignment horizontal="center"/>
    </xf>
    <xf numFmtId="0" fontId="19" fillId="0" borderId="0" xfId="0" applyFont="1" applyAlignment="1" applyProtection="1">
      <alignment horizontal="center"/>
    </xf>
    <xf numFmtId="0" fontId="29" fillId="4" borderId="5" xfId="0" applyFont="1" applyFill="1" applyBorder="1" applyAlignment="1" applyProtection="1">
      <alignment horizontal="center"/>
      <protection locked="0"/>
    </xf>
    <xf numFmtId="0" fontId="29" fillId="4" borderId="5" xfId="0" applyFont="1" applyFill="1" applyBorder="1" applyProtection="1">
      <protection locked="0"/>
    </xf>
    <xf numFmtId="4" fontId="29" fillId="4" borderId="5" xfId="0" applyNumberFormat="1" applyFont="1" applyFill="1" applyBorder="1" applyAlignment="1" applyProtection="1">
      <alignment horizontal="center"/>
      <protection locked="0"/>
    </xf>
    <xf numFmtId="0" fontId="14" fillId="0" borderId="5" xfId="1" applyFont="1" applyBorder="1" applyAlignment="1" applyProtection="1">
      <alignment horizontal="right"/>
    </xf>
    <xf numFmtId="4" fontId="29" fillId="0" borderId="5" xfId="0" applyNumberFormat="1" applyFont="1" applyBorder="1" applyAlignment="1" applyProtection="1">
      <alignment horizontal="center"/>
    </xf>
    <xf numFmtId="4" fontId="29" fillId="0" borderId="5" xfId="0" applyNumberFormat="1" applyFont="1" applyFill="1" applyBorder="1" applyAlignment="1" applyProtection="1">
      <alignment horizontal="center"/>
    </xf>
    <xf numFmtId="0" fontId="14" fillId="0" borderId="5" xfId="1" applyFont="1" applyBorder="1" applyAlignment="1" applyProtection="1">
      <alignment horizontal="center"/>
    </xf>
    <xf numFmtId="4" fontId="3" fillId="2" borderId="5" xfId="1" applyNumberFormat="1" applyFill="1" applyBorder="1" applyAlignment="1" applyProtection="1">
      <alignment horizontal="center"/>
      <protection locked="0"/>
    </xf>
    <xf numFmtId="0" fontId="20" fillId="0" borderId="5" xfId="0" applyFont="1" applyBorder="1" applyAlignment="1" applyProtection="1">
      <alignment horizontal="right"/>
    </xf>
    <xf numFmtId="0" fontId="20" fillId="0" borderId="0" xfId="0" applyFont="1" applyFill="1" applyBorder="1" applyAlignment="1" applyProtection="1">
      <alignment horizontal="right"/>
    </xf>
    <xf numFmtId="0" fontId="0" fillId="0" borderId="5" xfId="0" applyFill="1" applyBorder="1" applyProtection="1"/>
    <xf numFmtId="0" fontId="20" fillId="0" borderId="0" xfId="0" applyFont="1" applyFill="1" applyBorder="1" applyAlignment="1" applyProtection="1">
      <alignment horizontal="center"/>
    </xf>
    <xf numFmtId="4" fontId="20" fillId="0" borderId="0" xfId="0" applyNumberFormat="1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left"/>
    </xf>
    <xf numFmtId="0" fontId="0" fillId="0" borderId="0" xfId="0" applyBorder="1" applyAlignment="1" applyProtection="1"/>
    <xf numFmtId="0" fontId="30" fillId="0" borderId="0" xfId="0" applyFont="1" applyProtection="1"/>
    <xf numFmtId="0" fontId="30" fillId="0" borderId="0" xfId="0" applyFont="1" applyFill="1" applyBorder="1" applyProtection="1"/>
    <xf numFmtId="0" fontId="4" fillId="0" borderId="0" xfId="1" applyFont="1" applyBorder="1" applyAlignment="1" applyProtection="1">
      <alignment horizontal="left"/>
    </xf>
    <xf numFmtId="0" fontId="4" fillId="4" borderId="9" xfId="1" applyFont="1" applyFill="1" applyBorder="1" applyAlignment="1" applyProtection="1">
      <alignment horizontal="center"/>
      <protection locked="0"/>
    </xf>
    <xf numFmtId="0" fontId="29" fillId="0" borderId="5" xfId="0" applyFont="1" applyFill="1" applyBorder="1" applyProtection="1"/>
    <xf numFmtId="0" fontId="4" fillId="0" borderId="12" xfId="1" applyFont="1" applyBorder="1" applyAlignment="1" applyProtection="1">
      <alignment vertical="center"/>
    </xf>
    <xf numFmtId="0" fontId="4" fillId="0" borderId="12" xfId="1" applyFont="1" applyFill="1" applyBorder="1" applyAlignment="1" applyProtection="1"/>
    <xf numFmtId="0" fontId="29" fillId="0" borderId="0" xfId="0" applyFont="1" applyBorder="1" applyProtection="1"/>
    <xf numFmtId="0" fontId="16" fillId="0" borderId="0" xfId="0" applyFont="1" applyBorder="1" applyAlignment="1" applyProtection="1">
      <alignment horizontal="center" wrapText="1"/>
    </xf>
    <xf numFmtId="0" fontId="0" fillId="0" borderId="0" xfId="0" applyFont="1"/>
    <xf numFmtId="0" fontId="0" fillId="0" borderId="5" xfId="0" applyFont="1" applyFill="1" applyBorder="1" applyAlignment="1" applyProtection="1">
      <alignment horizontal="center"/>
    </xf>
    <xf numFmtId="0" fontId="0" fillId="0" borderId="9" xfId="0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center"/>
    </xf>
    <xf numFmtId="0" fontId="0" fillId="0" borderId="11" xfId="0" applyFont="1" applyFill="1" applyBorder="1" applyAlignment="1" applyProtection="1">
      <alignment horizontal="center"/>
    </xf>
    <xf numFmtId="0" fontId="0" fillId="0" borderId="10" xfId="0" applyFont="1" applyFill="1" applyBorder="1" applyAlignment="1" applyProtection="1">
      <alignment horizontal="center"/>
    </xf>
    <xf numFmtId="0" fontId="29" fillId="0" borderId="5" xfId="0" applyFont="1" applyBorder="1" applyAlignment="1" applyProtection="1">
      <alignment horizontal="center"/>
    </xf>
    <xf numFmtId="0" fontId="29" fillId="0" borderId="5" xfId="0" applyFont="1" applyFill="1" applyBorder="1" applyAlignment="1" applyProtection="1">
      <alignment horizontal="center"/>
    </xf>
    <xf numFmtId="0" fontId="29" fillId="0" borderId="0" xfId="0" applyFont="1" applyFill="1" applyBorder="1" applyAlignment="1" applyProtection="1">
      <alignment horizontal="center"/>
    </xf>
    <xf numFmtId="0" fontId="29" fillId="0" borderId="10" xfId="0" applyFont="1" applyFill="1" applyBorder="1" applyAlignment="1" applyProtection="1">
      <alignment horizontal="center"/>
    </xf>
    <xf numFmtId="0" fontId="0" fillId="0" borderId="12" xfId="0" applyBorder="1" applyAlignment="1" applyProtection="1"/>
    <xf numFmtId="2" fontId="18" fillId="0" borderId="5" xfId="0" applyNumberFormat="1" applyFont="1" applyFill="1" applyBorder="1" applyAlignment="1" applyProtection="1">
      <alignment horizontal="center"/>
    </xf>
    <xf numFmtId="2" fontId="18" fillId="0" borderId="0" xfId="0" applyNumberFormat="1" applyFont="1" applyFill="1" applyBorder="1" applyAlignment="1" applyProtection="1">
      <alignment horizontal="center"/>
    </xf>
    <xf numFmtId="2" fontId="18" fillId="0" borderId="10" xfId="0" applyNumberFormat="1" applyFont="1" applyFill="1" applyBorder="1" applyAlignment="1" applyProtection="1">
      <alignment horizontal="center"/>
    </xf>
    <xf numFmtId="0" fontId="19" fillId="0" borderId="5" xfId="0" applyFont="1" applyFill="1" applyBorder="1" applyAlignment="1" applyProtection="1">
      <alignment horizontal="center"/>
    </xf>
    <xf numFmtId="0" fontId="18" fillId="0" borderId="5" xfId="0" applyFont="1" applyFill="1" applyBorder="1" applyAlignment="1" applyProtection="1">
      <alignment horizontal="center"/>
    </xf>
    <xf numFmtId="2" fontId="0" fillId="4" borderId="5" xfId="0" applyNumberFormat="1" applyFill="1" applyBorder="1" applyAlignment="1" applyProtection="1">
      <alignment horizontal="center"/>
    </xf>
    <xf numFmtId="0" fontId="31" fillId="0" borderId="5" xfId="0" applyFont="1" applyBorder="1" applyAlignment="1" applyProtection="1">
      <alignment horizontal="left"/>
    </xf>
    <xf numFmtId="0" fontId="0" fillId="0" borderId="5" xfId="0" applyFont="1" applyBorder="1" applyProtection="1"/>
    <xf numFmtId="0" fontId="0" fillId="0" borderId="5" xfId="0" applyFont="1" applyBorder="1" applyAlignment="1" applyProtection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0" fontId="29" fillId="0" borderId="0" xfId="0" applyFont="1" applyFill="1" applyAlignment="1" applyProtection="1">
      <alignment horizontal="center"/>
    </xf>
    <xf numFmtId="2" fontId="18" fillId="0" borderId="0" xfId="0" applyNumberFormat="1" applyFont="1" applyFill="1" applyAlignment="1" applyProtection="1">
      <alignment horizontal="center"/>
    </xf>
    <xf numFmtId="0" fontId="0" fillId="0" borderId="5" xfId="0" applyFont="1" applyFill="1" applyBorder="1" applyAlignment="1" applyProtection="1">
      <alignment horizontal="left"/>
    </xf>
    <xf numFmtId="0" fontId="0" fillId="0" borderId="5" xfId="0" applyFont="1" applyFill="1" applyBorder="1" applyProtection="1"/>
    <xf numFmtId="0" fontId="29" fillId="0" borderId="0" xfId="0" applyFont="1" applyFill="1"/>
    <xf numFmtId="0" fontId="29" fillId="0" borderId="9" xfId="0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2" fontId="18" fillId="0" borderId="9" xfId="0" applyNumberFormat="1" applyFont="1" applyFill="1" applyBorder="1" applyAlignment="1" applyProtection="1">
      <alignment horizontal="center"/>
    </xf>
    <xf numFmtId="0" fontId="0" fillId="0" borderId="6" xfId="0" applyFont="1" applyFill="1" applyBorder="1" applyAlignment="1" applyProtection="1">
      <alignment horizontal="center"/>
    </xf>
    <xf numFmtId="0" fontId="29" fillId="0" borderId="6" xfId="0" applyFont="1" applyFill="1" applyBorder="1" applyAlignment="1" applyProtection="1">
      <alignment horizontal="center"/>
    </xf>
    <xf numFmtId="2" fontId="18" fillId="0" borderId="6" xfId="0" applyNumberFormat="1" applyFont="1" applyFill="1" applyBorder="1" applyAlignment="1" applyProtection="1">
      <alignment horizontal="center"/>
    </xf>
    <xf numFmtId="0" fontId="29" fillId="0" borderId="11" xfId="0" applyFont="1" applyFill="1" applyBorder="1" applyAlignment="1" applyProtection="1">
      <alignment horizontal="center"/>
    </xf>
    <xf numFmtId="2" fontId="18" fillId="0" borderId="11" xfId="0" applyNumberFormat="1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wrapText="1"/>
    </xf>
    <xf numFmtId="0" fontId="0" fillId="0" borderId="5" xfId="0" applyFill="1" applyBorder="1" applyAlignment="1" applyProtection="1">
      <alignment horizontal="left"/>
    </xf>
    <xf numFmtId="166" fontId="0" fillId="0" borderId="5" xfId="0" applyNumberFormat="1" applyFill="1" applyBorder="1" applyAlignment="1" applyProtection="1">
      <alignment horizontal="center"/>
    </xf>
    <xf numFmtId="164" fontId="0" fillId="0" borderId="5" xfId="0" applyNumberFormat="1" applyFill="1" applyBorder="1" applyAlignment="1" applyProtection="1">
      <alignment horizontal="center"/>
    </xf>
    <xf numFmtId="0" fontId="29" fillId="0" borderId="5" xfId="0" applyFont="1" applyFill="1" applyBorder="1" applyAlignment="1" applyProtection="1">
      <alignment horizontal="left"/>
    </xf>
    <xf numFmtId="2" fontId="0" fillId="0" borderId="5" xfId="0" applyNumberFormat="1" applyFont="1" applyFill="1" applyBorder="1" applyAlignment="1" applyProtection="1">
      <alignment horizontal="center"/>
    </xf>
    <xf numFmtId="2" fontId="0" fillId="0" borderId="0" xfId="0" applyNumberFormat="1" applyFill="1" applyBorder="1" applyAlignment="1" applyProtection="1">
      <alignment horizontal="left"/>
    </xf>
    <xf numFmtId="2" fontId="0" fillId="0" borderId="0" xfId="0" applyNumberFormat="1" applyFill="1" applyAlignment="1" applyProtection="1">
      <alignment horizontal="center"/>
    </xf>
    <xf numFmtId="0" fontId="0" fillId="0" borderId="5" xfId="0" applyFill="1" applyBorder="1"/>
    <xf numFmtId="2" fontId="0" fillId="0" borderId="0" xfId="0" applyNumberFormat="1" applyFill="1" applyBorder="1" applyAlignment="1" applyProtection="1">
      <alignment horizontal="center"/>
    </xf>
    <xf numFmtId="0" fontId="20" fillId="0" borderId="5" xfId="0" applyFont="1" applyFill="1" applyBorder="1" applyAlignment="1" applyProtection="1">
      <alignment horizontal="right"/>
    </xf>
    <xf numFmtId="0" fontId="16" fillId="0" borderId="11" xfId="0" applyFont="1" applyBorder="1" applyAlignment="1" applyProtection="1">
      <alignment horizontal="center" wrapText="1"/>
    </xf>
    <xf numFmtId="0" fontId="16" fillId="0" borderId="5" xfId="0" applyFont="1" applyBorder="1" applyAlignment="1" applyProtection="1">
      <alignment horizontal="center" wrapText="1"/>
    </xf>
    <xf numFmtId="0" fontId="0" fillId="0" borderId="0" xfId="0" applyBorder="1" applyAlignment="1" applyProtection="1">
      <alignment horizontal="left"/>
    </xf>
    <xf numFmtId="0" fontId="16" fillId="0" borderId="5" xfId="0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 wrapText="1"/>
    </xf>
    <xf numFmtId="0" fontId="0" fillId="0" borderId="0" xfId="0" applyAlignment="1">
      <alignment horizontal="center"/>
    </xf>
    <xf numFmtId="2" fontId="18" fillId="4" borderId="5" xfId="0" applyNumberFormat="1" applyFont="1" applyFill="1" applyBorder="1" applyAlignment="1" applyProtection="1">
      <alignment horizontal="center"/>
    </xf>
    <xf numFmtId="0" fontId="0" fillId="0" borderId="14" xfId="0" applyFont="1" applyFill="1" applyBorder="1" applyAlignment="1" applyProtection="1">
      <alignment horizontal="center"/>
    </xf>
    <xf numFmtId="0" fontId="29" fillId="0" borderId="14" xfId="0" applyFont="1" applyFill="1" applyBorder="1" applyAlignment="1" applyProtection="1">
      <alignment horizontal="center"/>
    </xf>
    <xf numFmtId="2" fontId="18" fillId="0" borderId="14" xfId="0" applyNumberFormat="1" applyFont="1" applyFill="1" applyBorder="1" applyAlignment="1" applyProtection="1">
      <alignment horizontal="center"/>
    </xf>
    <xf numFmtId="2" fontId="20" fillId="4" borderId="5" xfId="0" applyNumberFormat="1" applyFont="1" applyFill="1" applyBorder="1" applyAlignment="1" applyProtection="1">
      <alignment horizontal="center"/>
      <protection locked="0"/>
    </xf>
    <xf numFmtId="4" fontId="20" fillId="4" borderId="5" xfId="0" applyNumberFormat="1" applyFont="1" applyFill="1" applyBorder="1" applyAlignment="1" applyProtection="1">
      <alignment horizontal="center"/>
      <protection locked="0"/>
    </xf>
    <xf numFmtId="0" fontId="0" fillId="5" borderId="5" xfId="0" applyFill="1" applyBorder="1" applyAlignment="1" applyProtection="1">
      <alignment horizontal="center"/>
    </xf>
    <xf numFmtId="0" fontId="31" fillId="0" borderId="5" xfId="0" applyFont="1" applyFill="1" applyBorder="1" applyAlignment="1" applyProtection="1">
      <alignment horizontal="left"/>
    </xf>
    <xf numFmtId="0" fontId="0" fillId="0" borderId="0" xfId="0" applyFont="1" applyFill="1"/>
    <xf numFmtId="0" fontId="31" fillId="0" borderId="5" xfId="0" applyFont="1" applyBorder="1" applyAlignment="1" applyProtection="1">
      <alignment horizontal="center"/>
    </xf>
    <xf numFmtId="0" fontId="31" fillId="0" borderId="5" xfId="0" applyFont="1" applyFill="1" applyBorder="1" applyAlignment="1" applyProtection="1">
      <alignment horizontal="center"/>
    </xf>
    <xf numFmtId="0" fontId="0" fillId="0" borderId="15" xfId="0" applyBorder="1"/>
    <xf numFmtId="0" fontId="0" fillId="0" borderId="16" xfId="0" applyBorder="1"/>
    <xf numFmtId="0" fontId="0" fillId="0" borderId="16" xfId="0" applyFill="1" applyBorder="1"/>
    <xf numFmtId="0" fontId="0" fillId="0" borderId="17" xfId="0" applyBorder="1"/>
    <xf numFmtId="0" fontId="0" fillId="0" borderId="18" xfId="0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2" fontId="0" fillId="0" borderId="23" xfId="0" applyNumberFormat="1" applyBorder="1" applyAlignment="1">
      <alignment horizontal="center"/>
    </xf>
    <xf numFmtId="4" fontId="29" fillId="4" borderId="5" xfId="0" applyNumberFormat="1" applyFont="1" applyFill="1" applyBorder="1" applyProtection="1">
      <protection locked="0"/>
    </xf>
    <xf numFmtId="3" fontId="0" fillId="0" borderId="0" xfId="0" applyNumberFormat="1" applyFill="1" applyBorder="1" applyAlignment="1" applyProtection="1">
      <alignment horizontal="center"/>
    </xf>
    <xf numFmtId="0" fontId="4" fillId="0" borderId="0" xfId="1" applyFont="1" applyFill="1" applyBorder="1" applyAlignment="1" applyProtection="1">
      <alignment horizontal="center"/>
    </xf>
    <xf numFmtId="0" fontId="30" fillId="0" borderId="0" xfId="0" applyFont="1" applyFill="1" applyBorder="1" applyAlignment="1" applyProtection="1">
      <alignment vertical="top" wrapText="1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32" fillId="0" borderId="0" xfId="0" applyFont="1" applyAlignment="1">
      <alignment horizontal="left"/>
    </xf>
    <xf numFmtId="0" fontId="20" fillId="0" borderId="0" xfId="0" applyFont="1" applyBorder="1" applyAlignment="1" applyProtection="1">
      <alignment wrapText="1"/>
    </xf>
    <xf numFmtId="0" fontId="20" fillId="0" borderId="5" xfId="0" applyFont="1" applyBorder="1" applyAlignment="1" applyProtection="1">
      <alignment horizontal="left"/>
    </xf>
    <xf numFmtId="0" fontId="20" fillId="0" borderId="7" xfId="0" applyFont="1" applyBorder="1" applyAlignment="1" applyProtection="1">
      <alignment horizontal="center"/>
    </xf>
    <xf numFmtId="0" fontId="20" fillId="0" borderId="24" xfId="0" applyFont="1" applyFill="1" applyBorder="1" applyAlignment="1" applyProtection="1">
      <alignment horizontal="right"/>
    </xf>
    <xf numFmtId="0" fontId="16" fillId="0" borderId="11" xfId="0" applyFont="1" applyBorder="1" applyAlignment="1" applyProtection="1">
      <alignment horizontal="center" wrapText="1"/>
    </xf>
    <xf numFmtId="0" fontId="4" fillId="0" borderId="0" xfId="1" applyFont="1" applyAlignment="1" applyProtection="1">
      <alignment horizontal="right"/>
    </xf>
    <xf numFmtId="0" fontId="16" fillId="0" borderId="5" xfId="0" applyFont="1" applyBorder="1" applyAlignment="1" applyProtection="1">
      <alignment horizontal="center" wrapText="1"/>
    </xf>
    <xf numFmtId="0" fontId="4" fillId="0" borderId="0" xfId="1" applyFont="1" applyBorder="1" applyAlignment="1" applyProtection="1">
      <alignment horizontal="left" vertical="center"/>
    </xf>
    <xf numFmtId="0" fontId="16" fillId="0" borderId="5" xfId="0" applyFont="1" applyBorder="1" applyAlignment="1" applyProtection="1">
      <alignment horizontal="center"/>
    </xf>
    <xf numFmtId="0" fontId="0" fillId="0" borderId="0" xfId="0" applyFont="1" applyFill="1" applyBorder="1" applyAlignment="1" applyProtection="1"/>
    <xf numFmtId="0" fontId="0" fillId="0" borderId="5" xfId="0" applyBorder="1" applyAlignment="1" applyProtection="1">
      <alignment horizontal="right"/>
    </xf>
    <xf numFmtId="0" fontId="0" fillId="0" borderId="12" xfId="0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8" fillId="0" borderId="5" xfId="0" applyFont="1" applyBorder="1" applyAlignment="1" applyProtection="1"/>
    <xf numFmtId="0" fontId="20" fillId="4" borderId="5" xfId="0" applyFont="1" applyFill="1" applyBorder="1" applyAlignment="1" applyProtection="1">
      <protection locked="0"/>
    </xf>
    <xf numFmtId="0" fontId="20" fillId="4" borderId="7" xfId="0" applyFont="1" applyFill="1" applyBorder="1" applyAlignment="1" applyProtection="1">
      <protection locked="0"/>
    </xf>
    <xf numFmtId="0" fontId="20" fillId="4" borderId="24" xfId="0" applyFont="1" applyFill="1" applyBorder="1" applyAlignment="1" applyProtection="1">
      <protection locked="0"/>
    </xf>
    <xf numFmtId="0" fontId="20" fillId="0" borderId="10" xfId="0" applyFont="1" applyBorder="1" applyAlignment="1" applyProtection="1">
      <alignment horizontal="center"/>
    </xf>
    <xf numFmtId="0" fontId="20" fillId="0" borderId="5" xfId="0" applyFont="1" applyBorder="1" applyAlignment="1" applyProtection="1"/>
    <xf numFmtId="0" fontId="1" fillId="0" borderId="7" xfId="0" applyFont="1" applyBorder="1" applyProtection="1"/>
    <xf numFmtId="0" fontId="20" fillId="0" borderId="0" xfId="0" applyFont="1" applyBorder="1" applyAlignment="1" applyProtection="1"/>
    <xf numFmtId="0" fontId="20" fillId="0" borderId="26" xfId="0" applyFont="1" applyBorder="1" applyAlignment="1" applyProtection="1"/>
    <xf numFmtId="0" fontId="20" fillId="4" borderId="10" xfId="0" applyFont="1" applyFill="1" applyBorder="1" applyAlignment="1" applyProtection="1">
      <protection locked="0"/>
    </xf>
    <xf numFmtId="4" fontId="28" fillId="4" borderId="24" xfId="0" applyNumberFormat="1" applyFont="1" applyFill="1" applyBorder="1" applyAlignment="1" applyProtection="1">
      <alignment horizontal="center"/>
      <protection locked="0"/>
    </xf>
    <xf numFmtId="4" fontId="20" fillId="4" borderId="24" xfId="0" applyNumberFormat="1" applyFont="1" applyFill="1" applyBorder="1" applyAlignment="1" applyProtection="1">
      <alignment horizontal="center"/>
      <protection locked="0"/>
    </xf>
    <xf numFmtId="0" fontId="0" fillId="0" borderId="8" xfId="0" applyBorder="1" applyProtection="1"/>
    <xf numFmtId="0" fontId="20" fillId="0" borderId="28" xfId="0" applyFont="1" applyFill="1" applyBorder="1" applyAlignment="1" applyProtection="1">
      <alignment horizontal="right"/>
    </xf>
    <xf numFmtId="0" fontId="0" fillId="0" borderId="7" xfId="0" applyBorder="1" applyProtection="1"/>
    <xf numFmtId="0" fontId="1" fillId="0" borderId="7" xfId="0" applyFont="1" applyBorder="1" applyAlignment="1" applyProtection="1">
      <alignment horizontal="left"/>
    </xf>
    <xf numFmtId="0" fontId="20" fillId="4" borderId="26" xfId="0" applyFont="1" applyFill="1" applyBorder="1" applyAlignment="1" applyProtection="1">
      <protection locked="0"/>
    </xf>
    <xf numFmtId="0" fontId="20" fillId="4" borderId="13" xfId="0" applyFont="1" applyFill="1" applyBorder="1" applyAlignment="1" applyProtection="1">
      <protection locked="0"/>
    </xf>
    <xf numFmtId="0" fontId="20" fillId="4" borderId="27" xfId="0" applyFont="1" applyFill="1" applyBorder="1" applyAlignment="1" applyProtection="1">
      <protection locked="0"/>
    </xf>
    <xf numFmtId="0" fontId="20" fillId="0" borderId="11" xfId="0" applyFont="1" applyBorder="1" applyAlignment="1" applyProtection="1">
      <alignment horizontal="center"/>
    </xf>
    <xf numFmtId="0" fontId="20" fillId="4" borderId="11" xfId="0" applyFont="1" applyFill="1" applyBorder="1" applyAlignment="1" applyProtection="1">
      <alignment horizontal="center"/>
      <protection locked="0"/>
    </xf>
    <xf numFmtId="0" fontId="20" fillId="0" borderId="11" xfId="0" applyFont="1" applyFill="1" applyBorder="1" applyAlignment="1" applyProtection="1">
      <alignment horizontal="center"/>
    </xf>
    <xf numFmtId="0" fontId="20" fillId="4" borderId="11" xfId="0" applyFont="1" applyFill="1" applyBorder="1" applyAlignment="1" applyProtection="1">
      <alignment horizontal="left"/>
      <protection locked="0"/>
    </xf>
    <xf numFmtId="0" fontId="20" fillId="4" borderId="12" xfId="0" applyFont="1" applyFill="1" applyBorder="1" applyAlignment="1" applyProtection="1">
      <protection locked="0"/>
    </xf>
    <xf numFmtId="0" fontId="1" fillId="4" borderId="7" xfId="0" applyFont="1" applyFill="1" applyBorder="1" applyAlignment="1" applyProtection="1">
      <protection locked="0"/>
    </xf>
    <xf numFmtId="0" fontId="1" fillId="4" borderId="10" xfId="0" applyFont="1" applyFill="1" applyBorder="1" applyAlignment="1" applyProtection="1">
      <protection locked="0"/>
    </xf>
    <xf numFmtId="0" fontId="1" fillId="4" borderId="24" xfId="0" applyFont="1" applyFill="1" applyBorder="1" applyAlignment="1" applyProtection="1">
      <protection locked="0"/>
    </xf>
    <xf numFmtId="0" fontId="20" fillId="4" borderId="8" xfId="0" applyFont="1" applyFill="1" applyBorder="1" applyAlignment="1" applyProtection="1">
      <protection locked="0"/>
    </xf>
    <xf numFmtId="0" fontId="20" fillId="4" borderId="28" xfId="0" applyFont="1" applyFill="1" applyBorder="1" applyAlignment="1" applyProtection="1">
      <protection locked="0"/>
    </xf>
    <xf numFmtId="0" fontId="20" fillId="4" borderId="25" xfId="0" applyFont="1" applyFill="1" applyBorder="1" applyAlignment="1" applyProtection="1">
      <protection locked="0"/>
    </xf>
    <xf numFmtId="0" fontId="20" fillId="0" borderId="6" xfId="0" applyFont="1" applyBorder="1" applyAlignment="1" applyProtection="1">
      <alignment horizontal="center"/>
    </xf>
    <xf numFmtId="0" fontId="20" fillId="4" borderId="6" xfId="0" applyFont="1" applyFill="1" applyBorder="1" applyAlignment="1" applyProtection="1">
      <alignment horizontal="center"/>
      <protection locked="0"/>
    </xf>
    <xf numFmtId="0" fontId="20" fillId="0" borderId="6" xfId="0" applyFont="1" applyFill="1" applyBorder="1" applyAlignment="1" applyProtection="1">
      <alignment horizontal="center"/>
    </xf>
    <xf numFmtId="0" fontId="20" fillId="4" borderId="6" xfId="0" applyFont="1" applyFill="1" applyBorder="1" applyAlignment="1" applyProtection="1">
      <alignment horizontal="left"/>
      <protection locked="0"/>
    </xf>
    <xf numFmtId="0" fontId="1" fillId="0" borderId="7" xfId="0" applyFont="1" applyFill="1" applyBorder="1" applyAlignment="1" applyProtection="1">
      <alignment horizontal="left"/>
    </xf>
    <xf numFmtId="0" fontId="1" fillId="0" borderId="9" xfId="0" applyFont="1" applyBorder="1" applyAlignment="1" applyProtection="1">
      <alignment horizontal="center"/>
    </xf>
    <xf numFmtId="0" fontId="20" fillId="4" borderId="14" xfId="0" applyFont="1" applyFill="1" applyBorder="1" applyAlignment="1" applyProtection="1">
      <protection locked="0"/>
    </xf>
    <xf numFmtId="0" fontId="20" fillId="6" borderId="5" xfId="0" applyFont="1" applyFill="1" applyBorder="1" applyProtection="1"/>
    <xf numFmtId="0" fontId="20" fillId="4" borderId="9" xfId="0" applyFont="1" applyFill="1" applyBorder="1" applyAlignment="1" applyProtection="1">
      <protection locked="0"/>
    </xf>
    <xf numFmtId="0" fontId="0" fillId="6" borderId="7" xfId="0" applyFill="1" applyBorder="1" applyProtection="1"/>
    <xf numFmtId="0" fontId="0" fillId="6" borderId="24" xfId="0" applyFill="1" applyBorder="1" applyProtection="1"/>
    <xf numFmtId="0" fontId="16" fillId="0" borderId="9" xfId="0" applyFont="1" applyBorder="1" applyAlignment="1" applyProtection="1">
      <alignment wrapText="1"/>
    </xf>
    <xf numFmtId="0" fontId="2" fillId="0" borderId="9" xfId="0" applyFont="1" applyFill="1" applyBorder="1" applyAlignment="1" applyProtection="1">
      <alignment wrapText="1"/>
    </xf>
    <xf numFmtId="0" fontId="16" fillId="4" borderId="5" xfId="0" applyFont="1" applyFill="1" applyBorder="1" applyAlignment="1" applyProtection="1"/>
    <xf numFmtId="0" fontId="25" fillId="0" borderId="14" xfId="0" applyFont="1" applyBorder="1" applyAlignment="1" applyProtection="1"/>
    <xf numFmtId="0" fontId="16" fillId="0" borderId="5" xfId="0" applyFont="1" applyFill="1" applyBorder="1" applyAlignment="1" applyProtection="1">
      <alignment wrapText="1"/>
    </xf>
    <xf numFmtId="0" fontId="16" fillId="0" borderId="26" xfId="0" applyFont="1" applyBorder="1" applyAlignment="1" applyProtection="1">
      <alignment wrapText="1"/>
    </xf>
    <xf numFmtId="0" fontId="0" fillId="4" borderId="5" xfId="0" applyFill="1" applyBorder="1" applyAlignment="1" applyProtection="1">
      <protection locked="0"/>
    </xf>
    <xf numFmtId="0" fontId="16" fillId="0" borderId="7" xfId="0" applyFont="1" applyBorder="1" applyAlignment="1" applyProtection="1">
      <alignment wrapText="1"/>
    </xf>
    <xf numFmtId="0" fontId="16" fillId="0" borderId="24" xfId="0" applyFont="1" applyBorder="1" applyAlignment="1" applyProtection="1">
      <alignment wrapText="1"/>
    </xf>
    <xf numFmtId="0" fontId="16" fillId="0" borderId="7" xfId="0" applyFont="1" applyBorder="1" applyAlignment="1" applyProtection="1">
      <alignment horizontal="left"/>
    </xf>
    <xf numFmtId="0" fontId="16" fillId="0" borderId="24" xfId="0" applyFont="1" applyBorder="1" applyAlignment="1" applyProtection="1">
      <alignment horizontal="left"/>
    </xf>
    <xf numFmtId="0" fontId="16" fillId="0" borderId="5" xfId="0" applyFont="1" applyBorder="1" applyAlignment="1" applyProtection="1">
      <alignment wrapText="1"/>
    </xf>
    <xf numFmtId="0" fontId="4" fillId="0" borderId="12" xfId="1" applyFont="1" applyBorder="1" applyAlignment="1" applyProtection="1"/>
    <xf numFmtId="0" fontId="4" fillId="0" borderId="0" xfId="1" applyFont="1" applyBorder="1" applyAlignment="1" applyProtection="1">
      <alignment horizontal="right" vertical="center"/>
    </xf>
    <xf numFmtId="0" fontId="4" fillId="0" borderId="0" xfId="1" applyFont="1" applyAlignment="1" applyProtection="1">
      <alignment horizontal="right" vertical="center"/>
    </xf>
    <xf numFmtId="0" fontId="4" fillId="0" borderId="0" xfId="1" applyFont="1" applyFill="1" applyBorder="1" applyAlignment="1" applyProtection="1"/>
    <xf numFmtId="0" fontId="33" fillId="0" borderId="0" xfId="0" applyFont="1" applyBorder="1" applyAlignment="1" applyProtection="1"/>
    <xf numFmtId="0" fontId="34" fillId="0" borderId="9" xfId="0" applyFont="1" applyBorder="1" applyAlignment="1" applyProtection="1">
      <alignment wrapText="1"/>
    </xf>
    <xf numFmtId="0" fontId="13" fillId="0" borderId="9" xfId="0" applyFont="1" applyFill="1" applyBorder="1" applyAlignment="1" applyProtection="1">
      <alignment wrapText="1"/>
    </xf>
    <xf numFmtId="0" fontId="34" fillId="0" borderId="5" xfId="0" applyFont="1" applyBorder="1" applyAlignment="1" applyProtection="1">
      <alignment wrapText="1"/>
    </xf>
    <xf numFmtId="0" fontId="25" fillId="0" borderId="0" xfId="0" applyFont="1" applyAlignment="1"/>
    <xf numFmtId="0" fontId="16" fillId="0" borderId="5" xfId="0" applyFont="1" applyBorder="1" applyAlignment="1" applyProtection="1"/>
    <xf numFmtId="0" fontId="16" fillId="0" borderId="10" xfId="0" applyFont="1" applyBorder="1" applyAlignment="1" applyProtection="1">
      <alignment wrapText="1"/>
    </xf>
    <xf numFmtId="0" fontId="19" fillId="0" borderId="9" xfId="0" applyFont="1" applyFill="1" applyBorder="1" applyAlignment="1" applyProtection="1">
      <alignment horizontal="center"/>
    </xf>
    <xf numFmtId="0" fontId="0" fillId="0" borderId="9" xfId="0" applyFill="1" applyBorder="1" applyAlignment="1" applyProtection="1">
      <alignment horizontal="center"/>
    </xf>
    <xf numFmtId="0" fontId="19" fillId="0" borderId="30" xfId="0" applyFont="1" applyBorder="1" applyAlignment="1" applyProtection="1">
      <alignment horizontal="center"/>
    </xf>
    <xf numFmtId="2" fontId="18" fillId="0" borderId="31" xfId="0" applyNumberFormat="1" applyFont="1" applyBorder="1" applyAlignment="1" applyProtection="1">
      <alignment horizontal="center"/>
    </xf>
    <xf numFmtId="2" fontId="0" fillId="0" borderId="9" xfId="0" applyNumberFormat="1" applyFill="1" applyBorder="1" applyAlignment="1" applyProtection="1">
      <alignment horizontal="center"/>
    </xf>
    <xf numFmtId="2" fontId="0" fillId="0" borderId="36" xfId="0" applyNumberFormat="1" applyBorder="1" applyAlignment="1" applyProtection="1">
      <alignment horizontal="right"/>
    </xf>
    <xf numFmtId="0" fontId="0" fillId="0" borderId="31" xfId="0" applyBorder="1"/>
    <xf numFmtId="2" fontId="0" fillId="0" borderId="36" xfId="0" applyNumberFormat="1" applyBorder="1" applyAlignment="1" applyProtection="1">
      <alignment horizontal="center"/>
    </xf>
    <xf numFmtId="2" fontId="0" fillId="0" borderId="35" xfId="0" applyNumberFormat="1" applyFill="1" applyBorder="1" applyAlignment="1" applyProtection="1">
      <alignment horizontal="center"/>
    </xf>
    <xf numFmtId="0" fontId="0" fillId="0" borderId="0" xfId="0" applyAlignment="1" applyProtection="1">
      <alignment horizontal="right"/>
    </xf>
    <xf numFmtId="0" fontId="0" fillId="0" borderId="9" xfId="0" applyBorder="1" applyAlignment="1" applyProtection="1">
      <alignment horizontal="center"/>
    </xf>
    <xf numFmtId="2" fontId="0" fillId="0" borderId="9" xfId="0" applyNumberFormat="1" applyBorder="1" applyAlignment="1" applyProtection="1">
      <alignment horizontal="center"/>
    </xf>
    <xf numFmtId="0" fontId="29" fillId="0" borderId="30" xfId="0" applyFont="1" applyFill="1" applyBorder="1" applyAlignment="1" applyProtection="1">
      <alignment horizontal="center"/>
    </xf>
    <xf numFmtId="2" fontId="18" fillId="0" borderId="31" xfId="0" applyNumberFormat="1" applyFont="1" applyFill="1" applyBorder="1" applyAlignment="1" applyProtection="1">
      <alignment horizontal="center"/>
    </xf>
    <xf numFmtId="0" fontId="29" fillId="0" borderId="9" xfId="0" applyFont="1" applyBorder="1" applyAlignment="1" applyProtection="1">
      <alignment horizontal="center"/>
    </xf>
    <xf numFmtId="2" fontId="18" fillId="0" borderId="9" xfId="0" applyNumberFormat="1" applyFont="1" applyBorder="1" applyAlignment="1" applyProtection="1">
      <alignment horizontal="center"/>
    </xf>
    <xf numFmtId="0" fontId="29" fillId="0" borderId="30" xfId="0" applyFont="1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0" borderId="30" xfId="0" applyBorder="1" applyAlignment="1" applyProtection="1">
      <alignment horizontal="center"/>
    </xf>
    <xf numFmtId="2" fontId="0" fillId="0" borderId="31" xfId="0" applyNumberFormat="1" applyBorder="1" applyAlignment="1" applyProtection="1">
      <alignment horizontal="center"/>
    </xf>
    <xf numFmtId="2" fontId="0" fillId="0" borderId="35" xfId="0" applyNumberFormat="1" applyBorder="1" applyAlignment="1" applyProtection="1">
      <alignment horizontal="center"/>
    </xf>
    <xf numFmtId="0" fontId="16" fillId="0" borderId="9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</xf>
    <xf numFmtId="0" fontId="35" fillId="0" borderId="13" xfId="0" applyFont="1" applyFill="1" applyBorder="1" applyAlignment="1" applyProtection="1"/>
    <xf numFmtId="0" fontId="35" fillId="0" borderId="0" xfId="0" applyFont="1" applyFill="1" applyBorder="1" applyAlignment="1" applyProtection="1"/>
    <xf numFmtId="0" fontId="35" fillId="0" borderId="14" xfId="0" applyFont="1" applyFill="1" applyBorder="1" applyAlignment="1" applyProtection="1"/>
    <xf numFmtId="0" fontId="35" fillId="0" borderId="0" xfId="0" applyFont="1" applyBorder="1" applyAlignment="1" applyProtection="1"/>
    <xf numFmtId="0" fontId="35" fillId="0" borderId="14" xfId="0" applyFont="1" applyBorder="1" applyAlignment="1" applyProtection="1"/>
    <xf numFmtId="0" fontId="36" fillId="0" borderId="0" xfId="0" applyFont="1" applyBorder="1" applyAlignment="1" applyProtection="1"/>
    <xf numFmtId="0" fontId="15" fillId="0" borderId="0" xfId="0" applyFont="1" applyProtection="1"/>
    <xf numFmtId="0" fontId="37" fillId="0" borderId="0" xfId="0" applyFont="1" applyFill="1" applyBorder="1" applyAlignment="1" applyProtection="1">
      <alignment horizontal="right"/>
    </xf>
    <xf numFmtId="0" fontId="38" fillId="0" borderId="0" xfId="0" applyFont="1" applyFill="1" applyBorder="1" applyAlignment="1" applyProtection="1">
      <alignment horizontal="center"/>
    </xf>
    <xf numFmtId="0" fontId="38" fillId="0" borderId="7" xfId="0" applyFont="1" applyFill="1" applyBorder="1" applyAlignment="1" applyProtection="1">
      <alignment horizontal="right"/>
    </xf>
    <xf numFmtId="0" fontId="38" fillId="0" borderId="7" xfId="0" applyFont="1" applyBorder="1" applyAlignment="1" applyProtection="1">
      <alignment horizontal="right"/>
    </xf>
    <xf numFmtId="2" fontId="38" fillId="0" borderId="0" xfId="0" applyNumberFormat="1" applyFont="1" applyFill="1" applyBorder="1" applyAlignment="1" applyProtection="1">
      <alignment horizontal="center"/>
      <protection locked="0"/>
    </xf>
    <xf numFmtId="0" fontId="20" fillId="0" borderId="24" xfId="0" applyFont="1" applyBorder="1" applyAlignment="1" applyProtection="1">
      <alignment horizontal="right"/>
    </xf>
    <xf numFmtId="0" fontId="20" fillId="0" borderId="12" xfId="0" applyFont="1" applyBorder="1" applyAlignment="1" applyProtection="1">
      <alignment horizontal="right"/>
    </xf>
    <xf numFmtId="4" fontId="38" fillId="0" borderId="0" xfId="0" applyNumberFormat="1" applyFont="1" applyFill="1" applyBorder="1" applyAlignment="1" applyProtection="1">
      <alignment horizontal="center" wrapText="1"/>
    </xf>
    <xf numFmtId="0" fontId="25" fillId="0" borderId="0" xfId="0" applyFont="1" applyAlignment="1">
      <alignment vertical="center"/>
    </xf>
    <xf numFmtId="0" fontId="0" fillId="0" borderId="30" xfId="0" applyBorder="1" applyAlignment="1"/>
    <xf numFmtId="0" fontId="0" fillId="0" borderId="31" xfId="0" applyBorder="1" applyAlignment="1"/>
    <xf numFmtId="0" fontId="0" fillId="0" borderId="32" xfId="0" applyBorder="1" applyAlignment="1"/>
    <xf numFmtId="0" fontId="25" fillId="0" borderId="0" xfId="0" applyFont="1" applyAlignment="1" applyProtection="1"/>
    <xf numFmtId="0" fontId="20" fillId="0" borderId="0" xfId="0" applyFont="1" applyBorder="1" applyAlignment="1" applyProtection="1">
      <alignment horizontal="left"/>
    </xf>
    <xf numFmtId="0" fontId="26" fillId="0" borderId="0" xfId="0" applyFont="1" applyFill="1" applyBorder="1" applyAlignment="1" applyProtection="1">
      <alignment vertical="top" wrapText="1"/>
    </xf>
    <xf numFmtId="0" fontId="26" fillId="0" borderId="0" xfId="0" applyFont="1" applyFill="1" applyBorder="1" applyAlignment="1" applyProtection="1">
      <alignment vertical="top"/>
    </xf>
    <xf numFmtId="0" fontId="26" fillId="0" borderId="0" xfId="0" applyFont="1" applyFill="1" applyBorder="1" applyAlignment="1" applyProtection="1">
      <alignment horizontal="left" vertical="top"/>
    </xf>
    <xf numFmtId="0" fontId="0" fillId="0" borderId="0" xfId="0" applyAlignment="1"/>
    <xf numFmtId="0" fontId="39" fillId="0" borderId="0" xfId="0" applyFont="1" applyProtection="1"/>
    <xf numFmtId="0" fontId="40" fillId="0" borderId="0" xfId="0" applyFont="1" applyBorder="1" applyProtection="1"/>
    <xf numFmtId="0" fontId="41" fillId="0" borderId="0" xfId="0" applyFont="1" applyAlignment="1">
      <alignment horizontal="left"/>
    </xf>
    <xf numFmtId="0" fontId="41" fillId="0" borderId="0" xfId="0" applyFont="1" applyAlignment="1">
      <alignment horizontal="left" vertical="top"/>
    </xf>
  </cellXfs>
  <cellStyles count="3">
    <cellStyle name="Normal" xfId="0" builtinId="0"/>
    <cellStyle name="Normal 2" xfId="1" xr:uid="{00000000-0005-0000-0000-000001000000}"/>
    <cellStyle name="Percent 2" xfId="2" xr:uid="{00000000-0005-0000-0000-000002000000}"/>
  </cellStyles>
  <dxfs count="15">
    <dxf>
      <fill>
        <patternFill>
          <bgColor rgb="FFFFFF9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9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9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9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9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9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9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auto="1"/>
      </font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</dxf>
    <dxf>
      <font>
        <color auto="1"/>
      </font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</dxf>
    <dxf>
      <font>
        <color auto="1"/>
      </font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</dxf>
    <dxf>
      <font>
        <color auto="1"/>
      </font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9"/>
  <sheetViews>
    <sheetView tabSelected="1" zoomScaleNormal="100" workbookViewId="0"/>
  </sheetViews>
  <sheetFormatPr defaultRowHeight="15" x14ac:dyDescent="0.25"/>
  <cols>
    <col min="1" max="1" width="24.28515625" style="6" customWidth="1"/>
    <col min="2" max="2" width="18.85546875" style="6" customWidth="1"/>
    <col min="3" max="3" width="17.5703125" style="6" customWidth="1"/>
    <col min="4" max="4" width="14.85546875" style="6" customWidth="1"/>
    <col min="5" max="5" width="20.85546875" style="6" customWidth="1"/>
    <col min="6" max="6" width="16.5703125" style="6" customWidth="1"/>
    <col min="7" max="7" width="19.28515625" style="6" customWidth="1"/>
    <col min="8" max="8" width="7" style="6" customWidth="1"/>
    <col min="9" max="9" width="13.140625" style="6" customWidth="1"/>
    <col min="10" max="10" width="5" style="6" customWidth="1"/>
    <col min="11" max="11" width="5.5703125" style="6" hidden="1" customWidth="1"/>
    <col min="12" max="12" width="13.7109375" style="6" customWidth="1"/>
    <col min="13" max="13" width="21.7109375" style="6" hidden="1" customWidth="1"/>
    <col min="14" max="14" width="9.140625" style="6" hidden="1" customWidth="1"/>
    <col min="15" max="15" width="11.42578125" style="6" hidden="1" customWidth="1"/>
    <col min="16" max="17" width="9.140625" style="6" hidden="1" customWidth="1"/>
    <col min="18" max="20" width="9.140625" style="6" customWidth="1"/>
    <col min="21" max="21" width="6.42578125" style="6" customWidth="1"/>
    <col min="22" max="16384" width="9.140625" style="6"/>
  </cols>
  <sheetData>
    <row r="1" spans="1:13" ht="18.75" x14ac:dyDescent="0.3">
      <c r="A1" s="314" t="s">
        <v>153</v>
      </c>
      <c r="B1" s="314"/>
      <c r="G1" s="320" t="s">
        <v>268</v>
      </c>
      <c r="H1" s="6" t="s">
        <v>269</v>
      </c>
    </row>
    <row r="2" spans="1:13" x14ac:dyDescent="0.25">
      <c r="A2" s="6" t="s">
        <v>143</v>
      </c>
    </row>
    <row r="3" spans="1:13" x14ac:dyDescent="0.25">
      <c r="A3" s="61"/>
    </row>
    <row r="4" spans="1:13" x14ac:dyDescent="0.25">
      <c r="A4" s="62" t="s">
        <v>112</v>
      </c>
      <c r="B4" s="246"/>
      <c r="C4" s="247"/>
      <c r="D4" s="248"/>
      <c r="E4" s="216"/>
      <c r="F4" s="307" t="s">
        <v>52</v>
      </c>
      <c r="G4" s="209"/>
      <c r="H4" s="61"/>
      <c r="I4" s="61"/>
      <c r="J4" s="61"/>
      <c r="K4" s="61"/>
      <c r="L4" s="61"/>
      <c r="M4" s="61"/>
    </row>
    <row r="5" spans="1:13" ht="15" customHeight="1" x14ac:dyDescent="0.25">
      <c r="A5" s="223" t="s">
        <v>0</v>
      </c>
      <c r="B5" s="232"/>
      <c r="C5" s="233"/>
      <c r="D5" s="234"/>
      <c r="E5" s="245"/>
      <c r="F5" s="308" t="s">
        <v>37</v>
      </c>
      <c r="G5" s="15"/>
      <c r="H5" s="61" t="s">
        <v>69</v>
      </c>
      <c r="I5" s="215" t="s">
        <v>263</v>
      </c>
      <c r="J5" s="190"/>
      <c r="K5" s="190"/>
      <c r="L5" s="190"/>
      <c r="M5" s="190"/>
    </row>
    <row r="6" spans="1:13" x14ac:dyDescent="0.25">
      <c r="A6" s="63" t="s">
        <v>4</v>
      </c>
      <c r="B6" s="210"/>
      <c r="C6" s="217"/>
      <c r="D6" s="217"/>
      <c r="E6" s="217"/>
      <c r="F6" s="247"/>
      <c r="G6" s="248"/>
      <c r="H6" s="75"/>
      <c r="I6" s="215" t="s">
        <v>260</v>
      </c>
      <c r="J6" s="190"/>
      <c r="K6" s="190"/>
      <c r="L6" s="190"/>
      <c r="M6" s="190"/>
    </row>
    <row r="7" spans="1:13" x14ac:dyDescent="0.25">
      <c r="A7" s="223" t="s">
        <v>38</v>
      </c>
      <c r="B7" s="210"/>
      <c r="C7" s="217"/>
      <c r="D7" s="217"/>
      <c r="E7" s="217"/>
      <c r="F7" s="247"/>
      <c r="G7" s="248"/>
      <c r="H7" s="61"/>
      <c r="I7" s="315" t="s">
        <v>261</v>
      </c>
      <c r="J7" s="190"/>
      <c r="K7" s="61"/>
      <c r="L7" s="61"/>
      <c r="M7" s="61"/>
    </row>
    <row r="8" spans="1:13" x14ac:dyDescent="0.25">
      <c r="A8" s="63" t="s">
        <v>41</v>
      </c>
      <c r="B8" s="231"/>
      <c r="C8" s="237"/>
      <c r="D8" s="238" t="s">
        <v>40</v>
      </c>
      <c r="E8" s="239" t="s">
        <v>39</v>
      </c>
      <c r="F8" s="240" t="s">
        <v>43</v>
      </c>
      <c r="G8" s="241"/>
      <c r="H8" s="61"/>
      <c r="I8" s="61" t="s">
        <v>262</v>
      </c>
      <c r="J8" s="61"/>
      <c r="K8" s="61"/>
      <c r="L8" s="61"/>
      <c r="M8" s="61"/>
    </row>
    <row r="9" spans="1:13" x14ac:dyDescent="0.25">
      <c r="A9" s="223" t="s">
        <v>1</v>
      </c>
      <c r="B9" s="210"/>
      <c r="C9" s="217"/>
      <c r="D9" s="217"/>
      <c r="E9" s="217"/>
      <c r="F9" s="217"/>
      <c r="G9" s="211"/>
      <c r="H9" s="61"/>
      <c r="I9" s="61"/>
      <c r="J9" s="61"/>
      <c r="K9" s="61"/>
      <c r="L9" s="61"/>
      <c r="M9" s="61"/>
    </row>
    <row r="10" spans="1:13" x14ac:dyDescent="0.25">
      <c r="A10" s="63" t="s">
        <v>41</v>
      </c>
      <c r="B10" s="235"/>
      <c r="C10" s="236"/>
      <c r="D10" s="227" t="s">
        <v>40</v>
      </c>
      <c r="E10" s="228"/>
      <c r="F10" s="229" t="s">
        <v>43</v>
      </c>
      <c r="G10" s="230"/>
      <c r="H10" s="61"/>
      <c r="I10" s="61"/>
      <c r="J10" s="61"/>
      <c r="K10" s="61"/>
      <c r="L10" s="61"/>
      <c r="M10" s="61"/>
    </row>
    <row r="11" spans="1:13" x14ac:dyDescent="0.25">
      <c r="A11" s="63" t="s">
        <v>2</v>
      </c>
      <c r="B11" s="224"/>
      <c r="C11" s="226"/>
      <c r="D11" s="243" t="s">
        <v>3</v>
      </c>
      <c r="E11" s="224"/>
      <c r="F11" s="247"/>
      <c r="G11" s="248"/>
      <c r="H11" s="61"/>
      <c r="I11" s="61"/>
      <c r="J11" s="61"/>
      <c r="K11" s="61" t="s">
        <v>113</v>
      </c>
      <c r="L11" s="61"/>
      <c r="M11" s="61"/>
    </row>
    <row r="12" spans="1:13" x14ac:dyDescent="0.25">
      <c r="A12" s="242" t="s">
        <v>42</v>
      </c>
      <c r="B12" s="224"/>
      <c r="C12" s="225"/>
      <c r="D12" s="225"/>
      <c r="E12" s="225"/>
      <c r="F12" s="247"/>
      <c r="G12" s="248"/>
      <c r="H12" s="61"/>
      <c r="I12" s="61"/>
      <c r="J12" s="61"/>
      <c r="K12" s="61" t="s">
        <v>114</v>
      </c>
      <c r="L12" s="61"/>
      <c r="M12" s="61"/>
    </row>
    <row r="13" spans="1:13" x14ac:dyDescent="0.25">
      <c r="A13" s="242" t="s">
        <v>44</v>
      </c>
      <c r="B13" s="210"/>
      <c r="C13" s="217"/>
      <c r="D13" s="217"/>
      <c r="E13" s="217"/>
      <c r="F13" s="247"/>
      <c r="G13" s="248"/>
      <c r="H13" s="61"/>
      <c r="I13" s="61"/>
      <c r="J13" s="61"/>
      <c r="K13" s="61"/>
      <c r="L13" s="61"/>
      <c r="M13" s="61"/>
    </row>
    <row r="14" spans="1:13" x14ac:dyDescent="0.25">
      <c r="A14" s="242" t="s">
        <v>45</v>
      </c>
      <c r="B14" s="235"/>
      <c r="C14" s="244"/>
      <c r="D14" s="244"/>
      <c r="E14" s="244"/>
      <c r="F14" s="247"/>
      <c r="G14" s="248"/>
      <c r="H14" s="61"/>
      <c r="I14" s="61"/>
      <c r="J14" s="61"/>
      <c r="K14" s="61"/>
      <c r="L14" s="61"/>
      <c r="M14" s="61"/>
    </row>
    <row r="15" spans="1:13" x14ac:dyDescent="0.25">
      <c r="A15" s="63" t="s">
        <v>41</v>
      </c>
      <c r="B15" s="235"/>
      <c r="C15" s="236"/>
      <c r="D15" s="227" t="s">
        <v>40</v>
      </c>
      <c r="E15" s="228"/>
      <c r="F15" s="229" t="s">
        <v>43</v>
      </c>
      <c r="G15" s="230"/>
      <c r="H15" s="61"/>
      <c r="I15" s="61"/>
      <c r="J15" s="61"/>
      <c r="K15" s="61" t="s">
        <v>115</v>
      </c>
      <c r="L15" s="61"/>
      <c r="M15" s="61"/>
    </row>
    <row r="16" spans="1:13" x14ac:dyDescent="0.25">
      <c r="A16" s="65" t="s">
        <v>46</v>
      </c>
      <c r="B16" s="210"/>
      <c r="C16" s="211"/>
      <c r="D16" s="64" t="s">
        <v>3</v>
      </c>
      <c r="E16" s="210"/>
      <c r="F16" s="217"/>
      <c r="G16" s="211"/>
      <c r="H16" s="61"/>
      <c r="I16" s="61"/>
      <c r="J16" s="61"/>
      <c r="K16" s="61" t="s">
        <v>116</v>
      </c>
      <c r="L16" s="61"/>
      <c r="M16" s="61"/>
    </row>
    <row r="17" spans="1:21" x14ac:dyDescent="0.25">
      <c r="A17" s="66"/>
      <c r="B17" s="61"/>
      <c r="C17" s="61"/>
      <c r="D17" s="61"/>
      <c r="E17" s="76"/>
      <c r="F17" s="61"/>
      <c r="G17" s="61"/>
      <c r="H17" s="61"/>
      <c r="I17" s="61"/>
      <c r="J17" s="77"/>
      <c r="K17" s="77"/>
      <c r="L17" s="61"/>
      <c r="M17" s="61"/>
    </row>
    <row r="18" spans="1:21" x14ac:dyDescent="0.25">
      <c r="A18" s="67" t="s">
        <v>47</v>
      </c>
      <c r="B18" s="192" t="s">
        <v>48</v>
      </c>
      <c r="C18" s="210"/>
      <c r="D18" s="211"/>
      <c r="E18" s="212" t="s">
        <v>49</v>
      </c>
      <c r="F18" s="210"/>
      <c r="G18" s="211"/>
      <c r="H18" s="61"/>
      <c r="I18" s="61"/>
      <c r="J18" s="61"/>
      <c r="K18" s="61"/>
      <c r="L18" s="61"/>
      <c r="M18" s="61"/>
    </row>
    <row r="19" spans="1:21" x14ac:dyDescent="0.25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</row>
    <row r="20" spans="1:21" x14ac:dyDescent="0.25">
      <c r="A20" s="214" t="s">
        <v>5</v>
      </c>
      <c r="B20" s="191">
        <v>2951</v>
      </c>
      <c r="C20" s="215"/>
      <c r="D20" s="61"/>
      <c r="E20" s="61"/>
      <c r="F20" s="61"/>
      <c r="G20" s="61"/>
      <c r="H20" s="61"/>
      <c r="I20" s="61"/>
      <c r="J20" s="61"/>
      <c r="K20" s="61"/>
      <c r="L20" s="61"/>
      <c r="M20" s="61"/>
    </row>
    <row r="21" spans="1:21" x14ac:dyDescent="0.25">
      <c r="A21" s="214" t="s">
        <v>6</v>
      </c>
      <c r="B21" s="191">
        <v>324121</v>
      </c>
      <c r="C21" s="215"/>
      <c r="D21" s="61"/>
      <c r="E21" s="61"/>
      <c r="F21" s="61"/>
      <c r="G21" s="61"/>
      <c r="H21" s="61"/>
      <c r="I21" s="61"/>
      <c r="J21" s="61"/>
      <c r="K21" s="61"/>
      <c r="L21" s="61"/>
      <c r="M21" s="61"/>
    </row>
    <row r="22" spans="1:21" x14ac:dyDescent="0.25">
      <c r="A22" s="214" t="s">
        <v>7</v>
      </c>
      <c r="B22" s="213" t="s">
        <v>154</v>
      </c>
      <c r="C22" s="215"/>
      <c r="D22" s="61"/>
      <c r="E22" s="61"/>
      <c r="F22" s="61"/>
      <c r="G22" s="61"/>
      <c r="H22" s="61"/>
      <c r="I22" s="61"/>
      <c r="J22" s="61"/>
      <c r="K22" s="61"/>
      <c r="L22" s="61"/>
      <c r="M22" s="61"/>
    </row>
    <row r="23" spans="1:21" x14ac:dyDescent="0.25">
      <c r="A23" s="68"/>
      <c r="B23" s="78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</row>
    <row r="24" spans="1:21" x14ac:dyDescent="0.25">
      <c r="A24" s="208" t="s">
        <v>185</v>
      </c>
      <c r="B24" s="16"/>
      <c r="E24" s="61"/>
      <c r="F24" s="61"/>
      <c r="G24" s="61"/>
      <c r="H24" s="61"/>
      <c r="I24" s="61"/>
      <c r="J24" s="61"/>
      <c r="K24" s="61" t="s">
        <v>76</v>
      </c>
      <c r="L24" s="61"/>
      <c r="M24" s="61"/>
    </row>
    <row r="25" spans="1:21" x14ac:dyDescent="0.25">
      <c r="A25" s="208" t="s">
        <v>186</v>
      </c>
      <c r="B25" s="16"/>
      <c r="E25" s="61"/>
      <c r="F25" s="61"/>
      <c r="G25" s="61"/>
      <c r="H25" s="61"/>
      <c r="I25" s="61"/>
      <c r="J25" s="61"/>
      <c r="K25" s="61" t="s">
        <v>77</v>
      </c>
      <c r="L25" s="61"/>
      <c r="M25" s="61"/>
    </row>
    <row r="26" spans="1:21" x14ac:dyDescent="0.25">
      <c r="A26" s="208" t="s">
        <v>200</v>
      </c>
      <c r="B26" s="16"/>
      <c r="E26" s="61"/>
      <c r="F26" s="61"/>
      <c r="G26" s="61"/>
      <c r="H26" s="61"/>
      <c r="I26" s="61"/>
      <c r="J26" s="61"/>
      <c r="L26" s="61"/>
      <c r="M26" s="61"/>
    </row>
    <row r="27" spans="1:21" x14ac:dyDescent="0.25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 t="s">
        <v>189</v>
      </c>
      <c r="L27" s="61"/>
      <c r="M27" s="61"/>
    </row>
    <row r="28" spans="1:21" x14ac:dyDescent="0.25">
      <c r="A28" s="73" t="s">
        <v>241</v>
      </c>
      <c r="B28" s="210"/>
      <c r="C28" s="217"/>
      <c r="D28" s="211"/>
      <c r="E28" s="61"/>
      <c r="F28" s="61"/>
      <c r="G28" s="61"/>
      <c r="H28" s="61"/>
      <c r="I28" s="61"/>
      <c r="J28" s="61"/>
      <c r="K28" s="61" t="s">
        <v>190</v>
      </c>
      <c r="L28" s="61"/>
      <c r="M28" s="61"/>
    </row>
    <row r="29" spans="1:21" x14ac:dyDescent="0.25">
      <c r="A29" s="96" t="s">
        <v>117</v>
      </c>
      <c r="B29" s="61"/>
      <c r="C29" s="74"/>
      <c r="H29" s="74"/>
      <c r="I29" s="74"/>
      <c r="J29" s="74"/>
      <c r="K29" s="61" t="s">
        <v>243</v>
      </c>
      <c r="L29" s="61"/>
      <c r="M29" s="97" t="s">
        <v>118</v>
      </c>
      <c r="N29" s="92" t="s">
        <v>160</v>
      </c>
      <c r="O29" s="93" t="s">
        <v>161</v>
      </c>
    </row>
    <row r="30" spans="1:21" ht="15" customHeight="1" x14ac:dyDescent="0.25">
      <c r="A30" s="222"/>
      <c r="B30" s="193" t="s">
        <v>119</v>
      </c>
      <c r="C30" s="218"/>
      <c r="E30" s="208" t="s">
        <v>256</v>
      </c>
      <c r="F30" s="208"/>
      <c r="G30" s="16"/>
      <c r="H30" s="74"/>
      <c r="M30" s="153" t="s">
        <v>156</v>
      </c>
      <c r="N30" s="164"/>
      <c r="O30" s="165"/>
      <c r="Q30" s="317" t="s">
        <v>264</v>
      </c>
      <c r="R30" s="316"/>
      <c r="S30" s="316"/>
      <c r="T30" s="316"/>
      <c r="U30" s="316"/>
    </row>
    <row r="31" spans="1:21" x14ac:dyDescent="0.25">
      <c r="A31" s="220"/>
      <c r="B31" s="221" t="s">
        <v>144</v>
      </c>
      <c r="C31" s="219"/>
      <c r="E31" s="300" t="s">
        <v>251</v>
      </c>
      <c r="F31" s="300"/>
      <c r="G31" s="301"/>
      <c r="H31" s="23"/>
      <c r="M31" s="153" t="s">
        <v>155</v>
      </c>
      <c r="N31" s="164"/>
      <c r="O31" s="165"/>
      <c r="Q31" s="318" t="s">
        <v>265</v>
      </c>
      <c r="R31" s="316"/>
      <c r="S31" s="316"/>
      <c r="T31" s="316"/>
      <c r="U31" s="316"/>
    </row>
    <row r="32" spans="1:21" ht="27" customHeight="1" x14ac:dyDescent="0.25">
      <c r="A32" s="90"/>
      <c r="B32" s="90"/>
      <c r="C32" s="69"/>
      <c r="E32" s="302" t="s">
        <v>247</v>
      </c>
      <c r="F32" s="303" t="s">
        <v>248</v>
      </c>
      <c r="G32" s="309" t="s">
        <v>259</v>
      </c>
      <c r="H32" s="23"/>
      <c r="M32" s="153" t="s">
        <v>157</v>
      </c>
      <c r="N32" s="16"/>
      <c r="O32" s="16"/>
      <c r="Q32" s="317" t="s">
        <v>266</v>
      </c>
      <c r="R32" s="316"/>
      <c r="S32" s="316"/>
      <c r="T32" s="316"/>
      <c r="U32" s="316"/>
    </row>
    <row r="33" spans="4:21" ht="15" hidden="1" customHeight="1" x14ac:dyDescent="0.25">
      <c r="E33" s="304" t="s">
        <v>249</v>
      </c>
      <c r="F33" s="306"/>
      <c r="G33" s="306"/>
      <c r="H33" s="23"/>
      <c r="M33" s="153" t="s">
        <v>158</v>
      </c>
      <c r="N33" s="16"/>
      <c r="O33" s="16"/>
      <c r="Q33" s="316"/>
      <c r="R33" s="316"/>
      <c r="S33" s="316"/>
      <c r="T33" s="316"/>
      <c r="U33" s="316"/>
    </row>
    <row r="34" spans="4:21" x14ac:dyDescent="0.25">
      <c r="E34" s="304" t="s">
        <v>249</v>
      </c>
      <c r="F34" s="306"/>
      <c r="G34" s="306"/>
      <c r="H34" s="23"/>
      <c r="I34" s="185"/>
      <c r="J34" s="185"/>
      <c r="K34" s="185"/>
      <c r="L34" s="185"/>
      <c r="M34" s="89" t="s">
        <v>159</v>
      </c>
      <c r="N34" s="16"/>
      <c r="O34" s="16"/>
      <c r="Q34" s="317" t="s">
        <v>267</v>
      </c>
    </row>
    <row r="35" spans="4:21" x14ac:dyDescent="0.25">
      <c r="D35" s="69"/>
      <c r="E35" s="304" t="s">
        <v>156</v>
      </c>
      <c r="F35" s="306"/>
      <c r="G35" s="306"/>
      <c r="H35" s="23"/>
      <c r="I35" s="23"/>
      <c r="J35" s="23"/>
      <c r="K35" s="61" t="s">
        <v>187</v>
      </c>
    </row>
    <row r="36" spans="4:21" x14ac:dyDescent="0.25">
      <c r="D36" s="23"/>
      <c r="E36" s="305" t="s">
        <v>250</v>
      </c>
      <c r="F36" s="306"/>
      <c r="G36" s="306"/>
      <c r="H36" s="23"/>
      <c r="I36" s="69"/>
      <c r="J36" s="61"/>
      <c r="K36" s="61" t="s">
        <v>188</v>
      </c>
    </row>
    <row r="37" spans="4:21" x14ac:dyDescent="0.25">
      <c r="E37" s="305" t="s">
        <v>155</v>
      </c>
      <c r="F37" s="306"/>
      <c r="G37" s="306"/>
    </row>
    <row r="38" spans="4:21" x14ac:dyDescent="0.25">
      <c r="E38" s="305" t="s">
        <v>157</v>
      </c>
      <c r="F38" s="306"/>
      <c r="G38" s="306"/>
    </row>
    <row r="39" spans="4:21" x14ac:dyDescent="0.25">
      <c r="E39" s="305" t="s">
        <v>159</v>
      </c>
      <c r="F39" s="306"/>
      <c r="G39" s="306"/>
    </row>
  </sheetData>
  <sheetProtection algorithmName="SHA-512" hashValue="1WSSdNd/u1MHV6d7k2mTagrO4ImmuAQAK3pCfhM7b1uQ0toFtEjxSTI8pshTeO5qNxyyDDsEVjaUW2TSd0HoRQ==" saltValue="rj2N5PYf7bIW7iMbFmaIRg==" spinCount="100000" sheet="1"/>
  <dataConsolidate/>
  <conditionalFormatting sqref="E31:G32 E33:E36">
    <cfRule type="expression" dxfId="14" priority="9" stopIfTrue="1">
      <formula>$G$30="yes"</formula>
    </cfRule>
  </conditionalFormatting>
  <conditionalFormatting sqref="F39:G39 F33:G33 F35:G36">
    <cfRule type="expression" dxfId="13" priority="8" stopIfTrue="1">
      <formula>$G$30="yes"</formula>
    </cfRule>
  </conditionalFormatting>
  <conditionalFormatting sqref="E37">
    <cfRule type="expression" dxfId="12" priority="7" stopIfTrue="1">
      <formula>$G$30="yes"</formula>
    </cfRule>
  </conditionalFormatting>
  <conditionalFormatting sqref="F37:G37">
    <cfRule type="expression" dxfId="11" priority="6" stopIfTrue="1">
      <formula>$G$30="yes"</formula>
    </cfRule>
  </conditionalFormatting>
  <conditionalFormatting sqref="E38">
    <cfRule type="expression" dxfId="10" priority="5" stopIfTrue="1">
      <formula>$G$30="yes"</formula>
    </cfRule>
  </conditionalFormatting>
  <conditionalFormatting sqref="F38:G38">
    <cfRule type="expression" dxfId="9" priority="4" stopIfTrue="1">
      <formula>$G$30="yes"</formula>
    </cfRule>
  </conditionalFormatting>
  <conditionalFormatting sqref="E39">
    <cfRule type="expression" dxfId="8" priority="3" stopIfTrue="1">
      <formula>$G$30="yes"</formula>
    </cfRule>
  </conditionalFormatting>
  <conditionalFormatting sqref="F34:G34">
    <cfRule type="expression" dxfId="7" priority="1" stopIfTrue="1">
      <formula>$G$30="yes"</formula>
    </cfRule>
  </conditionalFormatting>
  <dataValidations count="6">
    <dataValidation type="list" allowBlank="1" showInputMessage="1" showErrorMessage="1" sqref="K15:K16" xr:uid="{00000000-0002-0000-0000-000000000000}">
      <formula1>Employ</formula1>
    </dataValidation>
    <dataValidation type="list" allowBlank="1" showInputMessage="1" showErrorMessage="1" sqref="B26 G30" xr:uid="{00000000-0002-0000-0000-000001000000}">
      <formula1>yn</formula1>
    </dataValidation>
    <dataValidation type="list" allowBlank="1" showInputMessage="1" showErrorMessage="1" sqref="B25" xr:uid="{00000000-0002-0000-0000-000002000000}">
      <formula1>FuelTypes</formula1>
    </dataValidation>
    <dataValidation type="list" allowBlank="1" showInputMessage="1" showErrorMessage="1" sqref="B24" xr:uid="{00000000-0002-0000-0000-000003000000}">
      <formula1>Plants</formula1>
    </dataValidation>
    <dataValidation type="list" allowBlank="1" showInputMessage="1" showErrorMessage="1" sqref="G4" xr:uid="{00000000-0002-0000-0000-000004000000}">
      <formula1>NoEmploy</formula1>
    </dataValidation>
    <dataValidation type="list" allowBlank="1" showInputMessage="1" showErrorMessage="1" sqref="B4" xr:uid="{00000000-0002-0000-0000-000005000000}">
      <formula1>Submit</formula1>
    </dataValidation>
  </dataValidations>
  <pageMargins left="0.25" right="0.25" top="0.75" bottom="0.75" header="0.3" footer="0.3"/>
  <pageSetup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73"/>
  <sheetViews>
    <sheetView topLeftCell="B1" zoomScaleNormal="100" workbookViewId="0">
      <selection activeCell="B1" sqref="B1"/>
    </sheetView>
  </sheetViews>
  <sheetFormatPr defaultRowHeight="15" x14ac:dyDescent="0.25"/>
  <cols>
    <col min="1" max="1" width="10" style="18" hidden="1" customWidth="1"/>
    <col min="2" max="2" width="9" style="18" customWidth="1"/>
    <col min="3" max="3" width="35.28515625" style="18" customWidth="1"/>
    <col min="4" max="4" width="12.140625" style="18" customWidth="1"/>
    <col min="5" max="5" width="11.28515625" style="18" customWidth="1"/>
    <col min="6" max="6" width="12.42578125" style="18" customWidth="1"/>
    <col min="7" max="7" width="26" style="19" customWidth="1"/>
    <col min="8" max="8" width="28.140625" style="18" customWidth="1"/>
    <col min="9" max="9" width="22.42578125" style="18" customWidth="1"/>
    <col min="10" max="10" width="15.5703125" style="18" customWidth="1"/>
    <col min="11" max="11" width="18.85546875" style="18" customWidth="1"/>
    <col min="12" max="16384" width="9.140625" style="18"/>
  </cols>
  <sheetData>
    <row r="1" spans="1:10" ht="18.75" x14ac:dyDescent="0.3">
      <c r="B1" s="252" t="s">
        <v>138</v>
      </c>
      <c r="C1" s="252"/>
    </row>
    <row r="2" spans="1:10" s="25" customFormat="1" x14ac:dyDescent="0.25">
      <c r="B2" s="251" t="s">
        <v>74</v>
      </c>
      <c r="C2" s="251"/>
      <c r="D2" s="251"/>
      <c r="E2" s="28"/>
      <c r="F2" s="28"/>
      <c r="G2" s="26"/>
    </row>
    <row r="3" spans="1:10" s="25" customFormat="1" ht="15" customHeight="1" x14ac:dyDescent="0.25">
      <c r="B3" s="28"/>
      <c r="C3" s="199" t="s">
        <v>83</v>
      </c>
      <c r="D3" s="199"/>
      <c r="E3" s="199"/>
      <c r="F3" s="199"/>
      <c r="G3" s="199"/>
      <c r="H3" s="199"/>
      <c r="I3" s="199"/>
      <c r="J3" s="199"/>
    </row>
    <row r="4" spans="1:10" ht="15.75" x14ac:dyDescent="0.25">
      <c r="B4" s="321" t="s">
        <v>174</v>
      </c>
    </row>
    <row r="5" spans="1:10" ht="31.5" customHeight="1" x14ac:dyDescent="0.25">
      <c r="B5" s="250" t="s">
        <v>9</v>
      </c>
      <c r="C5" s="249" t="s">
        <v>50</v>
      </c>
      <c r="D5" s="249" t="s">
        <v>78</v>
      </c>
      <c r="E5" s="249" t="s">
        <v>79</v>
      </c>
      <c r="F5" s="249" t="s">
        <v>80</v>
      </c>
      <c r="G5" s="249" t="s">
        <v>175</v>
      </c>
      <c r="H5" s="249" t="str">
        <f>'Facility Information'!G5&amp;" Annual Throughput (tons/yr)"</f>
        <v xml:space="preserve"> Annual Throughput (tons/yr)</v>
      </c>
    </row>
    <row r="6" spans="1:10" x14ac:dyDescent="0.25">
      <c r="A6" s="6"/>
      <c r="B6" s="21"/>
      <c r="C6" s="91" t="str">
        <f>IF('Facility Information'!B24="","",'Facility Information'!B24 &amp; " - "&amp;'Facility Information'!B25)</f>
        <v/>
      </c>
      <c r="D6" s="17"/>
      <c r="E6" s="17"/>
      <c r="F6" s="17"/>
      <c r="G6" s="21"/>
      <c r="H6" s="22"/>
      <c r="I6" s="115"/>
      <c r="J6" s="95"/>
    </row>
    <row r="7" spans="1:10" x14ac:dyDescent="0.25">
      <c r="A7" s="6"/>
      <c r="B7" s="136"/>
      <c r="C7" s="23"/>
      <c r="D7" s="23"/>
      <c r="E7" s="23"/>
      <c r="F7" s="23"/>
      <c r="G7" s="136"/>
      <c r="H7" s="183"/>
      <c r="I7" s="156"/>
      <c r="J7" s="156"/>
    </row>
    <row r="8" spans="1:10" s="23" customFormat="1" ht="15.75" x14ac:dyDescent="0.25">
      <c r="B8" s="321" t="s">
        <v>184</v>
      </c>
      <c r="G8" s="136"/>
      <c r="H8" s="183"/>
      <c r="I8" s="94"/>
      <c r="J8" s="94"/>
    </row>
    <row r="9" spans="1:10" s="23" customFormat="1" ht="31.5" customHeight="1" x14ac:dyDescent="0.25">
      <c r="A9" s="23" t="str">
        <f>IF('Facility Information'!B25="","",IF('Facility Information'!B25="Natural Gas","MMCF","gallons"))</f>
        <v/>
      </c>
      <c r="B9" s="250" t="s">
        <v>9</v>
      </c>
      <c r="C9" s="249" t="s">
        <v>50</v>
      </c>
      <c r="D9" s="249" t="s">
        <v>78</v>
      </c>
      <c r="E9" s="249" t="s">
        <v>79</v>
      </c>
      <c r="F9" s="249" t="s">
        <v>80</v>
      </c>
      <c r="G9" s="249" t="str">
        <f>"Maximum Hourly Capacity (" &amp; A9 &amp; "/hr)"</f>
        <v>Maximum Hourly Capacity (/hr)</v>
      </c>
      <c r="H9" s="249" t="str">
        <f>'Facility Information'!G5&amp;" Annual Throughput (" &amp; A9 &amp; "/yr)"</f>
        <v xml:space="preserve"> Annual Throughput (/yr)</v>
      </c>
      <c r="I9" s="94"/>
      <c r="J9" s="94"/>
    </row>
    <row r="10" spans="1:10" ht="15" customHeight="1" x14ac:dyDescent="0.25">
      <c r="A10" s="6"/>
      <c r="B10" s="21"/>
      <c r="C10" s="91" t="str">
        <f>IF('Facility Information'!B25="","",'Facility Information'!B25 &amp; " Fired Heater")</f>
        <v/>
      </c>
      <c r="D10" s="17"/>
      <c r="E10" s="17"/>
      <c r="F10" s="17"/>
      <c r="G10" s="21"/>
      <c r="H10" s="22"/>
      <c r="I10" s="115"/>
      <c r="J10" s="95"/>
    </row>
    <row r="11" spans="1:10" s="23" customFormat="1" x14ac:dyDescent="0.25">
      <c r="B11" s="136"/>
      <c r="G11" s="136"/>
      <c r="H11" s="183"/>
      <c r="I11" s="94"/>
      <c r="J11" s="94"/>
    </row>
    <row r="12" spans="1:10" s="23" customFormat="1" ht="15.75" x14ac:dyDescent="0.25">
      <c r="B12" s="321" t="s">
        <v>191</v>
      </c>
      <c r="G12" s="136"/>
      <c r="H12" s="183"/>
      <c r="I12" s="94"/>
      <c r="J12" s="94"/>
    </row>
    <row r="13" spans="1:10" s="23" customFormat="1" ht="31.5" customHeight="1" x14ac:dyDescent="0.25">
      <c r="B13" s="250" t="s">
        <v>9</v>
      </c>
      <c r="C13" s="249" t="s">
        <v>50</v>
      </c>
      <c r="D13" s="249" t="s">
        <v>78</v>
      </c>
      <c r="E13" s="249" t="s">
        <v>79</v>
      </c>
      <c r="F13" s="249" t="s">
        <v>80</v>
      </c>
      <c r="G13" s="249" t="s">
        <v>175</v>
      </c>
      <c r="H13" s="249" t="str">
        <f>'Facility Information'!G5&amp;" Annual Throughput (tons/yr)"</f>
        <v xml:space="preserve"> Annual Throughput (tons/yr)</v>
      </c>
      <c r="I13" s="253" t="s">
        <v>192</v>
      </c>
      <c r="J13" s="94"/>
    </row>
    <row r="14" spans="1:10" x14ac:dyDescent="0.25">
      <c r="A14" s="6" t="s">
        <v>172</v>
      </c>
      <c r="B14" s="21"/>
      <c r="C14" s="91" t="s">
        <v>172</v>
      </c>
      <c r="D14" s="17"/>
      <c r="E14" s="17"/>
      <c r="F14" s="17"/>
      <c r="G14" s="21"/>
      <c r="H14" s="22"/>
      <c r="I14" s="166"/>
      <c r="J14" s="95"/>
    </row>
    <row r="15" spans="1:10" x14ac:dyDescent="0.25">
      <c r="A15" s="6" t="s">
        <v>171</v>
      </c>
      <c r="B15" s="21"/>
      <c r="C15" s="91" t="s">
        <v>171</v>
      </c>
      <c r="D15" s="17"/>
      <c r="E15" s="17"/>
      <c r="F15" s="17"/>
      <c r="G15" s="21"/>
      <c r="H15" s="22"/>
      <c r="I15" s="166"/>
      <c r="J15" s="95"/>
    </row>
    <row r="16" spans="1:10" x14ac:dyDescent="0.25">
      <c r="A16" s="6" t="s">
        <v>169</v>
      </c>
      <c r="B16" s="21"/>
      <c r="C16" s="91" t="s">
        <v>169</v>
      </c>
      <c r="D16" s="17"/>
      <c r="E16" s="17"/>
      <c r="F16" s="17"/>
      <c r="G16" s="21"/>
      <c r="H16" s="22"/>
      <c r="I16" s="21"/>
      <c r="J16" s="95"/>
    </row>
    <row r="17" spans="1:11" x14ac:dyDescent="0.25">
      <c r="A17" s="6"/>
    </row>
    <row r="18" spans="1:11" ht="15.75" x14ac:dyDescent="0.25">
      <c r="A18" s="6"/>
      <c r="B18" s="321" t="s">
        <v>81</v>
      </c>
    </row>
    <row r="19" spans="1:11" ht="45.75" customHeight="1" x14ac:dyDescent="0.25">
      <c r="A19" s="6"/>
      <c r="B19" s="250" t="s">
        <v>9</v>
      </c>
      <c r="C19" s="249" t="s">
        <v>50</v>
      </c>
      <c r="D19" s="249" t="s">
        <v>78</v>
      </c>
      <c r="E19" s="249" t="s">
        <v>79</v>
      </c>
      <c r="F19" s="249" t="s">
        <v>80</v>
      </c>
      <c r="G19" s="249" t="s">
        <v>235</v>
      </c>
      <c r="H19" s="249" t="s">
        <v>236</v>
      </c>
      <c r="I19" s="249" t="s">
        <v>252</v>
      </c>
    </row>
    <row r="20" spans="1:11" x14ac:dyDescent="0.25">
      <c r="A20" s="6"/>
      <c r="B20" s="21"/>
      <c r="C20" s="91" t="s">
        <v>82</v>
      </c>
      <c r="D20" s="17"/>
      <c r="E20" s="17"/>
      <c r="F20" s="17"/>
      <c r="G20" s="21"/>
      <c r="H20" s="22"/>
      <c r="I20" s="255"/>
    </row>
    <row r="21" spans="1:11" x14ac:dyDescent="0.25">
      <c r="A21" s="6"/>
    </row>
    <row r="22" spans="1:11" ht="15.75" x14ac:dyDescent="0.25">
      <c r="A22" s="24"/>
      <c r="B22" s="321" t="s">
        <v>110</v>
      </c>
    </row>
    <row r="23" spans="1:11" ht="15" customHeight="1" x14ac:dyDescent="0.25">
      <c r="G23" s="258" t="s">
        <v>253</v>
      </c>
      <c r="H23" s="257"/>
      <c r="I23" s="258" t="s">
        <v>254</v>
      </c>
      <c r="J23" s="259"/>
    </row>
    <row r="24" spans="1:11" ht="27.75" customHeight="1" x14ac:dyDescent="0.25">
      <c r="B24" s="250" t="s">
        <v>9</v>
      </c>
      <c r="C24" s="249" t="s">
        <v>50</v>
      </c>
      <c r="D24" s="249" t="s">
        <v>78</v>
      </c>
      <c r="E24" s="249" t="s">
        <v>79</v>
      </c>
      <c r="F24" s="249" t="s">
        <v>80</v>
      </c>
      <c r="G24" s="154" t="s">
        <v>54</v>
      </c>
      <c r="H24" s="154" t="s">
        <v>55</v>
      </c>
      <c r="I24" s="157" t="s">
        <v>56</v>
      </c>
      <c r="J24" s="157" t="s">
        <v>57</v>
      </c>
      <c r="K24" s="260" t="s">
        <v>70</v>
      </c>
    </row>
    <row r="25" spans="1:11" x14ac:dyDescent="0.25">
      <c r="B25" s="21"/>
      <c r="C25" s="100" t="s">
        <v>201</v>
      </c>
      <c r="D25" s="17"/>
      <c r="E25" s="17"/>
      <c r="F25" s="17"/>
      <c r="G25" s="21"/>
      <c r="H25" s="58"/>
      <c r="I25" s="71"/>
      <c r="J25" s="71"/>
      <c r="K25" s="21"/>
    </row>
    <row r="26" spans="1:11" ht="5.25" customHeight="1" x14ac:dyDescent="0.25"/>
    <row r="27" spans="1:11" ht="15" customHeight="1" x14ac:dyDescent="0.25">
      <c r="C27" s="262" t="s">
        <v>58</v>
      </c>
      <c r="D27" s="37"/>
      <c r="E27" s="101" t="s">
        <v>59</v>
      </c>
      <c r="F27" s="36"/>
      <c r="G27" s="36"/>
      <c r="H27" s="36"/>
      <c r="I27" s="27"/>
    </row>
    <row r="28" spans="1:11" ht="15" customHeight="1" x14ac:dyDescent="0.25">
      <c r="C28" s="262" t="s">
        <v>60</v>
      </c>
      <c r="D28" s="31" t="str">
        <f>IF(G25="","",G25*D27+H25*(1-D27))</f>
        <v/>
      </c>
      <c r="E28" s="101" t="s">
        <v>61</v>
      </c>
      <c r="F28" s="36"/>
      <c r="G28" s="36"/>
      <c r="H28" s="36"/>
      <c r="I28" s="27"/>
    </row>
    <row r="29" spans="1:11" ht="15" customHeight="1" x14ac:dyDescent="0.25">
      <c r="C29" s="262" t="s">
        <v>62</v>
      </c>
      <c r="D29" s="32" t="str">
        <f>IF(G25="","",H25-G25)</f>
        <v/>
      </c>
      <c r="E29" s="101" t="s">
        <v>63</v>
      </c>
      <c r="F29" s="36"/>
      <c r="G29" s="36"/>
      <c r="H29" s="36"/>
      <c r="I29" s="27"/>
    </row>
    <row r="30" spans="1:11" x14ac:dyDescent="0.25">
      <c r="C30" s="195" t="s">
        <v>64</v>
      </c>
      <c r="D30" s="33" t="str">
        <f>IF(G25="","",I25/D29)</f>
        <v/>
      </c>
      <c r="E30" s="261" t="s">
        <v>65</v>
      </c>
      <c r="F30" s="29"/>
      <c r="G30" s="29"/>
      <c r="H30" s="29"/>
      <c r="I30" s="29"/>
    </row>
    <row r="31" spans="1:11" x14ac:dyDescent="0.25">
      <c r="C31" s="195" t="s">
        <v>66</v>
      </c>
      <c r="D31" s="33" t="str">
        <f>IF(G25="","",J25/D29)</f>
        <v/>
      </c>
      <c r="E31" s="261" t="s">
        <v>67</v>
      </c>
      <c r="F31" s="29"/>
      <c r="G31" s="29"/>
      <c r="H31" s="29"/>
      <c r="I31" s="29"/>
    </row>
    <row r="32" spans="1:11" ht="15" customHeight="1" x14ac:dyDescent="0.25">
      <c r="C32" s="263" t="s">
        <v>68</v>
      </c>
      <c r="D32" s="34">
        <v>10</v>
      </c>
      <c r="E32" s="101" t="s">
        <v>242</v>
      </c>
      <c r="F32" s="36"/>
      <c r="G32" s="36"/>
      <c r="H32" s="36"/>
      <c r="I32" s="36"/>
      <c r="J32" s="36"/>
    </row>
    <row r="33" spans="1:11" x14ac:dyDescent="0.25">
      <c r="C33" s="49" t="s">
        <v>75</v>
      </c>
      <c r="D33" s="99">
        <v>100</v>
      </c>
      <c r="E33" s="102" t="s">
        <v>148</v>
      </c>
      <c r="F33" s="30"/>
      <c r="G33" s="30"/>
      <c r="H33" s="30"/>
      <c r="I33" s="30"/>
    </row>
    <row r="34" spans="1:11" x14ac:dyDescent="0.25">
      <c r="A34" s="18" t="s">
        <v>121</v>
      </c>
      <c r="B34" s="49"/>
      <c r="C34" s="49" t="s">
        <v>120</v>
      </c>
      <c r="D34" s="35"/>
      <c r="E34" s="48" t="s">
        <v>127</v>
      </c>
      <c r="F34" s="48"/>
      <c r="G34" s="48"/>
      <c r="H34" s="30"/>
      <c r="I34" s="30"/>
    </row>
    <row r="35" spans="1:11" ht="9.75" customHeight="1" x14ac:dyDescent="0.25">
      <c r="B35" s="49"/>
      <c r="C35" s="49"/>
      <c r="D35" s="184"/>
      <c r="E35" s="48"/>
      <c r="F35" s="48"/>
      <c r="G35" s="48"/>
      <c r="H35" s="30"/>
      <c r="I35" s="30"/>
    </row>
    <row r="36" spans="1:11" ht="15" customHeight="1" x14ac:dyDescent="0.25">
      <c r="G36" s="258" t="s">
        <v>253</v>
      </c>
      <c r="H36" s="257"/>
      <c r="I36" s="258" t="s">
        <v>254</v>
      </c>
      <c r="J36" s="259"/>
    </row>
    <row r="37" spans="1:11" ht="26.25" customHeight="1" x14ac:dyDescent="0.25">
      <c r="B37" s="250" t="s">
        <v>9</v>
      </c>
      <c r="C37" s="249" t="s">
        <v>50</v>
      </c>
      <c r="D37" s="249" t="s">
        <v>78</v>
      </c>
      <c r="E37" s="249" t="s">
        <v>79</v>
      </c>
      <c r="F37" s="249" t="s">
        <v>80</v>
      </c>
      <c r="G37" s="194" t="s">
        <v>54</v>
      </c>
      <c r="H37" s="194" t="s">
        <v>55</v>
      </c>
      <c r="I37" s="198" t="s">
        <v>56</v>
      </c>
      <c r="J37" s="198" t="s">
        <v>57</v>
      </c>
      <c r="K37" s="260" t="s">
        <v>70</v>
      </c>
    </row>
    <row r="38" spans="1:11" x14ac:dyDescent="0.25">
      <c r="B38" s="21"/>
      <c r="C38" s="100" t="s">
        <v>202</v>
      </c>
      <c r="D38" s="17"/>
      <c r="E38" s="17"/>
      <c r="F38" s="17"/>
      <c r="G38" s="21"/>
      <c r="H38" s="58"/>
      <c r="I38" s="71"/>
      <c r="J38" s="71"/>
      <c r="K38" s="21"/>
    </row>
    <row r="39" spans="1:11" ht="6" customHeight="1" x14ac:dyDescent="0.25"/>
    <row r="40" spans="1:11" ht="15" customHeight="1" x14ac:dyDescent="0.25">
      <c r="C40" s="262" t="s">
        <v>58</v>
      </c>
      <c r="D40" s="37"/>
      <c r="E40" s="101" t="s">
        <v>59</v>
      </c>
      <c r="F40" s="36"/>
      <c r="G40" s="36"/>
      <c r="H40" s="36"/>
      <c r="I40" s="36"/>
    </row>
    <row r="41" spans="1:11" ht="15" customHeight="1" x14ac:dyDescent="0.25">
      <c r="C41" s="262" t="s">
        <v>60</v>
      </c>
      <c r="D41" s="31" t="str">
        <f>IF(G38="","",G38*D40+H38*(1-D40))</f>
        <v/>
      </c>
      <c r="E41" s="101" t="s">
        <v>61</v>
      </c>
      <c r="F41" s="36"/>
      <c r="G41" s="36"/>
      <c r="H41" s="36"/>
      <c r="I41" s="197"/>
    </row>
    <row r="42" spans="1:11" ht="15" customHeight="1" x14ac:dyDescent="0.25">
      <c r="C42" s="262" t="s">
        <v>62</v>
      </c>
      <c r="D42" s="32" t="str">
        <f>IF(G38="","",H38-G38)</f>
        <v/>
      </c>
      <c r="E42" s="101" t="s">
        <v>63</v>
      </c>
      <c r="F42" s="36"/>
      <c r="G42" s="36"/>
      <c r="H42" s="36"/>
      <c r="I42" s="197"/>
    </row>
    <row r="43" spans="1:11" x14ac:dyDescent="0.25">
      <c r="C43" s="195" t="s">
        <v>64</v>
      </c>
      <c r="D43" s="33" t="str">
        <f>IF(G38="","",I38/D42)</f>
        <v/>
      </c>
      <c r="E43" s="261" t="s">
        <v>65</v>
      </c>
      <c r="F43" s="29"/>
      <c r="G43" s="29"/>
      <c r="H43" s="29"/>
      <c r="I43" s="98"/>
    </row>
    <row r="44" spans="1:11" x14ac:dyDescent="0.25">
      <c r="C44" s="195" t="s">
        <v>66</v>
      </c>
      <c r="D44" s="33" t="str">
        <f>IF(G38="","",J38/D42)</f>
        <v/>
      </c>
      <c r="E44" s="261" t="s">
        <v>67</v>
      </c>
      <c r="F44" s="29"/>
      <c r="G44" s="29"/>
      <c r="H44" s="98"/>
      <c r="I44" s="98"/>
    </row>
    <row r="45" spans="1:11" ht="15" customHeight="1" x14ac:dyDescent="0.25">
      <c r="C45" s="263" t="s">
        <v>68</v>
      </c>
      <c r="D45" s="34">
        <v>10</v>
      </c>
      <c r="E45" s="101" t="s">
        <v>242</v>
      </c>
      <c r="F45" s="36"/>
      <c r="G45" s="36"/>
      <c r="H45" s="36"/>
      <c r="I45" s="36"/>
      <c r="J45" s="36"/>
    </row>
    <row r="46" spans="1:11" x14ac:dyDescent="0.25">
      <c r="C46" s="49" t="s">
        <v>75</v>
      </c>
      <c r="D46" s="35">
        <v>100</v>
      </c>
      <c r="E46" s="102" t="s">
        <v>148</v>
      </c>
      <c r="F46" s="264"/>
      <c r="G46" s="264"/>
      <c r="H46" s="264"/>
      <c r="I46" s="48"/>
    </row>
    <row r="47" spans="1:11" x14ac:dyDescent="0.25">
      <c r="A47" s="18" t="s">
        <v>121</v>
      </c>
      <c r="B47" s="49"/>
      <c r="C47" s="49" t="s">
        <v>120</v>
      </c>
      <c r="D47" s="35"/>
      <c r="E47" s="48" t="s">
        <v>127</v>
      </c>
      <c r="F47" s="48"/>
      <c r="G47" s="48"/>
      <c r="H47" s="30"/>
      <c r="I47" s="30"/>
    </row>
    <row r="48" spans="1:11" ht="9" customHeight="1" x14ac:dyDescent="0.25">
      <c r="A48" s="18" t="s">
        <v>77</v>
      </c>
    </row>
    <row r="49" spans="1:11" ht="15.75" x14ac:dyDescent="0.25">
      <c r="B49" s="321" t="s">
        <v>147</v>
      </c>
    </row>
    <row r="50" spans="1:11" ht="15" customHeight="1" x14ac:dyDescent="0.25">
      <c r="G50" s="258" t="s">
        <v>253</v>
      </c>
      <c r="H50" s="257"/>
      <c r="I50" s="258" t="s">
        <v>254</v>
      </c>
      <c r="J50" s="259"/>
    </row>
    <row r="51" spans="1:11" ht="27.75" customHeight="1" x14ac:dyDescent="0.25">
      <c r="B51" s="250" t="s">
        <v>9</v>
      </c>
      <c r="C51" s="249" t="s">
        <v>50</v>
      </c>
      <c r="D51" s="249" t="s">
        <v>78</v>
      </c>
      <c r="E51" s="249" t="s">
        <v>79</v>
      </c>
      <c r="F51" s="249" t="s">
        <v>80</v>
      </c>
      <c r="G51" s="194" t="s">
        <v>54</v>
      </c>
      <c r="H51" s="194" t="s">
        <v>55</v>
      </c>
      <c r="I51" s="198" t="s">
        <v>56</v>
      </c>
      <c r="J51" s="198" t="s">
        <v>57</v>
      </c>
      <c r="K51" s="260" t="s">
        <v>70</v>
      </c>
    </row>
    <row r="52" spans="1:11" x14ac:dyDescent="0.25">
      <c r="B52" s="21"/>
      <c r="C52" s="100" t="s">
        <v>203</v>
      </c>
      <c r="D52" s="17"/>
      <c r="E52" s="17"/>
      <c r="F52" s="17"/>
      <c r="G52" s="21"/>
      <c r="H52" s="58"/>
      <c r="I52" s="71"/>
      <c r="J52" s="71"/>
      <c r="K52" s="21"/>
    </row>
    <row r="53" spans="1:11" ht="7.5" customHeight="1" x14ac:dyDescent="0.25"/>
    <row r="54" spans="1:11" ht="15" customHeight="1" x14ac:dyDescent="0.25">
      <c r="C54" s="262" t="s">
        <v>58</v>
      </c>
      <c r="D54" s="37"/>
      <c r="E54" s="101" t="s">
        <v>59</v>
      </c>
      <c r="F54" s="36"/>
      <c r="G54" s="36"/>
      <c r="H54" s="36"/>
      <c r="I54" s="197"/>
    </row>
    <row r="55" spans="1:11" ht="15" customHeight="1" x14ac:dyDescent="0.25">
      <c r="C55" s="262" t="s">
        <v>60</v>
      </c>
      <c r="D55" s="31" t="str">
        <f>IF(G52="","",G52*D54+H52*(1-D54))</f>
        <v/>
      </c>
      <c r="E55" s="101" t="s">
        <v>61</v>
      </c>
      <c r="F55" s="36"/>
      <c r="G55" s="36"/>
      <c r="H55" s="36"/>
      <c r="I55" s="197"/>
    </row>
    <row r="56" spans="1:11" ht="15" customHeight="1" x14ac:dyDescent="0.25">
      <c r="C56" s="262" t="s">
        <v>62</v>
      </c>
      <c r="D56" s="32" t="str">
        <f>IF(G52="","",H52-G52)</f>
        <v/>
      </c>
      <c r="E56" s="101" t="s">
        <v>63</v>
      </c>
      <c r="F56" s="36"/>
      <c r="G56" s="36"/>
      <c r="H56" s="36"/>
      <c r="I56" s="197"/>
    </row>
    <row r="57" spans="1:11" x14ac:dyDescent="0.25">
      <c r="C57" s="195" t="s">
        <v>64</v>
      </c>
      <c r="D57" s="33" t="str">
        <f>IF(G52="","",I52/D56)</f>
        <v/>
      </c>
      <c r="E57" s="261" t="s">
        <v>65</v>
      </c>
      <c r="F57" s="29"/>
      <c r="G57" s="29"/>
      <c r="H57" s="29"/>
      <c r="I57" s="98"/>
    </row>
    <row r="58" spans="1:11" x14ac:dyDescent="0.25">
      <c r="C58" s="195" t="s">
        <v>66</v>
      </c>
      <c r="D58" s="33" t="str">
        <f>IF(G52="","",J52/D56)</f>
        <v/>
      </c>
      <c r="E58" s="261" t="s">
        <v>67</v>
      </c>
      <c r="F58" s="29"/>
      <c r="G58" s="29"/>
      <c r="H58" s="98"/>
      <c r="I58" s="98"/>
    </row>
    <row r="59" spans="1:11" ht="15" customHeight="1" x14ac:dyDescent="0.25">
      <c r="C59" s="263" t="s">
        <v>68</v>
      </c>
      <c r="D59" s="34">
        <v>8.1999999999999993</v>
      </c>
      <c r="E59" s="101" t="s">
        <v>244</v>
      </c>
      <c r="F59" s="36"/>
      <c r="G59" s="36"/>
      <c r="H59" s="36"/>
      <c r="I59" s="36"/>
      <c r="J59" s="36"/>
    </row>
    <row r="60" spans="1:11" ht="15" customHeight="1" x14ac:dyDescent="0.25">
      <c r="C60" s="49" t="s">
        <v>75</v>
      </c>
      <c r="D60" s="35">
        <v>100</v>
      </c>
      <c r="E60" s="102" t="s">
        <v>148</v>
      </c>
      <c r="F60" s="264"/>
      <c r="G60" s="264"/>
      <c r="H60" s="264"/>
      <c r="I60" s="48"/>
    </row>
    <row r="61" spans="1:11" ht="8.25" customHeight="1" x14ac:dyDescent="0.25">
      <c r="A61" s="6" t="s">
        <v>89</v>
      </c>
    </row>
    <row r="62" spans="1:11" ht="15" customHeight="1" x14ac:dyDescent="0.25">
      <c r="G62" s="258" t="s">
        <v>253</v>
      </c>
      <c r="H62" s="257"/>
      <c r="I62" s="258" t="s">
        <v>254</v>
      </c>
      <c r="J62" s="259"/>
    </row>
    <row r="63" spans="1:11" ht="27.75" customHeight="1" x14ac:dyDescent="0.25">
      <c r="B63" s="250" t="s">
        <v>9</v>
      </c>
      <c r="C63" s="249" t="s">
        <v>50</v>
      </c>
      <c r="D63" s="249" t="s">
        <v>78</v>
      </c>
      <c r="E63" s="249" t="s">
        <v>79</v>
      </c>
      <c r="F63" s="249" t="s">
        <v>80</v>
      </c>
      <c r="G63" s="194" t="s">
        <v>54</v>
      </c>
      <c r="H63" s="194" t="s">
        <v>55</v>
      </c>
      <c r="I63" s="198" t="s">
        <v>56</v>
      </c>
      <c r="J63" s="198" t="s">
        <v>57</v>
      </c>
      <c r="K63" s="260" t="s">
        <v>70</v>
      </c>
    </row>
    <row r="64" spans="1:11" x14ac:dyDescent="0.25">
      <c r="B64" s="21"/>
      <c r="C64" s="100" t="s">
        <v>204</v>
      </c>
      <c r="D64" s="17"/>
      <c r="E64" s="17"/>
      <c r="F64" s="17"/>
      <c r="G64" s="21"/>
      <c r="H64" s="58"/>
      <c r="I64" s="71"/>
      <c r="J64" s="71"/>
      <c r="K64" s="21"/>
    </row>
    <row r="65" spans="1:10" ht="6" customHeight="1" x14ac:dyDescent="0.25"/>
    <row r="66" spans="1:10" ht="15" customHeight="1" x14ac:dyDescent="0.25">
      <c r="C66" s="262" t="s">
        <v>58</v>
      </c>
      <c r="D66" s="37"/>
      <c r="E66" s="101" t="s">
        <v>59</v>
      </c>
      <c r="F66" s="36"/>
      <c r="G66" s="36"/>
      <c r="H66" s="36"/>
      <c r="I66" s="197"/>
    </row>
    <row r="67" spans="1:10" ht="15" customHeight="1" x14ac:dyDescent="0.25">
      <c r="C67" s="262" t="s">
        <v>60</v>
      </c>
      <c r="D67" s="31" t="str">
        <f>IF(G64="","",G64*D66+H64*(1-D66))</f>
        <v/>
      </c>
      <c r="E67" s="101" t="s">
        <v>61</v>
      </c>
      <c r="F67" s="36"/>
      <c r="G67" s="36"/>
      <c r="H67" s="36"/>
      <c r="I67" s="197"/>
    </row>
    <row r="68" spans="1:10" ht="15" customHeight="1" x14ac:dyDescent="0.25">
      <c r="C68" s="262" t="s">
        <v>62</v>
      </c>
      <c r="D68" s="32" t="str">
        <f>IF(G64="","",H64-G64)</f>
        <v/>
      </c>
      <c r="E68" s="101" t="s">
        <v>63</v>
      </c>
      <c r="F68" s="36"/>
      <c r="G68" s="36"/>
      <c r="H68" s="36"/>
      <c r="I68" s="197"/>
    </row>
    <row r="69" spans="1:10" x14ac:dyDescent="0.25">
      <c r="C69" s="195" t="s">
        <v>64</v>
      </c>
      <c r="D69" s="33" t="str">
        <f>IF(G64="","",I64/D68)</f>
        <v/>
      </c>
      <c r="E69" s="261" t="s">
        <v>65</v>
      </c>
      <c r="F69" s="29"/>
      <c r="G69" s="29"/>
      <c r="H69" s="29"/>
      <c r="I69" s="98"/>
    </row>
    <row r="70" spans="1:10" x14ac:dyDescent="0.25">
      <c r="C70" s="195" t="s">
        <v>66</v>
      </c>
      <c r="D70" s="33" t="str">
        <f>IF(G64="","",J64/D68)</f>
        <v/>
      </c>
      <c r="E70" s="261" t="s">
        <v>67</v>
      </c>
      <c r="F70" s="29"/>
      <c r="G70" s="29"/>
      <c r="H70" s="98"/>
      <c r="I70" s="98"/>
    </row>
    <row r="71" spans="1:10" ht="15" customHeight="1" x14ac:dyDescent="0.25">
      <c r="C71" s="263" t="s">
        <v>68</v>
      </c>
      <c r="D71" s="34">
        <v>8.1999999999999993</v>
      </c>
      <c r="E71" s="101" t="s">
        <v>244</v>
      </c>
      <c r="F71" s="36"/>
      <c r="G71" s="36"/>
      <c r="H71" s="36"/>
      <c r="I71" s="36"/>
      <c r="J71" s="36"/>
    </row>
    <row r="72" spans="1:10" ht="15" customHeight="1" x14ac:dyDescent="0.25">
      <c r="C72" s="49" t="s">
        <v>75</v>
      </c>
      <c r="D72" s="35">
        <v>100</v>
      </c>
      <c r="E72" s="102" t="s">
        <v>148</v>
      </c>
      <c r="F72" s="264"/>
      <c r="G72" s="264"/>
      <c r="H72" s="264"/>
      <c r="I72" s="48"/>
    </row>
    <row r="73" spans="1:10" x14ac:dyDescent="0.25">
      <c r="A73" s="6" t="s">
        <v>90</v>
      </c>
    </row>
  </sheetData>
  <sheetProtection algorithmName="SHA-512" hashValue="X/zQxNc8jTJ/F8Iz/xbJCrjP/ZXDSR0xBv32MdXNFmrd//cRduq17VFcZwORZv6/SkSGb6Pojdd8antCTzkkNg==" saltValue="0/oqvqzj1zxrrThllEeLMw==" spinCount="100000" sheet="1"/>
  <conditionalFormatting sqref="J17">
    <cfRule type="expression" dxfId="6" priority="65" stopIfTrue="1">
      <formula>#REF!="Natural Gas Usage (MMCF/yr)"</formula>
    </cfRule>
  </conditionalFormatting>
  <conditionalFormatting sqref="J18">
    <cfRule type="expression" dxfId="5" priority="66" stopIfTrue="1">
      <formula>#REF!="Natural Gas Usage (MMCF/yr)"</formula>
    </cfRule>
  </conditionalFormatting>
  <conditionalFormatting sqref="I6:J12 I13:I16">
    <cfRule type="containsText" dxfId="4" priority="19" stopIfTrue="1" operator="containsText" text="Number of Conveyor Points">
      <formula>NOT(ISERROR(SEARCH("Number of Conveyor Points",I6)))</formula>
    </cfRule>
  </conditionalFormatting>
  <conditionalFormatting sqref="K7:K9">
    <cfRule type="cellIs" dxfId="3" priority="17" stopIfTrue="1" operator="equal">
      <formula>$I$6=""</formula>
    </cfRule>
    <cfRule type="notContainsBlanks" dxfId="2" priority="69" stopIfTrue="1">
      <formula>LEN(TRIM(K7))&gt;0</formula>
    </cfRule>
  </conditionalFormatting>
  <conditionalFormatting sqref="K10:K12">
    <cfRule type="cellIs" dxfId="1" priority="13" stopIfTrue="1" operator="equal">
      <formula>$I$10=""</formula>
    </cfRule>
    <cfRule type="notContainsBlanks" dxfId="0" priority="68" stopIfTrue="1">
      <formula>LEN(TRIM(K10))&gt;0</formula>
    </cfRule>
  </conditionalFormatting>
  <dataValidations count="2">
    <dataValidation type="list" allowBlank="1" showInputMessage="1" showErrorMessage="1" sqref="A22" xr:uid="{00000000-0002-0000-0100-000000000000}">
      <formula1>"roadcon"</formula1>
    </dataValidation>
    <dataValidation type="list" allowBlank="1" showInputMessage="1" showErrorMessage="1" sqref="D34 D47" xr:uid="{00000000-0002-0000-0100-000001000000}">
      <formula1>yesnno</formula1>
    </dataValidation>
  </dataValidations>
  <pageMargins left="0.25" right="0.25" top="0.75" bottom="0.75" header="0.3" footer="0.3"/>
  <pageSetup scale="72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2"/>
  <sheetViews>
    <sheetView workbookViewId="0"/>
  </sheetViews>
  <sheetFormatPr defaultRowHeight="15" x14ac:dyDescent="0.25"/>
  <cols>
    <col min="1" max="1" width="8.42578125" style="6" customWidth="1"/>
    <col min="2" max="2" width="8.28515625" style="6" customWidth="1"/>
    <col min="3" max="3" width="27.28515625" style="6" customWidth="1"/>
    <col min="4" max="4" width="10.85546875" style="6" customWidth="1"/>
    <col min="5" max="5" width="13.140625" style="6" customWidth="1"/>
    <col min="6" max="6" width="9.140625" style="6" customWidth="1"/>
    <col min="7" max="7" width="13.5703125" style="6" customWidth="1"/>
    <col min="8" max="8" width="13.7109375" style="6" customWidth="1"/>
    <col min="9" max="9" width="12.42578125" style="6" customWidth="1"/>
    <col min="10" max="10" width="11.5703125" style="6" customWidth="1"/>
    <col min="11" max="11" width="14.5703125" style="6" customWidth="1"/>
    <col min="12" max="12" width="16.85546875" style="6" customWidth="1"/>
    <col min="13" max="13" width="16.42578125" style="6" customWidth="1"/>
    <col min="14" max="14" width="13.28515625" style="6" hidden="1" customWidth="1"/>
    <col min="15" max="15" width="16.42578125" style="6" hidden="1" customWidth="1"/>
    <col min="16" max="16384" width="9.140625" style="6"/>
  </cols>
  <sheetData>
    <row r="1" spans="1:15" ht="18.75" x14ac:dyDescent="0.3">
      <c r="A1" s="265" t="s">
        <v>87</v>
      </c>
      <c r="B1" s="265"/>
      <c r="C1" s="265"/>
      <c r="D1" s="18"/>
      <c r="E1" s="18"/>
      <c r="F1" s="18"/>
      <c r="G1" s="19"/>
      <c r="H1" s="18"/>
      <c r="I1" s="18"/>
      <c r="J1" s="18"/>
      <c r="K1" s="18"/>
      <c r="L1" s="18"/>
    </row>
    <row r="2" spans="1:15" ht="15.75" x14ac:dyDescent="0.25">
      <c r="A2" s="20"/>
      <c r="B2" s="20"/>
      <c r="C2" s="52" t="s">
        <v>108</v>
      </c>
      <c r="D2" s="51"/>
      <c r="E2" s="51"/>
      <c r="F2" s="53"/>
      <c r="G2" s="51"/>
      <c r="H2" s="51"/>
      <c r="I2" s="18"/>
      <c r="J2" s="18"/>
      <c r="K2" s="18"/>
      <c r="L2" s="18"/>
    </row>
    <row r="3" spans="1:15" ht="15.75" x14ac:dyDescent="0.25">
      <c r="A3" s="20"/>
      <c r="B3" s="20"/>
      <c r="C3" s="84" t="s">
        <v>122</v>
      </c>
      <c r="D3" s="88"/>
      <c r="E3" s="87" t="s">
        <v>109</v>
      </c>
      <c r="F3" s="51"/>
      <c r="G3" s="51"/>
      <c r="H3" s="51"/>
      <c r="I3" s="18"/>
      <c r="J3" s="18"/>
      <c r="K3" s="18"/>
      <c r="L3" s="18"/>
    </row>
    <row r="4" spans="1:15" ht="15.75" x14ac:dyDescent="0.25">
      <c r="A4" s="20"/>
      <c r="B4" s="20"/>
      <c r="C4" s="84" t="s">
        <v>133</v>
      </c>
      <c r="D4" s="55"/>
      <c r="E4" s="87" t="s">
        <v>105</v>
      </c>
      <c r="F4" s="54" t="s">
        <v>123</v>
      </c>
      <c r="G4" s="51"/>
      <c r="H4" s="51"/>
      <c r="I4" s="18"/>
      <c r="J4" s="18"/>
      <c r="K4" s="18"/>
      <c r="L4" s="18"/>
    </row>
    <row r="5" spans="1:15" ht="15.75" x14ac:dyDescent="0.25">
      <c r="A5" s="20"/>
      <c r="B5" s="20"/>
      <c r="C5" s="84" t="s">
        <v>146</v>
      </c>
      <c r="D5" s="55"/>
      <c r="E5" s="87" t="s">
        <v>105</v>
      </c>
      <c r="F5" s="54"/>
      <c r="G5" s="51"/>
      <c r="H5" s="51"/>
      <c r="I5" s="18"/>
      <c r="J5" s="18"/>
      <c r="K5" s="18"/>
      <c r="L5" s="18"/>
    </row>
    <row r="6" spans="1:15" ht="15.75" x14ac:dyDescent="0.25">
      <c r="A6" s="20"/>
      <c r="B6" s="20"/>
      <c r="C6" s="51"/>
      <c r="D6" s="51"/>
      <c r="E6" s="51"/>
      <c r="F6" s="51"/>
      <c r="G6" s="51"/>
      <c r="H6" s="51"/>
      <c r="I6" s="18"/>
      <c r="J6" s="18"/>
      <c r="K6" s="18"/>
      <c r="L6" s="18"/>
    </row>
    <row r="7" spans="1:15" ht="29.25" customHeight="1" x14ac:dyDescent="0.25">
      <c r="A7" s="267" t="s">
        <v>9</v>
      </c>
      <c r="B7" s="266" t="s">
        <v>107</v>
      </c>
      <c r="C7" s="266" t="s">
        <v>50</v>
      </c>
      <c r="D7" s="266" t="s">
        <v>106</v>
      </c>
      <c r="E7" s="268" t="s">
        <v>142</v>
      </c>
      <c r="F7" s="266" t="s">
        <v>101</v>
      </c>
      <c r="G7" s="266" t="s">
        <v>102</v>
      </c>
      <c r="H7" s="266" t="s">
        <v>103</v>
      </c>
      <c r="I7" s="266" t="s">
        <v>104</v>
      </c>
      <c r="J7" s="266" t="s">
        <v>145</v>
      </c>
      <c r="K7" s="266" t="s">
        <v>124</v>
      </c>
      <c r="L7" s="266" t="str">
        <f>'Facility Information'!A66&amp;" Annual Throughput (gallons/yr)"</f>
        <v xml:space="preserve"> Annual Throughput (gallons/yr)</v>
      </c>
      <c r="M7" s="266" t="s">
        <v>141</v>
      </c>
      <c r="N7" s="6" t="s">
        <v>129</v>
      </c>
    </row>
    <row r="8" spans="1:15" x14ac:dyDescent="0.25">
      <c r="A8" s="81"/>
      <c r="B8" s="81"/>
      <c r="C8" s="82"/>
      <c r="D8" s="81"/>
      <c r="E8" s="182"/>
      <c r="F8" s="83"/>
      <c r="G8" s="83"/>
      <c r="H8" s="83"/>
      <c r="I8" s="83"/>
      <c r="J8" s="83"/>
      <c r="K8" s="86" t="str">
        <f>IF(J8="","",J8*0.14)</f>
        <v/>
      </c>
      <c r="L8" s="83"/>
      <c r="M8" s="85" t="str">
        <f>IF(L8="","",L8*0.14)</f>
        <v/>
      </c>
      <c r="N8" s="6" t="s">
        <v>128</v>
      </c>
    </row>
    <row r="9" spans="1:15" x14ac:dyDescent="0.25">
      <c r="A9" s="81"/>
      <c r="B9" s="81"/>
      <c r="C9" s="82"/>
      <c r="D9" s="81"/>
      <c r="E9" s="182"/>
      <c r="F9" s="83"/>
      <c r="G9" s="83"/>
      <c r="H9" s="83"/>
      <c r="I9" s="83"/>
      <c r="J9" s="83"/>
      <c r="K9" s="86" t="str">
        <f>IF(J9="","",J9*0.14)</f>
        <v/>
      </c>
      <c r="L9" s="83"/>
      <c r="M9" s="85" t="str">
        <f>IF(L9="","",L9*0.14)</f>
        <v/>
      </c>
    </row>
    <row r="10" spans="1:15" x14ac:dyDescent="0.25">
      <c r="A10" s="81"/>
      <c r="B10" s="81"/>
      <c r="C10" s="82"/>
      <c r="D10" s="81"/>
      <c r="E10" s="182"/>
      <c r="F10" s="83"/>
      <c r="G10" s="83"/>
      <c r="H10" s="83"/>
      <c r="I10" s="83"/>
      <c r="J10" s="83"/>
      <c r="K10" s="86" t="str">
        <f>IF(J10="","",J10*0.14)</f>
        <v/>
      </c>
      <c r="L10" s="83"/>
      <c r="M10" s="85" t="str">
        <f>IF(L10="","",L10*0.14)</f>
        <v/>
      </c>
      <c r="N10" s="6">
        <f>COUNTIF(C8:C12,"Diesel Generator ≤ 600 bhp")</f>
        <v>0</v>
      </c>
      <c r="O10" s="72" t="s">
        <v>131</v>
      </c>
    </row>
    <row r="11" spans="1:15" x14ac:dyDescent="0.25">
      <c r="A11" s="81"/>
      <c r="B11" s="81"/>
      <c r="C11" s="82"/>
      <c r="D11" s="81"/>
      <c r="E11" s="182"/>
      <c r="F11" s="83"/>
      <c r="G11" s="83"/>
      <c r="H11" s="83"/>
      <c r="I11" s="83"/>
      <c r="J11" s="83"/>
      <c r="K11" s="86" t="str">
        <f>IF(J11="","",J11*0.14)</f>
        <v/>
      </c>
      <c r="L11" s="83"/>
      <c r="M11" s="85" t="str">
        <f>IF(L11="","",L11*0.14)</f>
        <v/>
      </c>
      <c r="N11" s="6">
        <f>COUNTIF(C8:C12,"Diesel Generator&gt; 600 bhp")</f>
        <v>0</v>
      </c>
      <c r="O11" s="6" t="s">
        <v>130</v>
      </c>
    </row>
    <row r="12" spans="1:15" x14ac:dyDescent="0.25">
      <c r="A12" s="81"/>
      <c r="B12" s="81"/>
      <c r="C12" s="82"/>
      <c r="D12" s="81"/>
      <c r="E12" s="182"/>
      <c r="F12" s="83"/>
      <c r="G12" s="83"/>
      <c r="H12" s="83"/>
      <c r="I12" s="83"/>
      <c r="J12" s="83"/>
      <c r="K12" s="86" t="str">
        <f>IF(J12="","",J12*0.14)</f>
        <v/>
      </c>
      <c r="L12" s="83"/>
      <c r="M12" s="85" t="str">
        <f>IF(L12="","",L12*0.14)</f>
        <v/>
      </c>
    </row>
  </sheetData>
  <sheetProtection algorithmName="SHA-512" hashValue="lm3/2eC3cSdsjMTA8YQkd6TWEZgpn30IMF9b4bFiawISRJWhX/pRX7gp6JYGrrrfnjqjMivr1IY7thHk7XcojQ==" saltValue="9DKagw66bNOFBA57RGjFvA==" spinCount="100000" sheet="1"/>
  <dataValidations count="1">
    <dataValidation type="list" allowBlank="1" showInputMessage="1" showErrorMessage="1" sqref="C8:C12" xr:uid="{00000000-0002-0000-0200-000000000000}">
      <formula1>Gen</formula1>
    </dataValidation>
  </dataValidations>
  <pageMargins left="0.25" right="0.25" top="0.75" bottom="0.75" header="0.3" footer="0.3"/>
  <pageSetup scale="7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28"/>
  <sheetViews>
    <sheetView topLeftCell="B1" zoomScaleNormal="100" workbookViewId="0">
      <selection activeCell="B1" sqref="A1:XFD1"/>
    </sheetView>
  </sheetViews>
  <sheetFormatPr defaultRowHeight="15" x14ac:dyDescent="0.25"/>
  <cols>
    <col min="1" max="1" width="9" style="39" hidden="1" customWidth="1"/>
    <col min="2" max="2" width="5" style="39" customWidth="1"/>
    <col min="3" max="3" width="35.28515625" style="39" customWidth="1"/>
    <col min="4" max="4" width="9" style="39" bestFit="1" customWidth="1"/>
    <col min="5" max="5" width="11.42578125" style="39" customWidth="1"/>
    <col min="6" max="6" width="11" style="39" bestFit="1" customWidth="1"/>
    <col min="7" max="7" width="11.140625" style="159" customWidth="1"/>
    <col min="8" max="8" width="11.85546875" style="39" customWidth="1"/>
    <col min="9" max="9" width="21.28515625" style="39" customWidth="1"/>
    <col min="10" max="10" width="17.85546875" style="39" hidden="1" customWidth="1"/>
    <col min="11" max="11" width="1.7109375" style="39" hidden="1" customWidth="1"/>
    <col min="12" max="12" width="9.28515625" style="39" customWidth="1"/>
    <col min="13" max="13" width="17.42578125" style="39" hidden="1" customWidth="1"/>
    <col min="14" max="14" width="16" style="39" hidden="1" customWidth="1"/>
    <col min="15" max="15" width="10.140625" style="39" customWidth="1"/>
    <col min="16" max="16384" width="9.140625" style="39"/>
  </cols>
  <sheetData>
    <row r="1" spans="1:15" ht="18.75" x14ac:dyDescent="0.3">
      <c r="B1" s="269" t="s">
        <v>136</v>
      </c>
      <c r="C1" s="269"/>
      <c r="D1" s="269"/>
    </row>
    <row r="2" spans="1:15" ht="15" customHeight="1" x14ac:dyDescent="0.3">
      <c r="B2" s="322" t="s">
        <v>246</v>
      </c>
      <c r="C2" s="189"/>
      <c r="D2" s="186"/>
      <c r="G2" s="188"/>
    </row>
    <row r="3" spans="1:15" ht="18.75" customHeight="1" x14ac:dyDescent="0.3">
      <c r="B3" s="299" t="s">
        <v>23</v>
      </c>
      <c r="C3" s="299"/>
      <c r="D3" s="46"/>
      <c r="E3" s="6"/>
      <c r="F3" s="6"/>
      <c r="G3" s="7"/>
      <c r="H3" s="6"/>
      <c r="I3" s="6"/>
      <c r="K3" s="104"/>
      <c r="L3" s="6"/>
    </row>
    <row r="4" spans="1:15" ht="45" x14ac:dyDescent="0.25">
      <c r="B4" s="270" t="s">
        <v>18</v>
      </c>
      <c r="C4" s="260" t="s">
        <v>19</v>
      </c>
      <c r="D4" s="270" t="s">
        <v>16</v>
      </c>
      <c r="E4" s="260" t="s">
        <v>17</v>
      </c>
      <c r="F4" s="249" t="s">
        <v>51</v>
      </c>
      <c r="G4" s="260" t="s">
        <v>20</v>
      </c>
      <c r="H4" s="249" t="s">
        <v>51</v>
      </c>
      <c r="I4" s="254" t="s">
        <v>212</v>
      </c>
      <c r="J4" s="260" t="s">
        <v>139</v>
      </c>
      <c r="K4" s="158"/>
      <c r="L4" s="271" t="s">
        <v>22</v>
      </c>
      <c r="M4" s="260" t="s">
        <v>140</v>
      </c>
      <c r="N4" s="260" t="s">
        <v>21</v>
      </c>
      <c r="O4" s="260" t="s">
        <v>25</v>
      </c>
    </row>
    <row r="5" spans="1:15" x14ac:dyDescent="0.25">
      <c r="A5" s="39" t="str">
        <f>IF('Facility Information'!F34="","",'Facility Information'!F34/'Facility Information'!G34*'Facility Processes'!$H$6/2000)</f>
        <v/>
      </c>
      <c r="B5" s="56" t="str">
        <f>IF('Facility Processes'!B6="","",'Facility Processes'!B6)</f>
        <v/>
      </c>
      <c r="C5" s="144" t="str">
        <f>IF('Facility Processes'!C6="","",'Facility Processes'!C6)</f>
        <v/>
      </c>
      <c r="D5" s="91" t="str">
        <f>IF('Facility Processes'!C6="","",IF('Facility Information'!$B$26="Yes",LOOKUP('Facility Processes'!C6,'Emission Factors'!A12:A17,'Emission Factors'!C12:C17),IF('Facility Information'!$B$26="No",LOOKUP('Facility Processes'!C6,'Emission Factors'!A5:A10,'Emission Factors'!C5:C10))))</f>
        <v/>
      </c>
      <c r="E5" s="56" t="str">
        <f>IF('Facility Processes'!G6="","",'Facility Processes'!G6)</f>
        <v/>
      </c>
      <c r="F5" s="56" t="str">
        <f>IF('Facility Processes'!G6="","","tons/hr")</f>
        <v/>
      </c>
      <c r="G5" s="145" t="str">
        <f>IF('Facility Processes'!C6="","",IF('Facility Information'!F36&gt;0,('Facility Information'!F36/'Facility Information'!G36),IF(('Facility Processes'!H6*A9/2000)&gt;A5,('Facility Information'!F34/'Facility Information'!G34),IF('Facility Information'!$B$24="","",IF('Facility Information'!$B$26="yes",LOOKUP('Facility Processes'!C6,'Emission Factors'!$A$12:$A$17,'Emission Factors'!E12:E17),LOOKUP('Facility Processes'!C6,'Emission Factors'!$A$5:$A$10,'Emission Factors'!E5:E10))))))</f>
        <v/>
      </c>
      <c r="H5" s="146" t="str">
        <f>IF(G5="","","lbs/ton")</f>
        <v/>
      </c>
      <c r="I5" s="112" t="str">
        <f>IF(G5="","",IF(O5=A5,"Stack Test",IF('Facility Information'!F36="",LOOKUP(C5,'Emission Factors'!A5:A10,'Emission Factors'!D5:D10),"Stack Test")))</f>
        <v/>
      </c>
      <c r="J5" s="59" t="str">
        <f>IF(G5="","",IF('Facility Information'!$B$26="NO",E5*G5,""))</f>
        <v/>
      </c>
      <c r="K5" s="59"/>
      <c r="L5" s="56"/>
      <c r="M5" s="59" t="str">
        <f>IF(G5="","",IF('Facility Information'!$B$26="YES",E5*G5,""))</f>
        <v/>
      </c>
      <c r="N5" s="59" t="str">
        <f>IF(G5="","",IF('Facility Information'!$C$30&gt;0,'Facility Information'!$C$30*G5/2000,IF('Facility Information'!$C$31&gt;0,'Facility Information'!$C$31*365*E5*G5/2000,E5*G5*8760/2000)))</f>
        <v/>
      </c>
      <c r="O5" s="59" t="str">
        <f>IF('Facility Processes'!C6="","",IF('Facility Information'!F36&gt;0,('Facility Information'!F36/'Facility Information'!G36*'Facility Processes'!H6/2000),IF(('Facility Processes'!H6*'Emission Calculations'!G5/2000)&gt;A5,A5,('Facility Processes'!H6*'Emission Calculations'!G5/2000))))</f>
        <v/>
      </c>
    </row>
    <row r="6" spans="1:15" x14ac:dyDescent="0.25">
      <c r="A6" s="39" t="str">
        <f>IF('Facility Information'!F35="","",'Facility Information'!F35/'Facility Information'!G35*'Facility Processes'!$H$6/2000)</f>
        <v/>
      </c>
      <c r="B6" s="56" t="str">
        <f>IF('Facility Processes'!B14="","",'Facility Processes'!B14)</f>
        <v/>
      </c>
      <c r="C6" s="144" t="str">
        <f>IF('Facility Processes'!G14="","",'Facility Processes'!C14)</f>
        <v/>
      </c>
      <c r="D6" s="91" t="str">
        <f>IF(C6="","",LOOKUP(C6,'Emission Factors'!A23,'Emission Factors'!C23))</f>
        <v/>
      </c>
      <c r="E6" s="56" t="str">
        <f>IF('Facility Processes'!G14="","",'Facility Processes'!G14)</f>
        <v/>
      </c>
      <c r="F6" s="56" t="str">
        <f>IF('Facility Processes'!G14="","","tons/hr")</f>
        <v/>
      </c>
      <c r="G6" s="145" t="str">
        <f>IF(C6="","",'Emission Factors'!E23)</f>
        <v/>
      </c>
      <c r="H6" s="146" t="str">
        <f>IF(G6="","","lbs/ton")</f>
        <v/>
      </c>
      <c r="I6" s="119" t="str">
        <f>IF(G6="","",'Emission Factors'!D23)</f>
        <v/>
      </c>
      <c r="J6" s="59" t="str">
        <f>IF(G6="","",G6*E6)</f>
        <v/>
      </c>
      <c r="K6" s="59"/>
      <c r="L6" s="56"/>
      <c r="M6" s="59"/>
      <c r="N6" s="59" t="str">
        <f>IF(G6="","",IF('Facility Information'!$C$30&gt;0,'Facility Information'!$C$30*G6/2000,IF('Facility Information'!$C$31&gt;0,'Facility Information'!$C$31*365*E6*G6/2000,E6*G6*8760/2000)))</f>
        <v/>
      </c>
      <c r="O6" s="59" t="str">
        <f>IF('Facility Processes'!H14="","",'Facility Processes'!H14*'Emission Calculations'!G6/2000)</f>
        <v/>
      </c>
    </row>
    <row r="7" spans="1:15" x14ac:dyDescent="0.25">
      <c r="A7" s="39" t="str">
        <f>IF('Facility Information'!F36="","",'Facility Information'!F36/'Facility Information'!G36*'Facility Processes'!$H$6/2000)</f>
        <v/>
      </c>
      <c r="B7" s="56" t="str">
        <f>IF('Facility Processes'!B15="","",'Facility Processes'!B15)</f>
        <v/>
      </c>
      <c r="C7" s="144" t="str">
        <f>IF('Facility Processes'!G15="","",'Facility Processes'!C15)</f>
        <v/>
      </c>
      <c r="D7" s="91" t="str">
        <f>IF(C7="","",LOOKUP(C7,'Emission Factors'!A24,'Emission Factors'!C24))</f>
        <v/>
      </c>
      <c r="E7" s="56" t="str">
        <f>IF('Facility Processes'!G15="","",'Facility Processes'!G15)</f>
        <v/>
      </c>
      <c r="F7" s="56" t="str">
        <f>IF('Facility Processes'!G15="","","tons/hr")</f>
        <v/>
      </c>
      <c r="G7" s="145" t="str">
        <f>IF(C7="","",'Emission Factors'!E24)</f>
        <v/>
      </c>
      <c r="H7" s="146" t="str">
        <f>IF(G7="","","lbs/ton")</f>
        <v/>
      </c>
      <c r="I7" s="119" t="str">
        <f>IF(G7="","",'Emission Factors'!D24)</f>
        <v/>
      </c>
      <c r="J7" s="59" t="str">
        <f>IF(G7="","",G7*E7)</f>
        <v/>
      </c>
      <c r="K7" s="59"/>
      <c r="L7" s="56"/>
      <c r="M7" s="59"/>
      <c r="N7" s="59" t="str">
        <f>IF(G7="","",IF('Facility Information'!$C$30&gt;0,'Facility Information'!$C$30*G7/2000,IF('Facility Information'!$C$31&gt;0,'Facility Information'!$C$31*365*E7*G7/2000,E7*G7*8760/2000)))</f>
        <v/>
      </c>
      <c r="O7" s="59" t="str">
        <f>IF('Facility Processes'!H15="","",'Facility Processes'!H15*'Emission Calculations'!G7/2000)</f>
        <v/>
      </c>
    </row>
    <row r="8" spans="1:15" x14ac:dyDescent="0.25">
      <c r="B8" s="56" t="str">
        <f>IF('Facility Processes'!B16="","",'Facility Processes'!B16)</f>
        <v/>
      </c>
      <c r="C8" s="144" t="str">
        <f>IF('Facility Processes'!G16="","",'Facility Processes'!C16)</f>
        <v/>
      </c>
      <c r="D8" s="91" t="str">
        <f>IF(C8="","",LOOKUP(C8,'Emission Factors'!A25,'Emission Factors'!C25))</f>
        <v/>
      </c>
      <c r="E8" s="56" t="str">
        <f>IF('Facility Processes'!G16="","",'Facility Processes'!G16)</f>
        <v/>
      </c>
      <c r="F8" s="56" t="str">
        <f>IF('Facility Processes'!G16="","","tons/hr")</f>
        <v/>
      </c>
      <c r="G8" s="145" t="str">
        <f>IF(C8="","",'Emission Factors'!E25)</f>
        <v/>
      </c>
      <c r="H8" s="146" t="str">
        <f>IF(G8="","","lbs/ton")</f>
        <v/>
      </c>
      <c r="I8" s="147" t="str">
        <f>IF(G8="","",'Emission Factors'!D25)</f>
        <v/>
      </c>
      <c r="J8" s="59" t="str">
        <f>IF(G8="","",IF('Facility Processes'!I16="",G8*E8,G8*E8*'Facility Processes'!I16))</f>
        <v/>
      </c>
      <c r="K8" s="59"/>
      <c r="L8" s="56"/>
      <c r="M8" s="59"/>
      <c r="N8" s="59" t="str">
        <f>IF(G8="","",IF('Facility Information'!$C$30&gt;0,'Facility Information'!$C$30*G8/2000,IF('Facility Information'!$C$31&gt;0,'Facility Information'!$C$31*365*E8*G8/2000,E8*G8*8760/2000)))</f>
        <v/>
      </c>
      <c r="O8" s="59" t="str">
        <f>IF('Facility Processes'!H16="","",'Facility Processes'!H16*'Emission Calculations'!G8/2000)</f>
        <v/>
      </c>
    </row>
    <row r="9" spans="1:15" x14ac:dyDescent="0.25">
      <c r="A9" s="39" t="str">
        <f>IF('Facility Information'!$B$24="","",IF('Facility Information'!$B$26="yes",LOOKUP('Facility Processes'!C6,'Emission Factors'!$A$12:$A$17,'Emission Factors'!E12:E17),LOOKUP('Facility Processes'!C6,'Emission Factors'!$A$5:$A$10,'Emission Factors'!E5:E10)))</f>
        <v/>
      </c>
      <c r="B9" s="56" t="str">
        <f>IF('Facility Processes'!B20="","",'Facility Processes'!B20)</f>
        <v/>
      </c>
      <c r="C9" s="144" t="str">
        <f>IF('Facility Processes'!G20="","",'Facility Processes'!C20)</f>
        <v/>
      </c>
      <c r="D9" s="91" t="str">
        <f>IF(C9="","",LOOKUP(C9,'Emission Factors'!A26,'Emission Factors'!C26))</f>
        <v/>
      </c>
      <c r="E9" s="56" t="str">
        <f>IF('Facility Processes'!G20="","",'Facility Processes'!G20)</f>
        <v/>
      </c>
      <c r="F9" s="56" t="str">
        <f>IF('Facility Processes'!G20="","","acre-day")</f>
        <v/>
      </c>
      <c r="G9" s="145" t="str">
        <f>IF(C9="","",'Emission Factors'!E26)</f>
        <v/>
      </c>
      <c r="H9" s="146" t="str">
        <f>IF(G9="","",'Emission Factors'!F26)</f>
        <v/>
      </c>
      <c r="I9" s="119" t="str">
        <f>IF(G9="","",'Emission Factors'!D26)</f>
        <v/>
      </c>
      <c r="J9" s="59" t="str">
        <f>IF(G9="","",'Facility Processes'!G20*G9*(1/24))</f>
        <v/>
      </c>
      <c r="K9" s="59"/>
      <c r="L9" s="56"/>
      <c r="M9" s="59"/>
      <c r="N9" s="59" t="str">
        <f>IF('Facility Processes'!G20="","",'Facility Processes'!G20*G9*365/2000)</f>
        <v/>
      </c>
      <c r="O9" s="59" t="str">
        <f>IF('Facility Processes'!G20="","",'Facility Processes'!H20*'Facility Processes'!I20*G9/2000)</f>
        <v/>
      </c>
    </row>
    <row r="10" spans="1:15" x14ac:dyDescent="0.25">
      <c r="B10" s="56" t="str">
        <f>IF('Facility Processes'!B25="","",'Facility Processes'!B25)</f>
        <v/>
      </c>
      <c r="C10" s="147" t="str">
        <f>IF('Facility Processes'!G25="","",'Facility Processes'!C25)</f>
        <v/>
      </c>
      <c r="D10" s="91" t="str">
        <f>IF(C10="","","30500290")</f>
        <v/>
      </c>
      <c r="E10" s="59" t="str">
        <f>IF(G10="","",'Facility Processes'!$D$30*'Facility Processes'!$K$25/8760)</f>
        <v/>
      </c>
      <c r="F10" s="56" t="str">
        <f>IF(G10="","","vmt/hr")</f>
        <v/>
      </c>
      <c r="G10" s="146" t="str">
        <f>IF('Facility Processes'!$G$25="","",(0.15*(('Facility Processes'!$D$32/12)^0.9)*(('Facility Processes'!$D$28/3)^0.45)*((365-'Facility Processes'!$D$33)/365)))</f>
        <v/>
      </c>
      <c r="H10" s="56" t="str">
        <f>IF(G10="","","lb/vmt")</f>
        <v/>
      </c>
      <c r="I10" s="119" t="str">
        <f>IF(G10="","","AP-42 Ch 13.2.2")</f>
        <v/>
      </c>
      <c r="J10" s="59" t="str">
        <f>IF(G10="","",N10/((100-K10)/100)*2000/8760)</f>
        <v/>
      </c>
      <c r="K10" s="121">
        <f>IF(L10="",0,L10)</f>
        <v>0</v>
      </c>
      <c r="L10" s="56" t="str">
        <f>IF('Facility Processes'!G25="","",IF('Facility Processes'!D34="NO","",40))</f>
        <v/>
      </c>
      <c r="M10" s="59" t="str">
        <f>IF(L10="","",N10*2000/8760)</f>
        <v/>
      </c>
      <c r="N10" s="59" t="str">
        <f>IF(G10="","",IF(L10="",G10*'Facility Processes'!$D$30*'Facility Processes'!$K$25/2000,G10*'Facility Processes'!$D$30*'Facility Processes'!$K$25/2000*(100-K10)/100))</f>
        <v/>
      </c>
      <c r="O10" s="59" t="str">
        <f>IF(G10="","",IF(L10="",'Facility Processes'!$D$31*'Facility Processes'!$K$25*G10/2000, 'Facility Processes'!$D$31*'Facility Processes'!$K$25*G10/2000*((100-L10)/100)))</f>
        <v/>
      </c>
    </row>
    <row r="11" spans="1:15" x14ac:dyDescent="0.25">
      <c r="B11" s="56" t="str">
        <f>IF('Facility Processes'!B38="","",'Facility Processes'!B38)</f>
        <v/>
      </c>
      <c r="C11" s="147" t="str">
        <f>IF('Facility Processes'!G38="","",'Facility Processes'!C38)</f>
        <v/>
      </c>
      <c r="D11" s="91" t="str">
        <f>IF(C11="","","30500290")</f>
        <v/>
      </c>
      <c r="E11" s="59" t="str">
        <f>IF(G11="","",'Facility Processes'!$D$43*'Facility Processes'!$K$38/8760)</f>
        <v/>
      </c>
      <c r="F11" s="56" t="str">
        <f>IF(G11="","","vmt/hr")</f>
        <v/>
      </c>
      <c r="G11" s="146" t="str">
        <f>IF('Facility Processes'!$G$38="","",(0.15*(('Facility Processes'!$D$45/12)^0.9)*(('Facility Processes'!$D$41/3)^0.45)*((365-'Facility Processes'!$D$46)/365)))</f>
        <v/>
      </c>
      <c r="H11" s="56" t="str">
        <f>IF(G11="","","lb/vmt")</f>
        <v/>
      </c>
      <c r="I11" s="119" t="str">
        <f>IF(G11="","","AP-42 Ch 13.2.2")</f>
        <v/>
      </c>
      <c r="J11" s="59" t="str">
        <f>IF(G11="","",N11/((100-K11)/100)*2000/8760)</f>
        <v/>
      </c>
      <c r="K11" s="121">
        <f>IF(L11="",0,L11)</f>
        <v>0</v>
      </c>
      <c r="L11" s="56" t="str">
        <f>IF('Facility Processes'!G38="","",IF('Facility Processes'!D47="NO","",40))</f>
        <v/>
      </c>
      <c r="M11" s="59" t="str">
        <f>IF(L11="","",N11*2000/8760)</f>
        <v/>
      </c>
      <c r="N11" s="59" t="str">
        <f>IF(G11="","",IF(L11="",G11*'Facility Processes'!$D$43*'Facility Processes'!$K$38/2000,G11*'Facility Processes'!$D$43*'Facility Processes'!$K$38/2000*(100-K11)/100))</f>
        <v/>
      </c>
      <c r="O11" s="59" t="str">
        <f>IF(G11="","",IF(L11="",'Facility Processes'!$D$44*'Facility Processes'!$K$38*G11/2000, 'Facility Processes'!$D$44*'Facility Processes'!$K$38*G11/2000*((100-L11)/100)))</f>
        <v/>
      </c>
    </row>
    <row r="12" spans="1:15" x14ac:dyDescent="0.25">
      <c r="B12" s="56" t="str">
        <f>IF('Facility Processes'!B52="","",'Facility Processes'!B52)</f>
        <v/>
      </c>
      <c r="C12" s="147" t="str">
        <f>IF('Facility Processes'!G52="","",'Facility Processes'!C52)</f>
        <v/>
      </c>
      <c r="D12" s="91" t="str">
        <f>IF(C12="","","30500290")</f>
        <v/>
      </c>
      <c r="E12" s="59" t="str">
        <f>IF(G12="","",'Facility Processes'!$D$57*'Facility Processes'!$K$52/8760)</f>
        <v/>
      </c>
      <c r="F12" s="56" t="str">
        <f>IF(G12="","","vmt/hr")</f>
        <v/>
      </c>
      <c r="G12" s="146" t="str">
        <f>IF('Facility Processes'!$G$52="","",(0.00054*('Facility Processes'!$D$59^0.91)*('Facility Processes'!$D$55^1.02))*((1-('Facility Processes'!$D$60)/1460)))</f>
        <v/>
      </c>
      <c r="H12" s="56" t="str">
        <f>IF(G12="","","lb/vmt")</f>
        <v/>
      </c>
      <c r="I12" s="119" t="str">
        <f>IF(G12="","","AP-42 Ch 13.2.1")</f>
        <v/>
      </c>
      <c r="J12" s="59" t="str">
        <f>IF(G12="","",N12*2000/8760)</f>
        <v/>
      </c>
      <c r="K12" s="121"/>
      <c r="L12" s="56"/>
      <c r="M12" s="59"/>
      <c r="N12" s="59" t="str">
        <f>IF(G12="","",G12*'Facility Processes'!$D$57*'Facility Processes'!$K$52/2000)</f>
        <v/>
      </c>
      <c r="O12" s="59" t="str">
        <f>IF(G12="","",'Facility Processes'!$D$58*'Facility Processes'!$K$52*G12/2000)</f>
        <v/>
      </c>
    </row>
    <row r="13" spans="1:15" x14ac:dyDescent="0.25">
      <c r="B13" s="56" t="str">
        <f>IF('Facility Processes'!B64="","",'Facility Processes'!B64)</f>
        <v/>
      </c>
      <c r="C13" s="147" t="str">
        <f>IF('Facility Processes'!G64="","",'Facility Processes'!C64)</f>
        <v/>
      </c>
      <c r="D13" s="91" t="str">
        <f>IF(C13="","","30500290")</f>
        <v/>
      </c>
      <c r="E13" s="59" t="str">
        <f>IF(G13="","",'Facility Processes'!$D$69*'Facility Processes'!$K$64/8760)</f>
        <v/>
      </c>
      <c r="F13" s="56" t="str">
        <f>IF(G13="","","vmt/hr")</f>
        <v/>
      </c>
      <c r="G13" s="146" t="str">
        <f>IF('Facility Processes'!$G$64="","",(0.00054*('Facility Processes'!$D$71^0.91)*('Facility Processes'!$D$67^1.02))*((1-('Facility Processes'!$D$72)/1460)))</f>
        <v/>
      </c>
      <c r="H13" s="56" t="str">
        <f>IF(G13="","","lb/vmt")</f>
        <v/>
      </c>
      <c r="I13" s="119" t="str">
        <f>IF(G13="","","AP-42 Ch 13.2.1")</f>
        <v/>
      </c>
      <c r="J13" s="59" t="str">
        <f>IF(G13="","",N13*2000/8760)</f>
        <v/>
      </c>
      <c r="K13" s="121"/>
      <c r="L13" s="56"/>
      <c r="M13" s="151"/>
      <c r="N13" s="59" t="str">
        <f>IF(G13="","",G13*'Facility Processes'!$D$69*'Facility Processes'!$K$64/2000)</f>
        <v/>
      </c>
      <c r="O13" s="59" t="str">
        <f>IF(G13="","",'Facility Processes'!$D$70*'Facility Processes'!$K$64*G13/2000)</f>
        <v/>
      </c>
    </row>
    <row r="14" spans="1:15" x14ac:dyDescent="0.25">
      <c r="B14" s="56" t="str">
        <f>IF('Permitted Diesel Engines'!A8="","",'Permitted Diesel Engines'!A8)</f>
        <v/>
      </c>
      <c r="C14" s="144" t="str">
        <f>IF('Permitted Diesel Engines'!C8="","",'Permitted Diesel Engines'!C8)</f>
        <v/>
      </c>
      <c r="D14" s="91" t="str">
        <f>IF('Permitted Diesel Engines'!C8="","",LOOKUP('Permitted Diesel Engines'!C8,'Emission Factors'!A44:A45,'Emission Factors'!C44:C45))</f>
        <v/>
      </c>
      <c r="E14" s="56" t="str">
        <f>IF('Permitted Diesel Engines'!C8="","",'Permitted Diesel Engines'!K8)</f>
        <v/>
      </c>
      <c r="F14" s="56" t="str">
        <f>IF('Permitted Diesel Engines'!C8="","","MMBtu/hr")</f>
        <v/>
      </c>
      <c r="G14" s="146" t="str">
        <f>IF('Permitted Diesel Engines'!C8="","",LOOKUP('Permitted Diesel Engines'!C8,'Emission Factors'!$A$44:$A$45,'Emission Factors'!$E$44:$E$45))</f>
        <v/>
      </c>
      <c r="H14" s="56" t="str">
        <f>IF('Permitted Diesel Engines'!C8="","",LOOKUP('Permitted Diesel Engines'!C8,'Emission Factors'!$A$44:$A$45,'Emission Factors'!$D$44:$D$45))</f>
        <v/>
      </c>
      <c r="I14" s="119" t="str">
        <f>IF('Permitted Diesel Engines'!C8="","",LOOKUP('Permitted Diesel Engines'!C8,'Emission Factors'!$A$44:$A$45,'Emission Factors'!$F$44:$F$45))</f>
        <v/>
      </c>
      <c r="J14" s="59" t="str">
        <f>IF('Permitted Diesel Engines'!C8="","",'Emission Calculations'!E14*'Emission Calculations'!G14)</f>
        <v/>
      </c>
      <c r="K14" s="59"/>
      <c r="L14" s="56"/>
      <c r="M14" s="59"/>
      <c r="N14" s="59" t="str">
        <f>IF(G14="","",IF('Permitted Diesel Engines'!D3&gt;0,IF('Permitted Diesel Engines'!N10&gt;0,'Permitted Diesel Engines'!D3*0.14*'Emission Factors'!E44/2000,'Permitted Diesel Engines'!D3*0.14*'Emission Factors'!E45/2000),IF('Permitted Diesel Engines'!E8&gt;0,'Permitted Diesel Engines'!E8*'Emission Calculations'!G14*E14/2000,'Emission Calculations'!J14*8760/2000)))</f>
        <v/>
      </c>
      <c r="O14" s="59" t="str">
        <f>IF('Permitted Diesel Engines'!C8="","",'Permitted Diesel Engines'!L8*0.14*'Emission Calculations'!G14/2000)</f>
        <v/>
      </c>
    </row>
    <row r="15" spans="1:15" x14ac:dyDescent="0.25">
      <c r="B15" s="56" t="str">
        <f>IF('Permitted Diesel Engines'!A9="","",'Permitted Diesel Engines'!A9)</f>
        <v/>
      </c>
      <c r="C15" s="144" t="str">
        <f>IF('Permitted Diesel Engines'!C9="","",'Permitted Diesel Engines'!C9)</f>
        <v/>
      </c>
      <c r="D15" s="91" t="str">
        <f>IF('Permitted Diesel Engines'!C9="","",LOOKUP('Permitted Diesel Engines'!C9,'Emission Factors'!$A$44:$A$45,'Emission Factors'!$C$44:$C$45))</f>
        <v/>
      </c>
      <c r="E15" s="56" t="str">
        <f>IF('Permitted Diesel Engines'!C9="","",'Permitted Diesel Engines'!K9)</f>
        <v/>
      </c>
      <c r="F15" s="56" t="str">
        <f>IF('Permitted Diesel Engines'!C9="","","MMBtu/hr")</f>
        <v/>
      </c>
      <c r="G15" s="146" t="str">
        <f>IF('Permitted Diesel Engines'!C9="","",LOOKUP('Permitted Diesel Engines'!C9,'Emission Factors'!$A$44:$A$45,'Emission Factors'!$E$44:$E$45))</f>
        <v/>
      </c>
      <c r="H15" s="56" t="str">
        <f>IF('Permitted Diesel Engines'!C9="","",LOOKUP('Permitted Diesel Engines'!C9,'Emission Factors'!$A$44:$A$45,'Emission Factors'!$D$44:$D$45))</f>
        <v/>
      </c>
      <c r="I15" s="119" t="str">
        <f>IF('Permitted Diesel Engines'!C9="","",LOOKUP('Permitted Diesel Engines'!C9,'Emission Factors'!$A$44:$A$45,'Emission Factors'!$F$44:$F$45))</f>
        <v/>
      </c>
      <c r="J15" s="59" t="str">
        <f>IF('Permitted Diesel Engines'!C9="","",'Emission Calculations'!E15*'Emission Calculations'!G15)</f>
        <v/>
      </c>
      <c r="K15" s="59"/>
      <c r="L15" s="56"/>
      <c r="M15" s="59"/>
      <c r="N15" s="59" t="str">
        <f>IF(G15="","",IF('Permitted Diesel Engines'!$D$3&gt;0,"",IF('Permitted Diesel Engines'!E9&gt;0,'Permitted Diesel Engines'!E9*'Emission Calculations'!G15*E15/2000,'Emission Calculations'!J15*8760/2000)))</f>
        <v/>
      </c>
      <c r="O15" s="59" t="str">
        <f>IF('Permitted Diesel Engines'!C9="","",'Permitted Diesel Engines'!L9*0.14*'Emission Calculations'!G15/2000)</f>
        <v/>
      </c>
    </row>
    <row r="16" spans="1:15" x14ac:dyDescent="0.25">
      <c r="B16" s="56" t="str">
        <f>IF('Permitted Diesel Engines'!A10="","",'Permitted Diesel Engines'!A10)</f>
        <v/>
      </c>
      <c r="C16" s="144" t="str">
        <f>IF('Permitted Diesel Engines'!C10="","",'Permitted Diesel Engines'!C10)</f>
        <v/>
      </c>
      <c r="D16" s="91" t="str">
        <f>IF('Permitted Diesel Engines'!C10="","",LOOKUP('Permitted Diesel Engines'!C10,'Emission Factors'!$A$44:$A$45,'Emission Factors'!$C$44:$C$45))</f>
        <v/>
      </c>
      <c r="E16" s="56" t="str">
        <f>IF('Permitted Diesel Engines'!C10="","",'Permitted Diesel Engines'!K10)</f>
        <v/>
      </c>
      <c r="F16" s="56" t="str">
        <f>IF('Permitted Diesel Engines'!C10="","","MMBtu/hr")</f>
        <v/>
      </c>
      <c r="G16" s="146" t="str">
        <f>IF('Permitted Diesel Engines'!C10="","",LOOKUP('Permitted Diesel Engines'!C10,'Emission Factors'!$A$44:$A$45,'Emission Factors'!$E$44:$E$45))</f>
        <v/>
      </c>
      <c r="H16" s="56" t="str">
        <f>IF('Permitted Diesel Engines'!C10="","",LOOKUP('Permitted Diesel Engines'!C10,'Emission Factors'!$A$44:$A$45,'Emission Factors'!$D$44:$D$45))</f>
        <v/>
      </c>
      <c r="I16" s="119" t="str">
        <f>IF('Permitted Diesel Engines'!C10="","",LOOKUP('Permitted Diesel Engines'!C10,'Emission Factors'!$A$44:$A$45,'Emission Factors'!$F$44:$F$45))</f>
        <v/>
      </c>
      <c r="J16" s="59" t="str">
        <f>IF('Permitted Diesel Engines'!C10="","",'Emission Calculations'!E16*'Emission Calculations'!G16)</f>
        <v/>
      </c>
      <c r="K16" s="59"/>
      <c r="L16" s="56"/>
      <c r="M16" s="59"/>
      <c r="N16" s="59" t="str">
        <f>IF(G16="","",IF('Permitted Diesel Engines'!$D$3&gt;0,"",IF('Permitted Diesel Engines'!E10&gt;0,'Permitted Diesel Engines'!E10*'Emission Calculations'!G16*E16/2000,'Emission Calculations'!J16*8760/2000)))</f>
        <v/>
      </c>
      <c r="O16" s="59" t="str">
        <f>IF('Permitted Diesel Engines'!C10="","",'Permitted Diesel Engines'!L10*0.14*'Emission Calculations'!G16/2000)</f>
        <v/>
      </c>
    </row>
    <row r="17" spans="1:15" x14ac:dyDescent="0.25">
      <c r="B17" s="56" t="str">
        <f>IF('Permitted Diesel Engines'!A11="","",'Permitted Diesel Engines'!A11)</f>
        <v/>
      </c>
      <c r="C17" s="144" t="str">
        <f>IF('Permitted Diesel Engines'!C11="","",'Permitted Diesel Engines'!C11)</f>
        <v/>
      </c>
      <c r="D17" s="91" t="str">
        <f>IF('Permitted Diesel Engines'!C11="","",LOOKUP('Permitted Diesel Engines'!C11,'Emission Factors'!$A$44:$A$45,'Emission Factors'!$C$44:$C$45))</f>
        <v/>
      </c>
      <c r="E17" s="56" t="str">
        <f>IF('Permitted Diesel Engines'!C11="","",'Permitted Diesel Engines'!K11)</f>
        <v/>
      </c>
      <c r="F17" s="56" t="str">
        <f>IF('Permitted Diesel Engines'!C11="","","MMBtu/hr")</f>
        <v/>
      </c>
      <c r="G17" s="146" t="str">
        <f>IF('Permitted Diesel Engines'!C11="","",LOOKUP('Permitted Diesel Engines'!C11,'Emission Factors'!$A$44:$A$45,'Emission Factors'!$E$44:$E$45))</f>
        <v/>
      </c>
      <c r="H17" s="56" t="str">
        <f>IF('Permitted Diesel Engines'!C11="","",LOOKUP('Permitted Diesel Engines'!C11,'Emission Factors'!$A$44:$A$45,'Emission Factors'!$D$44:$D$45))</f>
        <v/>
      </c>
      <c r="I17" s="119" t="str">
        <f>IF('Permitted Diesel Engines'!C11="","",LOOKUP('Permitted Diesel Engines'!C11,'Emission Factors'!$A$44:$A$45,'Emission Factors'!$F$44:$F$45))</f>
        <v/>
      </c>
      <c r="J17" s="59" t="str">
        <f>IF('Permitted Diesel Engines'!C11="","",'Emission Calculations'!E17*'Emission Calculations'!G17)</f>
        <v/>
      </c>
      <c r="K17" s="59"/>
      <c r="L17" s="56"/>
      <c r="M17" s="59"/>
      <c r="N17" s="59" t="str">
        <f>IF(G17="","",IF('Permitted Diesel Engines'!$D$3&gt;0,"",IF('Permitted Diesel Engines'!E11&gt;0,'Permitted Diesel Engines'!E11*'Emission Calculations'!G17*E17/2000,'Emission Calculations'!J17*8760/2000)))</f>
        <v/>
      </c>
      <c r="O17" s="59" t="str">
        <f>IF('Permitted Diesel Engines'!C11="","",'Permitted Diesel Engines'!L11*0.14*'Emission Calculations'!G17/2000)</f>
        <v/>
      </c>
    </row>
    <row r="18" spans="1:15" ht="15.75" thickBot="1" x14ac:dyDescent="0.3">
      <c r="B18" s="56" t="str">
        <f>IF('Permitted Diesel Engines'!A12="","",'Permitted Diesel Engines'!A12)</f>
        <v/>
      </c>
      <c r="C18" s="144" t="str">
        <f>IF('Permitted Diesel Engines'!C12="","",'Permitted Diesel Engines'!C12)</f>
        <v/>
      </c>
      <c r="D18" s="91" t="str">
        <f>IF('Permitted Diesel Engines'!C12="","",LOOKUP('Permitted Diesel Engines'!C12,'Emission Factors'!$A$44:$A$45,'Emission Factors'!$C$44:$C$45))</f>
        <v/>
      </c>
      <c r="E18" s="56" t="str">
        <f>IF('Permitted Diesel Engines'!C12="","",'Permitted Diesel Engines'!K12)</f>
        <v/>
      </c>
      <c r="F18" s="56" t="str">
        <f>IF('Permitted Diesel Engines'!C12="","","MMBtu/hr")</f>
        <v/>
      </c>
      <c r="G18" s="146" t="str">
        <f>IF('Permitted Diesel Engines'!C12="","",LOOKUP('Permitted Diesel Engines'!C12,'Emission Factors'!$A$44:$A$45,'Emission Factors'!$E$44:$E$45))</f>
        <v/>
      </c>
      <c r="H18" s="56" t="str">
        <f>IF('Permitted Diesel Engines'!C12="","",LOOKUP('Permitted Diesel Engines'!C12,'Emission Factors'!$A$44:$A$45,'Emission Factors'!$D$44:$D$45))</f>
        <v/>
      </c>
      <c r="I18" s="272" t="str">
        <f>IF('Permitted Diesel Engines'!C12="","",LOOKUP('Permitted Diesel Engines'!C12,'Emission Factors'!$A$44:$A$45,'Emission Factors'!$F$44:$F$45))</f>
        <v/>
      </c>
      <c r="J18" s="276" t="str">
        <f>IF('Permitted Diesel Engines'!C12="","",'Emission Calculations'!E18*'Emission Calculations'!G18)</f>
        <v/>
      </c>
      <c r="K18" s="276"/>
      <c r="L18" s="273"/>
      <c r="M18" s="276"/>
      <c r="N18" s="276" t="str">
        <f>IF(G18="","",IF('Permitted Diesel Engines'!$D$3&gt;0,"",IF('Permitted Diesel Engines'!E12&gt;0,'Permitted Diesel Engines'!E12*'Emission Calculations'!G18*E18/2000,'Emission Calculations'!J18*8760/2000)))</f>
        <v/>
      </c>
      <c r="O18" s="276" t="str">
        <f>IF('Permitted Diesel Engines'!C12="","",'Permitted Diesel Engines'!L12*0.14*'Emission Calculations'!G18/2000)</f>
        <v/>
      </c>
    </row>
    <row r="19" spans="1:15" ht="15.75" thickBot="1" x14ac:dyDescent="0.3">
      <c r="B19" s="7"/>
      <c r="C19" s="6"/>
      <c r="D19" s="6"/>
      <c r="E19" s="7"/>
      <c r="F19" s="7"/>
      <c r="G19" s="7"/>
      <c r="H19" s="7"/>
      <c r="I19" s="290"/>
      <c r="J19" s="291"/>
      <c r="K19" s="291"/>
      <c r="L19" s="277" t="s">
        <v>36</v>
      </c>
      <c r="M19" s="278"/>
      <c r="N19" s="279">
        <f>SUM(N5:N18)</f>
        <v>0</v>
      </c>
      <c r="O19" s="292">
        <f>SUM(O5:O18)</f>
        <v>0</v>
      </c>
    </row>
    <row r="20" spans="1:15" x14ac:dyDescent="0.25">
      <c r="B20" s="7"/>
      <c r="C20" s="6"/>
      <c r="D20" s="6"/>
      <c r="E20" s="7"/>
      <c r="F20" s="7"/>
      <c r="G20" s="7"/>
      <c r="H20" s="7"/>
      <c r="I20" s="7"/>
      <c r="J20" s="10"/>
      <c r="K20" s="10"/>
      <c r="L20" s="7"/>
      <c r="M20" s="79"/>
      <c r="N20" s="79"/>
      <c r="O20" s="79"/>
    </row>
    <row r="21" spans="1:15" ht="18.75" customHeight="1" x14ac:dyDescent="0.3">
      <c r="B21" s="299" t="s">
        <v>24</v>
      </c>
      <c r="C21" s="299"/>
      <c r="D21" s="46"/>
      <c r="E21" s="7"/>
      <c r="F21" s="7"/>
      <c r="G21" s="7"/>
      <c r="H21" s="6"/>
      <c r="I21" s="6"/>
      <c r="K21" s="104"/>
      <c r="L21" s="6"/>
    </row>
    <row r="22" spans="1:15" ht="45" x14ac:dyDescent="0.25">
      <c r="B22" s="270" t="s">
        <v>18</v>
      </c>
      <c r="C22" s="260" t="s">
        <v>19</v>
      </c>
      <c r="D22" s="270" t="s">
        <v>16</v>
      </c>
      <c r="E22" s="260" t="s">
        <v>17</v>
      </c>
      <c r="F22" s="249" t="s">
        <v>51</v>
      </c>
      <c r="G22" s="260" t="s">
        <v>20</v>
      </c>
      <c r="H22" s="249" t="s">
        <v>51</v>
      </c>
      <c r="I22" s="254" t="s">
        <v>212</v>
      </c>
      <c r="J22" s="260" t="s">
        <v>139</v>
      </c>
      <c r="K22" s="155"/>
      <c r="L22" s="260" t="s">
        <v>22</v>
      </c>
      <c r="M22" s="260" t="s">
        <v>140</v>
      </c>
      <c r="N22" s="260" t="s">
        <v>21</v>
      </c>
      <c r="O22" s="260" t="s">
        <v>25</v>
      </c>
    </row>
    <row r="23" spans="1:15" x14ac:dyDescent="0.25">
      <c r="A23" s="39" t="str">
        <f>IF('Facility Information'!$B$24="","",IF('Facility Information'!$B$26="yes",LOOKUP('Facility Processes'!C6,'Emission Factors'!$A$12:$A$17,'Emission Factors'!G12:G17),LOOKUP('Facility Processes'!C6,'Emission Factors'!$A$5:$A$10,'Emission Factors'!G5:G10)))</f>
        <v/>
      </c>
      <c r="B23" s="56" t="str">
        <f>IF('Facility Processes'!B6="","",'Facility Processes'!B6)</f>
        <v/>
      </c>
      <c r="C23" s="91" t="str">
        <f>IF('Facility Processes'!C6="","",'Facility Processes'!C6)</f>
        <v/>
      </c>
      <c r="D23" s="91" t="str">
        <f>IF('Facility Processes'!C6="","",IF('Facility Information'!$B$26="Yes",LOOKUP('Facility Processes'!C6,'Emission Factors'!A12:A17,'Emission Factors'!C12:C17),IF('Facility Information'!$B$26="No",LOOKUP('Facility Processes'!C6,'Emission Factors'!A5:A10,'Emission Factors'!C5:C10))))</f>
        <v/>
      </c>
      <c r="E23" s="56" t="str">
        <f>IF('Facility Processes'!G6="","",'Facility Processes'!G6)</f>
        <v/>
      </c>
      <c r="F23" s="56" t="str">
        <f>IF('Facility Processes'!G6="","","tons/hr")</f>
        <v/>
      </c>
      <c r="G23" s="145" t="str">
        <f>IF('Facility Processes'!C6="","",IF('Facility Information'!F35&gt;0,('Facility Information'!F35/'Facility Information'!G35),IF(('Facility Processes'!H6*A23/2000)&gt;A5,('Facility Information'!F34/'Facility Information'!G34),IF('Facility Information'!$B$24="","",IF('Facility Information'!$B$26="yes",LOOKUP('Facility Processes'!C6,'Emission Factors'!$A$12:$A$17,'Emission Factors'!G12:G17),LOOKUP('Facility Processes'!C6,'Emission Factors'!$A$5:$A$10,'Emission Factors'!G5:G10))))))</f>
        <v/>
      </c>
      <c r="H23" s="56" t="str">
        <f>IF(G23="","","lbs/ton")</f>
        <v/>
      </c>
      <c r="I23" s="112" t="str">
        <f>IF(G23="","",IF(O23=A5,"Stack Test",IF('Facility Information'!F35="",LOOKUP(C23,'Emission Factors'!A5:A10,'Emission Factors'!D5:D10),"Stack Test")))</f>
        <v/>
      </c>
      <c r="J23" s="59" t="str">
        <f>IF(G23="","",IF('Facility Information'!$B$26="NO",E23*G23,""))</f>
        <v/>
      </c>
      <c r="K23" s="59"/>
      <c r="L23" s="56"/>
      <c r="M23" s="59" t="str">
        <f>IF(G23="","",IF('Facility Information'!N30&gt;0,'Facility Information'!N30,IF('Facility Information'!$B$26="YES",E23*G23,"")))</f>
        <v/>
      </c>
      <c r="N23" s="59" t="str">
        <f>IF(G23="","",IF('Facility Information'!O30&gt;0,'Facility Information'!O30,IF('Facility Information'!$C$30&gt;0,'Facility Information'!$C$30*G23/2000,IF('Facility Information'!$C$31&gt;0,'Facility Information'!$C$31*365*G23/2000,E23*G23*8760/2000))))</f>
        <v/>
      </c>
      <c r="O23" s="59" t="str">
        <f>IF('Facility Processes'!C6="","",IF('Facility Information'!F35&gt;0,('Facility Information'!F35/'Facility Information'!G35*'Facility Processes'!H6/2000),IF(('Facility Processes'!H6*'Emission Calculations'!G23/2000)&gt;A5,A5,('Facility Processes'!H6*'Emission Calculations'!G23/2000))))</f>
        <v/>
      </c>
    </row>
    <row r="24" spans="1:15" x14ac:dyDescent="0.25">
      <c r="B24" s="56" t="str">
        <f>IF('Facility Processes'!$B$14="","",'Facility Processes'!$B$14)</f>
        <v/>
      </c>
      <c r="C24" s="91" t="str">
        <f>IF('Facility Processes'!$G$14="","",'Facility Processes'!$C$14)</f>
        <v/>
      </c>
      <c r="D24" s="91" t="str">
        <f>IF(C24="","",LOOKUP(C24,'Emission Factors'!$A$23,'Emission Factors'!$C$23))</f>
        <v/>
      </c>
      <c r="E24" s="56" t="str">
        <f>IF('Facility Processes'!$G$14="","",'Facility Processes'!$G$14)</f>
        <v/>
      </c>
      <c r="F24" s="56" t="str">
        <f>IF('Facility Processes'!$G$14="","","tons/hr")</f>
        <v/>
      </c>
      <c r="G24" s="145" t="str">
        <f>IF(C24="","",'Emission Factors'!$G$23)</f>
        <v/>
      </c>
      <c r="H24" s="56" t="str">
        <f>IF(G24="","","lbs/ton")</f>
        <v/>
      </c>
      <c r="I24" s="119" t="str">
        <f>IF(G24="","",'Emission Factors'!$D$23)</f>
        <v/>
      </c>
      <c r="J24" s="59" t="str">
        <f>IF(G24="","",G24*E24)</f>
        <v/>
      </c>
      <c r="K24" s="59"/>
      <c r="L24" s="56"/>
      <c r="M24" s="59"/>
      <c r="N24" s="59" t="str">
        <f>IF('Facility Processes'!G14="","",IF('Facility Information'!$C$30&gt;0,'Facility Information'!$C$30*G24/2000,IF('Facility Information'!$C$31&gt;0,'Facility Information'!$C$31*365*G24*E24/2000,E24*G24*8760/2000)))</f>
        <v/>
      </c>
      <c r="O24" s="59" t="str">
        <f>IF('Facility Processes'!H14="","",'Facility Processes'!H14*G24/2000)</f>
        <v/>
      </c>
    </row>
    <row r="25" spans="1:15" x14ac:dyDescent="0.25">
      <c r="B25" s="56" t="str">
        <f>IF('Facility Processes'!$B$15="","",'Facility Processes'!$B$15)</f>
        <v/>
      </c>
      <c r="C25" s="91" t="str">
        <f>IF('Facility Processes'!$G$15="","",'Facility Processes'!$C$15)</f>
        <v/>
      </c>
      <c r="D25" s="91" t="str">
        <f>IF(C25="","",LOOKUP(C25,'Emission Factors'!$A$24,'Emission Factors'!$C$24))</f>
        <v/>
      </c>
      <c r="E25" s="56" t="str">
        <f>IF('Facility Processes'!$G$15="","",'Facility Processes'!$G$15)</f>
        <v/>
      </c>
      <c r="F25" s="56" t="str">
        <f>IF('Facility Processes'!$G$15="","","tons/hr")</f>
        <v/>
      </c>
      <c r="G25" s="145" t="str">
        <f>IF(C25="","",'Emission Factors'!$G$24)</f>
        <v/>
      </c>
      <c r="H25" s="56" t="str">
        <f>IF(G25="","","lbs/ton")</f>
        <v/>
      </c>
      <c r="I25" s="119" t="str">
        <f>IF(G25="","",'Emission Factors'!$D$24)</f>
        <v/>
      </c>
      <c r="J25" s="59" t="str">
        <f>IF(G25="","",G25*E25)</f>
        <v/>
      </c>
      <c r="K25" s="59"/>
      <c r="L25" s="56"/>
      <c r="M25" s="59"/>
      <c r="N25" s="59" t="str">
        <f>IF('Facility Processes'!G15="","",IF('Facility Information'!$C$30&gt;0,'Facility Information'!$C$30*G25/2000,IF('Facility Information'!$C$31&gt;0,'Facility Information'!$C$31*365*G25*E25/2000,E25*G25*8760/2000)))</f>
        <v/>
      </c>
      <c r="O25" s="59" t="str">
        <f>IF('Facility Processes'!H15="","",'Facility Processes'!H15*G25/2000)</f>
        <v/>
      </c>
    </row>
    <row r="26" spans="1:15" x14ac:dyDescent="0.25">
      <c r="B26" s="56" t="str">
        <f>IF('Facility Processes'!$B$16="","",'Facility Processes'!$B$16)</f>
        <v/>
      </c>
      <c r="C26" s="91" t="str">
        <f>IF('Facility Processes'!$G$16="","",'Facility Processes'!$C$16)</f>
        <v/>
      </c>
      <c r="D26" s="91" t="str">
        <f>IF(C26="","",LOOKUP(C26,'Emission Factors'!$A$25,'Emission Factors'!$C$25))</f>
        <v/>
      </c>
      <c r="E26" s="56" t="str">
        <f>IF('Facility Processes'!$G$16="","",'Facility Processes'!$G$16)</f>
        <v/>
      </c>
      <c r="F26" s="56" t="str">
        <f>IF('Facility Processes'!$G$16="","","tons/hr")</f>
        <v/>
      </c>
      <c r="G26" s="145" t="str">
        <f>IF(C26="","",'Emission Factors'!$G$25)</f>
        <v/>
      </c>
      <c r="H26" s="56" t="str">
        <f>IF(G26="","","lbs/ton")</f>
        <v/>
      </c>
      <c r="I26" s="147" t="str">
        <f>IF(G26="","",'Emission Factors'!$D$25)</f>
        <v/>
      </c>
      <c r="J26" s="59" t="str">
        <f>IF(G26="","",IF('Facility Processes'!$I$16="",G26*E26,G26*E26*'Facility Processes'!$I$16))</f>
        <v/>
      </c>
      <c r="K26" s="59"/>
      <c r="L26" s="56"/>
      <c r="M26" s="59"/>
      <c r="N26" s="59" t="str">
        <f>IF('Facility Processes'!G16="","",IF('Facility Information'!$C$30&gt;0,'Facility Information'!$C$30*G26/2000,IF('Facility Information'!$C$31&gt;0,'Facility Information'!$C$31*365*G26*E26/2000,E26*G26*8760/2000)))</f>
        <v/>
      </c>
      <c r="O26" s="59" t="str">
        <f>IF('Facility Processes'!H16="","",'Facility Processes'!H16*G26/2000)</f>
        <v/>
      </c>
    </row>
    <row r="27" spans="1:15" x14ac:dyDescent="0.25">
      <c r="B27" s="56" t="str">
        <f>IF('Facility Processes'!B20="","",'Facility Processes'!B20)</f>
        <v/>
      </c>
      <c r="C27" s="91" t="str">
        <f>IF('Facility Processes'!G20="","",'Facility Processes'!C20)</f>
        <v/>
      </c>
      <c r="D27" s="91" t="str">
        <f>IF(C27="","",LOOKUP(C27,'Emission Factors'!A26,'Emission Factors'!C26))</f>
        <v/>
      </c>
      <c r="E27" s="56" t="str">
        <f>IF('Facility Processes'!G20="","",'Facility Processes'!G20)</f>
        <v/>
      </c>
      <c r="F27" s="56" t="str">
        <f>IF('Facility Processes'!G20="","","acre-day")</f>
        <v/>
      </c>
      <c r="G27" s="145" t="str">
        <f>IF(C27="","",'Emission Factors'!G26)</f>
        <v/>
      </c>
      <c r="H27" s="56" t="str">
        <f>IF(G27="","",'Emission Factors'!H26)</f>
        <v/>
      </c>
      <c r="I27" s="119" t="str">
        <f>IF(G27="","",'Emission Factors'!D26)</f>
        <v/>
      </c>
      <c r="J27" s="59" t="str">
        <f>IF(G27="","",'Facility Processes'!G20*G27*(1/24))</f>
        <v/>
      </c>
      <c r="K27" s="59"/>
      <c r="L27" s="56"/>
      <c r="M27" s="59"/>
      <c r="N27" s="59" t="str">
        <f>IF('Facility Processes'!G20="","",'Facility Processes'!G20*G27*365/2000)</f>
        <v/>
      </c>
      <c r="O27" s="59" t="str">
        <f>IF('Facility Processes'!G20="","",'Facility Processes'!H20*'Facility Processes'!I20*G27/2000)</f>
        <v/>
      </c>
    </row>
    <row r="28" spans="1:15" x14ac:dyDescent="0.25">
      <c r="B28" s="56" t="str">
        <f>IF('Facility Processes'!B25="","",'Facility Processes'!B25)</f>
        <v/>
      </c>
      <c r="C28" s="100" t="str">
        <f>IF('Facility Processes'!G25="","",'Facility Processes'!C25)</f>
        <v/>
      </c>
      <c r="D28" s="91" t="str">
        <f>IF(C28="","","30500290")</f>
        <v/>
      </c>
      <c r="E28" s="59" t="str">
        <f>IF(G28="","",'Facility Processes'!$D$30*'Facility Processes'!$K$25/8760)</f>
        <v/>
      </c>
      <c r="F28" s="56" t="str">
        <f>IF(G28="","","vmt/hr")</f>
        <v/>
      </c>
      <c r="G28" s="146" t="str">
        <f>IF('Facility Processes'!$G$25="","",(1.5*(('Facility Processes'!$D$32/12)^0.9)*(('Facility Processes'!$D$28/3)^0.45)*((365-'Facility Processes'!$D$33)/365)))</f>
        <v/>
      </c>
      <c r="H28" s="56" t="str">
        <f>IF(G28="","","lb/vmt")</f>
        <v/>
      </c>
      <c r="I28" s="119" t="str">
        <f>IF(G28="","","AP-42 Ch 13.2.2")</f>
        <v/>
      </c>
      <c r="J28" s="59" t="str">
        <f>IF(G28="","",N28/((100-K28)/100)*2000/8760)</f>
        <v/>
      </c>
      <c r="K28" s="121">
        <f>IF(L28="",0,L28)</f>
        <v>0</v>
      </c>
      <c r="L28" s="56" t="str">
        <f>IF('Facility Processes'!$G$25="","",IF('Facility Processes'!$D$34="NO","",40))</f>
        <v/>
      </c>
      <c r="M28" s="59" t="str">
        <f>IF(L28="","",N28*2000/8760)</f>
        <v/>
      </c>
      <c r="N28" s="59" t="str">
        <f>IF(G28="","",IF(L28="",G28*'Facility Processes'!$D$30*'Facility Processes'!$K$25/2000,G28*'Facility Processes'!$D$30*'Facility Processes'!$K$25/2000*(100-K28)/100))</f>
        <v/>
      </c>
      <c r="O28" s="59" t="str">
        <f>IF(G28="","",IF(L28="",'Facility Processes'!$D$31*'Facility Processes'!$K$25*G28/2000, 'Facility Processes'!$D$31*'Facility Processes'!$K$25*G28/2000*((100-K28)/100)))</f>
        <v/>
      </c>
    </row>
    <row r="29" spans="1:15" x14ac:dyDescent="0.25">
      <c r="B29" s="56" t="str">
        <f>IF('Facility Processes'!B38="","",'Facility Processes'!B38)</f>
        <v/>
      </c>
      <c r="C29" s="100" t="str">
        <f>IF('Facility Processes'!G38="","",'Facility Processes'!C38)</f>
        <v/>
      </c>
      <c r="D29" s="91" t="str">
        <f>IF(C29="","","30500290")</f>
        <v/>
      </c>
      <c r="E29" s="59" t="str">
        <f>IF(G29="","",'Facility Processes'!$D$43*'Facility Processes'!$K$38/8760)</f>
        <v/>
      </c>
      <c r="F29" s="56" t="str">
        <f>IF(G29="","","vmt/hr")</f>
        <v/>
      </c>
      <c r="G29" s="146" t="str">
        <f>IF('Facility Processes'!$G$38="","",(1.5*(('Facility Processes'!$D$45/12)^0.9)*(('Facility Processes'!$D$41/3)^0.45)*((365-'Facility Processes'!$D$46)/365)))</f>
        <v/>
      </c>
      <c r="H29" s="56" t="str">
        <f>IF(G29="","","lb/vmt")</f>
        <v/>
      </c>
      <c r="I29" s="119" t="str">
        <f>IF(G29="","","AP-42 Ch 13.2.2")</f>
        <v/>
      </c>
      <c r="J29" s="59" t="str">
        <f>IF(G29="","",N29/((100-K29)/100)*2000/8760)</f>
        <v/>
      </c>
      <c r="K29" s="121">
        <f>IF(L29="",0,L29)</f>
        <v>0</v>
      </c>
      <c r="L29" s="56" t="str">
        <f>IF('Facility Processes'!$G$38="","",IF('Facility Processes'!$D$47="NO","",40))</f>
        <v/>
      </c>
      <c r="M29" s="59" t="str">
        <f>IF(L29="","",N29*2000/8760)</f>
        <v/>
      </c>
      <c r="N29" s="59" t="str">
        <f>IF(G29="","",IF(L29="",G29*'Facility Processes'!$D$43*'Facility Processes'!$K$38/2000,G29*'Facility Processes'!$D$43*'Facility Processes'!$K$38/2000*(100-K29)/100))</f>
        <v/>
      </c>
      <c r="O29" s="59" t="str">
        <f>IF(G29="","",IF(L29="",'Facility Processes'!$D$44*'Facility Processes'!$K$38*G29/2000, 'Facility Processes'!$D$44*'Facility Processes'!$K$38*G29/2000*((100-K29)/100)))</f>
        <v/>
      </c>
    </row>
    <row r="30" spans="1:15" x14ac:dyDescent="0.25">
      <c r="B30" s="56" t="str">
        <f>IF('Facility Processes'!B52="","",'Facility Processes'!B52)</f>
        <v/>
      </c>
      <c r="C30" s="100" t="str">
        <f>IF('Facility Processes'!G52="","",'Facility Processes'!C52)</f>
        <v/>
      </c>
      <c r="D30" s="91" t="str">
        <f>IF(C30="","","30500290")</f>
        <v/>
      </c>
      <c r="E30" s="59" t="str">
        <f>IF(G30="","",'Facility Processes'!$D$57*'Facility Processes'!$K$52/8760)</f>
        <v/>
      </c>
      <c r="F30" s="56" t="str">
        <f>IF(G30="","","vmt/hr")</f>
        <v/>
      </c>
      <c r="G30" s="146" t="str">
        <f>IF('Facility Processes'!$G$52="","",(0.0022*('Facility Processes'!$D$59^0.91)*('Facility Processes'!$D$55^1.02))*((1-('Facility Processes'!$D$60)/1460)))</f>
        <v/>
      </c>
      <c r="H30" s="56" t="str">
        <f>IF(G30="","","lb/vmt")</f>
        <v/>
      </c>
      <c r="I30" s="119" t="str">
        <f>IF(G30="","","AP-42 Ch 13.2.1")</f>
        <v/>
      </c>
      <c r="J30" s="59" t="str">
        <f>IF(G30="","",N30*2000/8760)</f>
        <v/>
      </c>
      <c r="K30" s="121"/>
      <c r="L30" s="56"/>
      <c r="M30" s="59"/>
      <c r="N30" s="59" t="str">
        <f>IF(G30="","",G30*'Facility Processes'!$D$57*'Facility Processes'!$K$52/2000)</f>
        <v/>
      </c>
      <c r="O30" s="59" t="str">
        <f>IF(G30="","",'Facility Processes'!$D$58*'Facility Processes'!$K$52*G30/2000)</f>
        <v/>
      </c>
    </row>
    <row r="31" spans="1:15" x14ac:dyDescent="0.25">
      <c r="B31" s="56" t="str">
        <f>IF('Facility Processes'!B64="","",'Facility Processes'!B64)</f>
        <v/>
      </c>
      <c r="C31" s="100" t="str">
        <f>IF('Facility Processes'!G64="","",'Facility Processes'!C64)</f>
        <v/>
      </c>
      <c r="D31" s="91" t="str">
        <f>IF(C31="","","30500290")</f>
        <v/>
      </c>
      <c r="E31" s="59" t="str">
        <f>IF(G31="","",'Facility Processes'!$D$69*'Facility Processes'!$K$64/8760)</f>
        <v/>
      </c>
      <c r="F31" s="56" t="str">
        <f>IF(G31="","","vmt/hr")</f>
        <v/>
      </c>
      <c r="G31" s="146" t="str">
        <f>IF('Facility Processes'!$G$64="","",(0.0022*('Facility Processes'!$D$71^0.91)*('Facility Processes'!$D$67^1.02))*((1-('Facility Processes'!$D$72)/1460)))</f>
        <v/>
      </c>
      <c r="H31" s="56" t="str">
        <f>IF(G31="","","lb/vmt")</f>
        <v/>
      </c>
      <c r="I31" s="119" t="str">
        <f>IF(G31="","","AP-42 Ch 13.2.1")</f>
        <v/>
      </c>
      <c r="J31" s="59" t="str">
        <f>IF(G31="","",N31*2000/8760)</f>
        <v/>
      </c>
      <c r="K31" s="121"/>
      <c r="L31" s="56"/>
      <c r="M31" s="151"/>
      <c r="N31" s="59" t="str">
        <f>IF(G31="","",G31*'Facility Processes'!$D$69*'Facility Processes'!$K$64/2000)</f>
        <v/>
      </c>
      <c r="O31" s="59" t="str">
        <f>IF(G31="","",'Facility Processes'!$D$70*'Facility Processes'!$K$64*G31/2000)</f>
        <v/>
      </c>
    </row>
    <row r="32" spans="1:15" x14ac:dyDescent="0.25">
      <c r="B32" s="56" t="str">
        <f>IF('Permitted Diesel Engines'!A8="","",'Permitted Diesel Engines'!A8)</f>
        <v/>
      </c>
      <c r="C32" s="144" t="str">
        <f>IF('Permitted Diesel Engines'!C8="","",'Permitted Diesel Engines'!C8)</f>
        <v/>
      </c>
      <c r="D32" s="91" t="str">
        <f>IF('Permitted Diesel Engines'!C8="","",LOOKUP('Permitted Diesel Engines'!C8,'Emission Factors'!$A$44:$A$45,'Emission Factors'!$C$44:$C$45))</f>
        <v/>
      </c>
      <c r="E32" s="56" t="str">
        <f>IF('Permitted Diesel Engines'!C8="","",'Permitted Diesel Engines'!K8)</f>
        <v/>
      </c>
      <c r="F32" s="56" t="str">
        <f>IF('Permitted Diesel Engines'!C8="","","MMBtu/hr")</f>
        <v/>
      </c>
      <c r="G32" s="146" t="str">
        <f>IF('Permitted Diesel Engines'!C8="","",LOOKUP('Permitted Diesel Engines'!C8,'Emission Factors'!$A$44:$A$45,'Emission Factors'!$G$44:$G$45))</f>
        <v/>
      </c>
      <c r="H32" s="56" t="str">
        <f>IF('Permitted Diesel Engines'!C8="","",LOOKUP('Permitted Diesel Engines'!C8,'Emission Factors'!$A$44:$A$45,'Emission Factors'!$D$44:$D$45))</f>
        <v/>
      </c>
      <c r="I32" s="119" t="str">
        <f>IF('Permitted Diesel Engines'!C8="","",LOOKUP('Permitted Diesel Engines'!C8,'Emission Factors'!$A$44:$A$45,'Emission Factors'!$H$44:$H$45))</f>
        <v/>
      </c>
      <c r="J32" s="59" t="str">
        <f>IF('Permitted Diesel Engines'!C8="","",E32*G32)</f>
        <v/>
      </c>
      <c r="K32" s="59"/>
      <c r="L32" s="56"/>
      <c r="M32" s="59"/>
      <c r="N32" s="59" t="str">
        <f>IF(G32="","",IF('Permitted Diesel Engines'!D3&gt;0,IF('Permitted Diesel Engines'!N10&gt;0,'Permitted Diesel Engines'!D3*0.14*'Emission Factors'!G44/2000,'Permitted Diesel Engines'!D3*0.14*'Emission Factors'!G45/2000),IF('Permitted Diesel Engines'!E8&gt;0,'Permitted Diesel Engines'!E8*'Emission Calculations'!G32*E32/2000,'Emission Calculations'!J32*8760/2000)))</f>
        <v/>
      </c>
      <c r="O32" s="59" t="str">
        <f>IF('Permitted Diesel Engines'!C8="","",'Permitted Diesel Engines'!L8*0.14*'Emission Calculations'!G32/2000)</f>
        <v/>
      </c>
    </row>
    <row r="33" spans="1:15" x14ac:dyDescent="0.25">
      <c r="B33" s="56" t="str">
        <f>IF('Permitted Diesel Engines'!A9="","",'Permitted Diesel Engines'!A9)</f>
        <v/>
      </c>
      <c r="C33" s="144" t="str">
        <f>IF('Permitted Diesel Engines'!C9="","",'Permitted Diesel Engines'!C9)</f>
        <v/>
      </c>
      <c r="D33" s="91" t="str">
        <f>IF('Permitted Diesel Engines'!C9="","",LOOKUP('Permitted Diesel Engines'!C9,'Emission Factors'!$A$44:$A$45,'Emission Factors'!$C$44:$C$45))</f>
        <v/>
      </c>
      <c r="E33" s="56" t="str">
        <f>IF('Permitted Diesel Engines'!C9="","",'Permitted Diesel Engines'!K9)</f>
        <v/>
      </c>
      <c r="F33" s="56" t="str">
        <f>IF('Permitted Diesel Engines'!C9="","","MMBtu/hr")</f>
        <v/>
      </c>
      <c r="G33" s="146" t="str">
        <f>IF('Permitted Diesel Engines'!C9="","",LOOKUP('Permitted Diesel Engines'!C9,'Emission Factors'!$A$44:$A$45,'Emission Factors'!$G$44:$G$45))</f>
        <v/>
      </c>
      <c r="H33" s="56" t="str">
        <f>IF('Permitted Diesel Engines'!C9="","",LOOKUP('Permitted Diesel Engines'!C9,'Emission Factors'!$A$44:$A$45,'Emission Factors'!$D$44:$D$45))</f>
        <v/>
      </c>
      <c r="I33" s="119" t="str">
        <f>IF('Permitted Diesel Engines'!C9="","",LOOKUP('Permitted Diesel Engines'!C9,'Emission Factors'!$A$44:$A$45,'Emission Factors'!$H$44:$H$45))</f>
        <v/>
      </c>
      <c r="J33" s="59" t="str">
        <f>IF('Permitted Diesel Engines'!C9="","",E33*G33)</f>
        <v/>
      </c>
      <c r="K33" s="59"/>
      <c r="L33" s="56"/>
      <c r="M33" s="59"/>
      <c r="N33" s="59" t="str">
        <f>IF(G33="","",IF('Permitted Diesel Engines'!$D$3&gt;0,"",IF('Permitted Diesel Engines'!E8&gt;0,'Permitted Diesel Engines'!E8*'Emission Calculations'!G33*E33/2000,'Emission Calculations'!J33*8760/2000)))</f>
        <v/>
      </c>
      <c r="O33" s="59" t="str">
        <f>IF('Permitted Diesel Engines'!C9="","",'Permitted Diesel Engines'!L9*0.14*'Emission Calculations'!G33/2000)</f>
        <v/>
      </c>
    </row>
    <row r="34" spans="1:15" x14ac:dyDescent="0.25">
      <c r="B34" s="56" t="str">
        <f>IF('Permitted Diesel Engines'!A10="","",'Permitted Diesel Engines'!A10)</f>
        <v/>
      </c>
      <c r="C34" s="144" t="str">
        <f>IF('Permitted Diesel Engines'!C10="","",'Permitted Diesel Engines'!C10)</f>
        <v/>
      </c>
      <c r="D34" s="91" t="str">
        <f>IF('Permitted Diesel Engines'!C10="","",LOOKUP('Permitted Diesel Engines'!C10,'Emission Factors'!$A$44:$A$45,'Emission Factors'!$C$44:$C$45))</f>
        <v/>
      </c>
      <c r="E34" s="56" t="str">
        <f>IF('Permitted Diesel Engines'!C10="","",'Permitted Diesel Engines'!K10)</f>
        <v/>
      </c>
      <c r="F34" s="56" t="str">
        <f>IF('Permitted Diesel Engines'!C10="","","MMBtu/hr")</f>
        <v/>
      </c>
      <c r="G34" s="146" t="str">
        <f>IF('Permitted Diesel Engines'!C10="","",LOOKUP('Permitted Diesel Engines'!C10,'Emission Factors'!$A$44:$A$45,'Emission Factors'!$G$44:$G$45))</f>
        <v/>
      </c>
      <c r="H34" s="56" t="str">
        <f>IF('Permitted Diesel Engines'!C10="","",LOOKUP('Permitted Diesel Engines'!C10,'Emission Factors'!$A$44:$A$45,'Emission Factors'!$D$44:$D$45))</f>
        <v/>
      </c>
      <c r="I34" s="119" t="str">
        <f>IF('Permitted Diesel Engines'!C10="","",LOOKUP('Permitted Diesel Engines'!C10,'Emission Factors'!$A$44:$A$45,'Emission Factors'!$H$44:$H$45))</f>
        <v/>
      </c>
      <c r="J34" s="59" t="str">
        <f>IF('Permitted Diesel Engines'!C10="","",E34*G34)</f>
        <v/>
      </c>
      <c r="K34" s="59"/>
      <c r="L34" s="56"/>
      <c r="M34" s="59"/>
      <c r="N34" s="59" t="str">
        <f>IF(G34="","",IF('Permitted Diesel Engines'!$D$3&gt;0,"",IF('Permitted Diesel Engines'!E9&gt;0,'Permitted Diesel Engines'!E9*'Emission Calculations'!G34*E34/2000,'Emission Calculations'!J34*8760/2000)))</f>
        <v/>
      </c>
      <c r="O34" s="59" t="str">
        <f>IF('Permitted Diesel Engines'!C10="","",'Permitted Diesel Engines'!L10*0.14*'Emission Calculations'!G34/2000)</f>
        <v/>
      </c>
    </row>
    <row r="35" spans="1:15" x14ac:dyDescent="0.25">
      <c r="B35" s="56" t="str">
        <f>IF('Permitted Diesel Engines'!A11="","",'Permitted Diesel Engines'!A11)</f>
        <v/>
      </c>
      <c r="C35" s="144" t="str">
        <f>IF('Permitted Diesel Engines'!C11="","",'Permitted Diesel Engines'!C11)</f>
        <v/>
      </c>
      <c r="D35" s="91" t="str">
        <f>IF('Permitted Diesel Engines'!C11="","",LOOKUP('Permitted Diesel Engines'!C11,'Emission Factors'!$A$44:$A$45,'Emission Factors'!$C$44:$C$45))</f>
        <v/>
      </c>
      <c r="E35" s="56" t="str">
        <f>IF('Permitted Diesel Engines'!C11="","",'Permitted Diesel Engines'!K11)</f>
        <v/>
      </c>
      <c r="F35" s="56" t="str">
        <f>IF('Permitted Diesel Engines'!C11="","","MMBtu/hr")</f>
        <v/>
      </c>
      <c r="G35" s="146" t="str">
        <f>IF('Permitted Diesel Engines'!C11="","",LOOKUP('Permitted Diesel Engines'!C11,'Emission Factors'!$A$44:$A$45,'Emission Factors'!$G$44:$G$45))</f>
        <v/>
      </c>
      <c r="H35" s="56" t="str">
        <f>IF('Permitted Diesel Engines'!C11="","",LOOKUP('Permitted Diesel Engines'!C11,'Emission Factors'!$A$44:$A$45,'Emission Factors'!$D$44:$D$45))</f>
        <v/>
      </c>
      <c r="I35" s="119" t="str">
        <f>IF('Permitted Diesel Engines'!C11="","",LOOKUP('Permitted Diesel Engines'!C11,'Emission Factors'!$A$44:$A$45,'Emission Factors'!$H$44:$H$45))</f>
        <v/>
      </c>
      <c r="J35" s="59" t="str">
        <f>IF('Permitted Diesel Engines'!C11="","",E35*G35)</f>
        <v/>
      </c>
      <c r="K35" s="59"/>
      <c r="L35" s="56"/>
      <c r="M35" s="59"/>
      <c r="N35" s="59" t="str">
        <f>IF(G35="","",IF('Permitted Diesel Engines'!$D$3&gt;0,"",IF('Permitted Diesel Engines'!E10&gt;0,'Permitted Diesel Engines'!E10*'Emission Calculations'!G35*E35/2000,'Emission Calculations'!J35*8760/2000)))</f>
        <v/>
      </c>
      <c r="O35" s="59" t="str">
        <f>IF('Permitted Diesel Engines'!C11="","",'Permitted Diesel Engines'!L11*0.14*'Emission Calculations'!G35/2000)</f>
        <v/>
      </c>
    </row>
    <row r="36" spans="1:15" ht="15.75" thickBot="1" x14ac:dyDescent="0.3">
      <c r="B36" s="56" t="str">
        <f>IF('Permitted Diesel Engines'!A12="","",'Permitted Diesel Engines'!A12)</f>
        <v/>
      </c>
      <c r="C36" s="144" t="str">
        <f>IF('Permitted Diesel Engines'!C12="","",'Permitted Diesel Engines'!C12)</f>
        <v/>
      </c>
      <c r="D36" s="91" t="str">
        <f>IF('Permitted Diesel Engines'!C12="","",LOOKUP('Permitted Diesel Engines'!C12,'Emission Factors'!$A$44:$A$45,'Emission Factors'!$C$44:$C$45))</f>
        <v/>
      </c>
      <c r="E36" s="56" t="str">
        <f>IF('Permitted Diesel Engines'!C12="","",'Permitted Diesel Engines'!K12)</f>
        <v/>
      </c>
      <c r="F36" s="56" t="str">
        <f>IF('Permitted Diesel Engines'!C12="","","MMBtu/hr")</f>
        <v/>
      </c>
      <c r="G36" s="146" t="str">
        <f>IF('Permitted Diesel Engines'!C12="","",LOOKUP('Permitted Diesel Engines'!C12,'Emission Factors'!$A$44:$A$45,'Emission Factors'!$G$44:$G$45))</f>
        <v/>
      </c>
      <c r="H36" s="56" t="str">
        <f>IF('Permitted Diesel Engines'!C12="","",LOOKUP('Permitted Diesel Engines'!C12,'Emission Factors'!$A$44:$A$45,'Emission Factors'!$D$44:$D$45))</f>
        <v/>
      </c>
      <c r="I36" s="272" t="str">
        <f>IF('Permitted Diesel Engines'!C12="","",LOOKUP('Permitted Diesel Engines'!C12,'Emission Factors'!$A$44:$A$45,'Emission Factors'!$H$44:$H$45))</f>
        <v/>
      </c>
      <c r="J36" s="276" t="str">
        <f>IF('Permitted Diesel Engines'!C12="","",E36*G36)</f>
        <v/>
      </c>
      <c r="K36" s="276"/>
      <c r="L36" s="273"/>
      <c r="M36" s="276"/>
      <c r="N36" s="276" t="str">
        <f>IF(G36="","",IF('Permitted Diesel Engines'!$D$3&gt;0,"",IF('Permitted Diesel Engines'!E11&gt;0,'Permitted Diesel Engines'!E11*'Emission Calculations'!G36*E36/2000,'Emission Calculations'!J36*8760/2000)))</f>
        <v/>
      </c>
      <c r="O36" s="276" t="str">
        <f>IF('Permitted Diesel Engines'!C12="","",'Permitted Diesel Engines'!L12*0.14*'Emission Calculations'!G36/2000)</f>
        <v/>
      </c>
    </row>
    <row r="37" spans="1:15" ht="15.75" thickBot="1" x14ac:dyDescent="0.3">
      <c r="B37" s="7"/>
      <c r="C37" s="6"/>
      <c r="D37" s="6"/>
      <c r="E37" s="7"/>
      <c r="F37" s="7"/>
      <c r="G37" s="7"/>
      <c r="H37" s="7"/>
      <c r="I37" s="290"/>
      <c r="J37" s="275"/>
      <c r="K37" s="275"/>
      <c r="L37" s="277" t="s">
        <v>36</v>
      </c>
      <c r="M37" s="278"/>
      <c r="N37" s="279">
        <f>SUM(N23:N36)</f>
        <v>0</v>
      </c>
      <c r="O37" s="292">
        <f>SUM(O23:O36)</f>
        <v>0</v>
      </c>
    </row>
    <row r="38" spans="1:15" x14ac:dyDescent="0.25">
      <c r="B38" s="7"/>
      <c r="C38" s="6"/>
      <c r="D38" s="6"/>
      <c r="E38" s="7"/>
      <c r="F38" s="7"/>
      <c r="G38" s="7"/>
      <c r="H38" s="7"/>
      <c r="I38" s="7"/>
      <c r="J38" s="12"/>
      <c r="K38" s="12"/>
      <c r="L38" s="7"/>
      <c r="M38" s="13"/>
      <c r="N38" s="10"/>
      <c r="O38" s="10"/>
    </row>
    <row r="39" spans="1:15" ht="15" customHeight="1" x14ac:dyDescent="0.25">
      <c r="B39" s="7"/>
      <c r="C39" s="6"/>
      <c r="D39" s="6"/>
      <c r="E39" s="7"/>
      <c r="F39" s="7"/>
      <c r="G39" s="7"/>
      <c r="H39" s="7"/>
      <c r="I39" s="7"/>
      <c r="K39" s="104"/>
      <c r="L39" s="7"/>
    </row>
    <row r="40" spans="1:15" ht="45" x14ac:dyDescent="0.25">
      <c r="B40" s="270" t="s">
        <v>18</v>
      </c>
      <c r="C40" s="260" t="s">
        <v>19</v>
      </c>
      <c r="D40" s="270" t="s">
        <v>16</v>
      </c>
      <c r="E40" s="260" t="s">
        <v>17</v>
      </c>
      <c r="F40" s="260" t="s">
        <v>51</v>
      </c>
      <c r="G40" s="260" t="s">
        <v>20</v>
      </c>
      <c r="H40" s="260" t="s">
        <v>51</v>
      </c>
      <c r="I40" s="256" t="s">
        <v>255</v>
      </c>
      <c r="J40" s="260" t="s">
        <v>139</v>
      </c>
      <c r="K40" s="196"/>
      <c r="L40" s="260" t="s">
        <v>22</v>
      </c>
      <c r="M40" s="260" t="s">
        <v>140</v>
      </c>
      <c r="N40" s="260" t="s">
        <v>21</v>
      </c>
      <c r="O40" s="260" t="s">
        <v>25</v>
      </c>
    </row>
    <row r="41" spans="1:15" ht="15.75" x14ac:dyDescent="0.25">
      <c r="B41" s="298" t="s">
        <v>11</v>
      </c>
      <c r="C41" s="298"/>
      <c r="D41" s="6"/>
      <c r="E41" s="7"/>
      <c r="F41" s="7"/>
      <c r="G41" s="7"/>
      <c r="H41" s="7"/>
      <c r="I41" s="7"/>
      <c r="J41" s="12"/>
      <c r="K41" s="12"/>
      <c r="L41" s="7"/>
      <c r="M41" s="10"/>
      <c r="N41" s="10"/>
      <c r="O41" s="10"/>
    </row>
    <row r="42" spans="1:15" s="105" customFormat="1" ht="15.75" x14ac:dyDescent="0.25">
      <c r="A42" s="105" t="str">
        <f>IF('Facility Information'!$B$24="","",IF('Facility Information'!$B$26="yes",LOOKUP('Facility Processes'!C6,'Emission Factors'!$A$12:$A$17,'Emission Factors'!I$12:I$17),LOOKUP('Facility Processes'!C6,'Emission Factors'!$A$5:$A$10,'Emission Factors'!I$5:I$10)))</f>
        <v/>
      </c>
      <c r="B42" s="169" t="str">
        <f>IF(G42="","",IF('Facility Processes'!B6="","",'Facility Processes'!B6))</f>
        <v/>
      </c>
      <c r="C42" s="122" t="str">
        <f>IF(G42="","",'Facility Processes'!C6)</f>
        <v/>
      </c>
      <c r="D42" s="123" t="str">
        <f>IF(C42="","",IF('Facility Information'!$B$26="Yes",LOOKUP('Facility Processes'!C6,'Emission Factors'!A12:A17,'Emission Factors'!C12:C17),IF('Facility Information'!$B$26="No",LOOKUP('Facility Processes'!C6,'Emission Factors'!A5:A10,'Emission Factors'!C5:C10))))</f>
        <v/>
      </c>
      <c r="E42" s="124" t="str">
        <f>IF('Facility Processes'!$G$6="","",'Facility Processes'!$G$6)</f>
        <v/>
      </c>
      <c r="F42" s="124" t="str">
        <f>IF('Facility Processes'!G6="","","tons/hr")</f>
        <v/>
      </c>
      <c r="G42" s="124" t="str">
        <f>IF(A42="","",IF('Facility Information'!F37&gt;0,('Facility Information'!F37/'Facility Information'!G37),IF(A42&gt;0,A42,"")))</f>
        <v/>
      </c>
      <c r="H42" s="124" t="str">
        <f>IF(G42="","","lbs/ton")</f>
        <v/>
      </c>
      <c r="I42" s="111" t="str">
        <f>IF(G42="","",IF('Facility Information'!F37="",LOOKUP(C42,'Emission Factors'!$A$5:$A$10,'Emission Factors'!$D$5:$D$10),"Stack Test"))</f>
        <v/>
      </c>
      <c r="J42" s="11" t="str">
        <f>IF(G42="","",G42*E42)</f>
        <v/>
      </c>
      <c r="K42" s="11"/>
      <c r="L42" s="106"/>
      <c r="M42" s="148" t="str">
        <f>IF('Facility Information'!N31&gt;0,'Facility Information'!N31,"")</f>
        <v/>
      </c>
      <c r="N42" s="59" t="str">
        <f>IF(G42="","",IF('Facility Information'!O31&gt;0,'Facility Information'!O31,IF('Facility Information'!$C$30&gt;0,'Facility Information'!$C$30*G42/2000,IF('Facility Information'!$C$31&gt;0,'Facility Information'!$C$31*365*G42*E42/2000,E42*G42*8760/2000))))</f>
        <v/>
      </c>
      <c r="O42" s="148" t="str">
        <f>IF(G42="","",IF('Facility Information'!F37="",G42*'Facility Processes'!H6/2000,('Facility Information'!F37/'Facility Information'!G37*'Facility Processes'!H6/2000)))</f>
        <v/>
      </c>
    </row>
    <row r="43" spans="1:15" x14ac:dyDescent="0.25">
      <c r="B43" s="120" t="str">
        <f>IF('Permitted Diesel Engines'!A8="","",'Permitted Diesel Engines'!A8)</f>
        <v/>
      </c>
      <c r="C43" s="91" t="str">
        <f>IF('Permitted Diesel Engines'!C8="","",'Permitted Diesel Engines'!C8)</f>
        <v/>
      </c>
      <c r="D43" s="56" t="str">
        <f>IF('Permitted Diesel Engines'!C8="","",LOOKUP('Permitted Diesel Engines'!C8,'Emission Factors'!$A$44:$A$45,'Emission Factors'!$C$44:$C$45))</f>
        <v/>
      </c>
      <c r="E43" s="56" t="str">
        <f>IF('Permitted Diesel Engines'!C8="","",'Permitted Diesel Engines'!K8)</f>
        <v/>
      </c>
      <c r="F43" s="56" t="str">
        <f>IF('Permitted Diesel Engines'!C8="","","MMBtu/hr")</f>
        <v/>
      </c>
      <c r="G43" s="56" t="str">
        <f>IF('Permitted Diesel Engines'!C8="","",LOOKUP('Permitted Diesel Engines'!C8,'Emission Factors'!$A$44:$A$45,'Emission Factors'!$I$44:$I$45))</f>
        <v/>
      </c>
      <c r="H43" s="56" t="str">
        <f>IF('Permitted Diesel Engines'!C8="","",LOOKUP('Permitted Diesel Engines'!C8,'Emission Factors'!$A$44:$A$45,'Emission Factors'!$D$44:$D$45))</f>
        <v/>
      </c>
      <c r="I43" s="119" t="str">
        <f>IF('Permitted Diesel Engines'!C8="","",LOOKUP('Permitted Diesel Engines'!C8,'Emission Factors'!$A$44:$A$45,'Emission Factors'!$J$44:$J$45))</f>
        <v/>
      </c>
      <c r="J43" s="116" t="str">
        <f>IF('Permitted Diesel Engines'!C8="","",IF(G43='Emission Factors'!$I$44,E43*G43,'Emission Calculations'!E43*'Emission Calculations'!G43*$G$48))</f>
        <v/>
      </c>
      <c r="K43" s="116"/>
      <c r="L43" s="56"/>
      <c r="M43" s="59"/>
      <c r="N43" s="59" t="str">
        <f>IF(G43="","",IF('Permitted Diesel Engines'!D3&gt;0,IF('Permitted Diesel Engines'!N11&gt;0,'Permitted Diesel Engines'!D3*0.14*'Emission Factors'!I45*G48/2000,'Permitted Diesel Engines'!D3*0.14*'Emission Factors'!I44/2000),IF('Permitted Diesel Engines'!E8&gt;0,'Permitted Diesel Engines'!E8*'Emission Calculations'!G43*E43/2000,'Emission Calculations'!J43*8760/2000)))</f>
        <v/>
      </c>
      <c r="O43" s="59" t="str">
        <f>IF('Permitted Diesel Engines'!C8="","",'Permitted Diesel Engines'!L8*0.14*'Permitted Diesel Engines'!D5*$G$48/2000)</f>
        <v/>
      </c>
    </row>
    <row r="44" spans="1:15" x14ac:dyDescent="0.25">
      <c r="B44" s="120" t="str">
        <f>IF('Permitted Diesel Engines'!A9="","",'Permitted Diesel Engines'!A9)</f>
        <v/>
      </c>
      <c r="C44" s="91" t="str">
        <f>IF('Permitted Diesel Engines'!C9="","",'Permitted Diesel Engines'!C9)</f>
        <v/>
      </c>
      <c r="D44" s="56" t="str">
        <f>IF('Permitted Diesel Engines'!C9="","",LOOKUP('Permitted Diesel Engines'!C9,'Emission Factors'!$A$44:$A$45,'Emission Factors'!$C$44:$C$45))</f>
        <v/>
      </c>
      <c r="E44" s="56" t="str">
        <f>IF('Permitted Diesel Engines'!C9="","",'Permitted Diesel Engines'!K9)</f>
        <v/>
      </c>
      <c r="F44" s="56" t="str">
        <f>IF('Permitted Diesel Engines'!C9="","","MMBtu/hr")</f>
        <v/>
      </c>
      <c r="G44" s="56" t="str">
        <f>IF('Permitted Diesel Engines'!C9="","",LOOKUP('Permitted Diesel Engines'!C9,'Emission Factors'!$A$44:$A$45,'Emission Factors'!$I$44:$I$45))</f>
        <v/>
      </c>
      <c r="H44" s="56" t="str">
        <f>IF('Permitted Diesel Engines'!C9="","",LOOKUP('Permitted Diesel Engines'!C9,'Emission Factors'!$A$44:$A$45,'Emission Factors'!$D$44:$D$45))</f>
        <v/>
      </c>
      <c r="I44" s="119" t="str">
        <f>IF('Permitted Diesel Engines'!C9="","",LOOKUP('Permitted Diesel Engines'!C9,'Emission Factors'!$A$44:$A$45,'Emission Factors'!$J$44:$J$45))</f>
        <v/>
      </c>
      <c r="J44" s="116" t="str">
        <f>IF('Permitted Diesel Engines'!C9="","",IF(G44='Emission Factors'!$I$44,E44*G44,'Emission Calculations'!E44*'Emission Calculations'!G44*$G$48))</f>
        <v/>
      </c>
      <c r="K44" s="116"/>
      <c r="L44" s="56"/>
      <c r="M44" s="59"/>
      <c r="N44" s="59" t="str">
        <f>IF(G44="","",IF('Permitted Diesel Engines'!$D$3&gt;0,"",IF('Permitted Diesel Engines'!E9&gt;0,IF(G44='Emission Factors'!$I$44,'Permitted Diesel Engines'!E9*'Emission Calculations'!G44*'Emission Calculations'!E44/2000,'Permitted Diesel Engines'!E9*'Emission Calculations'!G44*'Emission Calculations'!$G$48*'Emission Calculations'!E44/2000),'Emission Calculations'!J44*8760/2000)))</f>
        <v/>
      </c>
      <c r="O44" s="59" t="str">
        <f>IF('Permitted Diesel Engines'!C9="","",'Permitted Diesel Engines'!L9*0.14*'Permitted Diesel Engines'!D5*$G$48/2000)</f>
        <v/>
      </c>
    </row>
    <row r="45" spans="1:15" x14ac:dyDescent="0.25">
      <c r="B45" s="120" t="str">
        <f>IF('Permitted Diesel Engines'!A10="","",'Permitted Diesel Engines'!A10)</f>
        <v/>
      </c>
      <c r="C45" s="91" t="str">
        <f>IF('Permitted Diesel Engines'!C10="","",'Permitted Diesel Engines'!C10)</f>
        <v/>
      </c>
      <c r="D45" s="56" t="str">
        <f>IF('Permitted Diesel Engines'!C10="","",LOOKUP('Permitted Diesel Engines'!C10,'Emission Factors'!$A$44:$A$45,'Emission Factors'!$C$44:$C$45))</f>
        <v/>
      </c>
      <c r="E45" s="56" t="str">
        <f>IF('Permitted Diesel Engines'!C10="","",'Permitted Diesel Engines'!K10)</f>
        <v/>
      </c>
      <c r="F45" s="56" t="str">
        <f>IF('Permitted Diesel Engines'!C10="","","MMBtu/hr")</f>
        <v/>
      </c>
      <c r="G45" s="56" t="str">
        <f>IF('Permitted Diesel Engines'!C10="","",LOOKUP('Permitted Diesel Engines'!C10,'Emission Factors'!$A$44:$A$45,'Emission Factors'!$I$44:$I$45))</f>
        <v/>
      </c>
      <c r="H45" s="56" t="str">
        <f>IF('Permitted Diesel Engines'!C10="","",LOOKUP('Permitted Diesel Engines'!C10,'Emission Factors'!$A$44:$A$45,'Emission Factors'!$D$44:$D$45))</f>
        <v/>
      </c>
      <c r="I45" s="119" t="str">
        <f>IF('Permitted Diesel Engines'!C10="","",LOOKUP('Permitted Diesel Engines'!C10,'Emission Factors'!$A$44:$A$45,'Emission Factors'!$J$44:$J$45))</f>
        <v/>
      </c>
      <c r="J45" s="116" t="str">
        <f>IF('Permitted Diesel Engines'!C10="","",IF(G45='Emission Factors'!$I$44,E45*G45,'Emission Calculations'!E45*'Emission Calculations'!G45*$G$48))</f>
        <v/>
      </c>
      <c r="K45" s="116"/>
      <c r="L45" s="56"/>
      <c r="M45" s="59"/>
      <c r="N45" s="59" t="str">
        <f>IF(G45="","",IF('Permitted Diesel Engines'!$D$3&gt;0,"",IF('Permitted Diesel Engines'!E10&gt;0,IF(G45='Emission Factors'!$I$44,'Permitted Diesel Engines'!E10*'Emission Calculations'!G45*'Emission Calculations'!E45/2000,'Permitted Diesel Engines'!E10*'Emission Calculations'!G45*'Emission Calculations'!$G$48*'Emission Calculations'!E45/2000),'Emission Calculations'!J45*8760/2000)))</f>
        <v/>
      </c>
      <c r="O45" s="59" t="str">
        <f>IF('Permitted Diesel Engines'!C10="","",'Permitted Diesel Engines'!L10*0.14*'Permitted Diesel Engines'!D5*$G$48/2000)</f>
        <v/>
      </c>
    </row>
    <row r="46" spans="1:15" x14ac:dyDescent="0.25">
      <c r="B46" s="120" t="str">
        <f>IF('Permitted Diesel Engines'!A11="","",'Permitted Diesel Engines'!A11)</f>
        <v/>
      </c>
      <c r="C46" s="91" t="str">
        <f>IF('Permitted Diesel Engines'!C11="","",'Permitted Diesel Engines'!C11)</f>
        <v/>
      </c>
      <c r="D46" s="56" t="str">
        <f>IF('Permitted Diesel Engines'!C11="","",LOOKUP('Permitted Diesel Engines'!C11,'Emission Factors'!$A$44:$A$45,'Emission Factors'!$C$44:$C$45))</f>
        <v/>
      </c>
      <c r="E46" s="56" t="str">
        <f>IF('Permitted Diesel Engines'!C11="","",'Permitted Diesel Engines'!K11)</f>
        <v/>
      </c>
      <c r="F46" s="56" t="str">
        <f>IF('Permitted Diesel Engines'!C11="","","MMBtu/hr")</f>
        <v/>
      </c>
      <c r="G46" s="56" t="str">
        <f>IF('Permitted Diesel Engines'!C11="","",LOOKUP('Permitted Diesel Engines'!C11,'Emission Factors'!$A$44:$A$45,'Emission Factors'!$I$44:$I$45))</f>
        <v/>
      </c>
      <c r="H46" s="56" t="str">
        <f>IF('Permitted Diesel Engines'!C11="","",LOOKUP('Permitted Diesel Engines'!C11,'Emission Factors'!$A$44:$A$45,'Emission Factors'!$D$44:$D$45))</f>
        <v/>
      </c>
      <c r="I46" s="119" t="str">
        <f>IF('Permitted Diesel Engines'!C11="","",LOOKUP('Permitted Diesel Engines'!C11,'Emission Factors'!$A$44:$A$45,'Emission Factors'!$J$44:$J$45))</f>
        <v/>
      </c>
      <c r="J46" s="116" t="str">
        <f>IF('Permitted Diesel Engines'!C11="","",IF(G46='Emission Factors'!$I$44,E46*G46,'Emission Calculations'!E46*'Emission Calculations'!G46*$G$48))</f>
        <v/>
      </c>
      <c r="K46" s="116"/>
      <c r="L46" s="56"/>
      <c r="M46" s="59"/>
      <c r="N46" s="59" t="str">
        <f>IF(G46="","",IF('Permitted Diesel Engines'!$D$3&gt;0,"",IF('Permitted Diesel Engines'!E11&gt;0,IF(G46='Emission Factors'!$I$44,'Permitted Diesel Engines'!E11*'Emission Calculations'!G46*'Emission Calculations'!E46/2000,'Permitted Diesel Engines'!E11*'Emission Calculations'!G46*'Emission Calculations'!$G$48*'Emission Calculations'!E46/2000),'Emission Calculations'!J46*8760/2000)))</f>
        <v/>
      </c>
      <c r="O46" s="59" t="str">
        <f>IF('Permitted Diesel Engines'!C11="","",'Permitted Diesel Engines'!L11*0.14*'Permitted Diesel Engines'!D5*$G$48/2000)</f>
        <v/>
      </c>
    </row>
    <row r="47" spans="1:15" ht="15.75" thickBot="1" x14ac:dyDescent="0.3">
      <c r="B47" s="120" t="str">
        <f>IF('Permitted Diesel Engines'!A12="","",'Permitted Diesel Engines'!A12)</f>
        <v/>
      </c>
      <c r="C47" s="91" t="str">
        <f>IF('Permitted Diesel Engines'!C12="","",'Permitted Diesel Engines'!C12)</f>
        <v/>
      </c>
      <c r="D47" s="56" t="str">
        <f>IF('Permitted Diesel Engines'!C12="","",LOOKUP('Permitted Diesel Engines'!C12,'Emission Factors'!$A$44:$A$45,'Emission Factors'!$C$44:$C$45))</f>
        <v/>
      </c>
      <c r="E47" s="56" t="str">
        <f>IF('Permitted Diesel Engines'!C12="","",'Permitted Diesel Engines'!K12)</f>
        <v/>
      </c>
      <c r="F47" s="56" t="str">
        <f>IF('Permitted Diesel Engines'!C12="","","MMBtu/hr")</f>
        <v/>
      </c>
      <c r="G47" s="56" t="str">
        <f>IF('Permitted Diesel Engines'!C12="","",LOOKUP('Permitted Diesel Engines'!C12,'Emission Factors'!$A$44:$A$45,'Emission Factors'!$I$44:$I$45))</f>
        <v/>
      </c>
      <c r="H47" s="56" t="str">
        <f>IF('Permitted Diesel Engines'!C12="","",LOOKUP('Permitted Diesel Engines'!C12,'Emission Factors'!$A$44:$A$45,'Emission Factors'!$D$44:$D$45))</f>
        <v/>
      </c>
      <c r="I47" s="272" t="str">
        <f>IF('Permitted Diesel Engines'!C12="","",LOOKUP('Permitted Diesel Engines'!C12,'Emission Factors'!$A$44:$A$45,'Emission Factors'!$J$44:$J$45))</f>
        <v/>
      </c>
      <c r="J47" s="137" t="str">
        <f>IF('Permitted Diesel Engines'!C12="","",IF(G47='Emission Factors'!$I$44,E47*G47,'Emission Calculations'!E47*'Emission Calculations'!G47*$G$48))</f>
        <v/>
      </c>
      <c r="K47" s="137"/>
      <c r="L47" s="273"/>
      <c r="M47" s="276"/>
      <c r="N47" s="276" t="str">
        <f>IF(G47="","",IF('Permitted Diesel Engines'!$D$3&gt;0,"",IF('Permitted Diesel Engines'!E12&gt;0,IF(G47='Emission Factors'!$I$44,'Permitted Diesel Engines'!E12*'Emission Calculations'!G47*'Emission Calculations'!E47/2000,'Permitted Diesel Engines'!E12*'Emission Calculations'!G47*'Emission Calculations'!$G$48*'Emission Calculations'!E47/2000),'Emission Calculations'!J47*8760/2000)))</f>
        <v/>
      </c>
      <c r="O47" s="276" t="str">
        <f>IF('Permitted Diesel Engines'!C12="","",'Permitted Diesel Engines'!L12*0.14*'Permitted Diesel Engines'!D5*$G$48/2000)</f>
        <v/>
      </c>
    </row>
    <row r="48" spans="1:15" ht="15.75" thickBot="1" x14ac:dyDescent="0.3">
      <c r="B48" s="57"/>
      <c r="C48" s="18"/>
      <c r="D48" s="19"/>
      <c r="F48" s="200" t="s">
        <v>132</v>
      </c>
      <c r="G48" s="8">
        <f>IF('Permitted Diesel Engines'!D4&gt;0,'Permitted Diesel Engines'!D4,IF('Permitted Diesel Engines'!D5&gt;0,'Permitted Diesel Engines'!D5,0.5))</f>
        <v>0.5</v>
      </c>
      <c r="I48" s="274"/>
      <c r="J48" s="275"/>
      <c r="K48" s="275"/>
      <c r="L48" s="277" t="s">
        <v>36</v>
      </c>
      <c r="M48" s="278"/>
      <c r="N48" s="279">
        <f>SUM(N42:N47)</f>
        <v>0</v>
      </c>
      <c r="O48" s="280">
        <f>SUM(O42:O47)</f>
        <v>0</v>
      </c>
    </row>
    <row r="49" spans="1:15" ht="15.75" x14ac:dyDescent="0.25">
      <c r="B49" s="298" t="s">
        <v>32</v>
      </c>
      <c r="C49" s="298"/>
      <c r="D49" s="6"/>
      <c r="E49" s="7"/>
      <c r="F49" s="7"/>
      <c r="G49" s="7"/>
      <c r="H49" s="7"/>
      <c r="I49" s="80"/>
      <c r="J49" s="12"/>
      <c r="K49" s="12"/>
      <c r="L49" s="7"/>
      <c r="M49" s="10"/>
      <c r="N49" s="10"/>
      <c r="O49" s="150"/>
    </row>
    <row r="50" spans="1:15" s="105" customFormat="1" ht="15.75" x14ac:dyDescent="0.25">
      <c r="A50" s="105" t="str">
        <f>IF('Facility Information'!$B$24="","",IF('Facility Information'!$B$26="yes",LOOKUP('Facility Processes'!C6,'Emission Factors'!$A$12:$A$17,'Emission Factors'!K$12:K$17),LOOKUP('Facility Processes'!C6,'Emission Factors'!$A$5:$A$10,'Emission Factors'!K$5:K$10)))</f>
        <v/>
      </c>
      <c r="B50" s="169" t="str">
        <f>IF(G50="","",IF('Facility Processes'!B6="","",'Facility Processes'!B6))</f>
        <v/>
      </c>
      <c r="C50" s="122" t="str">
        <f>IF(G50="","",'Facility Processes'!C6)</f>
        <v/>
      </c>
      <c r="D50" s="123" t="str">
        <f>IF(C50="","",IF('Facility Information'!$B$26="Yes",LOOKUP('Facility Processes'!C6,'Emission Factors'!A12:A17,'Emission Factors'!C12:C17),IF('Facility Information'!$B$26="No",LOOKUP('Facility Processes'!C6,'Emission Factors'!A5:A10,'Emission Factors'!C5:C10))))</f>
        <v/>
      </c>
      <c r="E50" s="124" t="str">
        <f>IF('Facility Processes'!$G$6="","",'Facility Processes'!$G$6)</f>
        <v/>
      </c>
      <c r="F50" s="124" t="str">
        <f>IF('Facility Processes'!G6="","","tons/hr")</f>
        <v/>
      </c>
      <c r="G50" s="124" t="str">
        <f>IF(A50="","",IF('Facility Information'!F38&gt;0,('Facility Information'!F38/'Facility Information'!G38),IF(A50&gt;0,A50,"")))</f>
        <v/>
      </c>
      <c r="H50" s="124" t="str">
        <f>IF(G50="","","lbs/ton")</f>
        <v/>
      </c>
      <c r="I50" s="111" t="str">
        <f>IF(G50="","",IF('Facility Information'!F38="",LOOKUP(C50,'Emission Factors'!$A$5:$A$10,'Emission Factors'!$D$5:$D$10),"Stack Test"))</f>
        <v/>
      </c>
      <c r="J50" s="11" t="str">
        <f>IF(G50="","",G50*E50)</f>
        <v/>
      </c>
      <c r="K50" s="11"/>
      <c r="L50" s="106"/>
      <c r="M50" s="148" t="str">
        <f>IF('Facility Information'!N32&gt;0,'Facility Information'!N32,"")</f>
        <v/>
      </c>
      <c r="N50" s="59" t="str">
        <f>IF(G50="","",IF('Facility Information'!O32&gt;0,'Facility Information'!O32,IF('Facility Information'!$C$30&gt;0,'Facility Information'!$C$30*G50/2000,IF('Facility Information'!$C$31&gt;0,'Facility Information'!$C$31*365*G50*E50/2000,E50*G50*8760/2000))))</f>
        <v/>
      </c>
      <c r="O50" s="148" t="str">
        <f>IF(G50="","",IF('Facility Information'!F38="",'Facility Processes'!H6*G50/2000,('Facility Information'!F38/'Facility Information'!G38*'Facility Processes'!H6/2000)))</f>
        <v/>
      </c>
    </row>
    <row r="51" spans="1:15" x14ac:dyDescent="0.25">
      <c r="B51" s="120" t="str">
        <f>IF('Permitted Diesel Engines'!A8="","",'Permitted Diesel Engines'!A8)</f>
        <v/>
      </c>
      <c r="C51" s="91" t="str">
        <f>IF('Permitted Diesel Engines'!C8="","",'Permitted Diesel Engines'!C8)</f>
        <v/>
      </c>
      <c r="D51" s="56" t="str">
        <f>IF('Permitted Diesel Engines'!C8="","",LOOKUP('Permitted Diesel Engines'!C8,'Emission Factors'!$A$44:$A$45,'Emission Factors'!$C$44:$C$45))</f>
        <v/>
      </c>
      <c r="E51" s="56" t="str">
        <f>IF('Permitted Diesel Engines'!C8="","",'Permitted Diesel Engines'!K8)</f>
        <v/>
      </c>
      <c r="F51" s="56" t="str">
        <f>IF('Permitted Diesel Engines'!C8="","","MMBtu/hr")</f>
        <v/>
      </c>
      <c r="G51" s="56" t="str">
        <f>IF('Permitted Diesel Engines'!C8="","",LOOKUP('Permitted Diesel Engines'!C8,'Emission Factors'!$A$44:$A$45,'Emission Factors'!$K$44:$K$45))</f>
        <v/>
      </c>
      <c r="H51" s="56" t="str">
        <f>IF('Permitted Diesel Engines'!C8="","",LOOKUP('Permitted Diesel Engines'!C8,'Emission Factors'!$A$44:$A$45,'Emission Factors'!$D$44:$D$45))</f>
        <v/>
      </c>
      <c r="I51" s="119" t="str">
        <f>IF('Permitted Diesel Engines'!C8="","",LOOKUP('Permitted Diesel Engines'!C8,'Emission Factors'!$A$44:$A$45,'Emission Factors'!$L$44:$L$45))</f>
        <v/>
      </c>
      <c r="J51" s="116" t="str">
        <f>IF('Permitted Diesel Engines'!C8="","",E51*G51)</f>
        <v/>
      </c>
      <c r="K51" s="116"/>
      <c r="L51" s="56"/>
      <c r="M51" s="59"/>
      <c r="N51" s="59" t="str">
        <f>IF(G51="","",IF('Permitted Diesel Engines'!D3&gt;0,IF('Permitted Diesel Engines'!N10&gt;0,'Permitted Diesel Engines'!D3*0.14*'Emission Factors'!K44/2000,'Permitted Diesel Engines'!D3*0.14*'Emission Factors'!K45/2000),IF('Permitted Diesel Engines'!E8&gt;0,'Permitted Diesel Engines'!E8*'Emission Calculations'!G51*E51/2000,'Emission Calculations'!J51*8760/2000)))</f>
        <v/>
      </c>
      <c r="O51" s="59" t="str">
        <f>IF('Permitted Diesel Engines'!C8="","",'Permitted Diesel Engines'!L8*0.14*'Emission Calculations'!G51/2000)</f>
        <v/>
      </c>
    </row>
    <row r="52" spans="1:15" x14ac:dyDescent="0.25">
      <c r="B52" s="120" t="str">
        <f>IF('Permitted Diesel Engines'!A9="","",'Permitted Diesel Engines'!A9)</f>
        <v/>
      </c>
      <c r="C52" s="91" t="str">
        <f>IF('Permitted Diesel Engines'!C9="","",'Permitted Diesel Engines'!C9)</f>
        <v/>
      </c>
      <c r="D52" s="56" t="str">
        <f>IF('Permitted Diesel Engines'!C9="","",LOOKUP('Permitted Diesel Engines'!C9,'Emission Factors'!$A$44:$A$45,'Emission Factors'!$C$44:$C$45))</f>
        <v/>
      </c>
      <c r="E52" s="56" t="str">
        <f>IF('Permitted Diesel Engines'!C9="","",'Permitted Diesel Engines'!K9)</f>
        <v/>
      </c>
      <c r="F52" s="56" t="str">
        <f>IF('Permitted Diesel Engines'!C9="","","MMBtu/hr")</f>
        <v/>
      </c>
      <c r="G52" s="56" t="str">
        <f>IF('Permitted Diesel Engines'!C9="","",LOOKUP('Permitted Diesel Engines'!C9,'Emission Factors'!$A$44:$A$45,'Emission Factors'!$K$44:$K$45))</f>
        <v/>
      </c>
      <c r="H52" s="56" t="str">
        <f>IF('Permitted Diesel Engines'!C9="","",LOOKUP('Permitted Diesel Engines'!C9,'Emission Factors'!$A$44:$A$45,'Emission Factors'!$D$44:$D$45))</f>
        <v/>
      </c>
      <c r="I52" s="119" t="str">
        <f>IF('Permitted Diesel Engines'!C9="","",LOOKUP('Permitted Diesel Engines'!C9,'Emission Factors'!$A$44:$A$45,'Emission Factors'!$L$44:$L$45))</f>
        <v/>
      </c>
      <c r="J52" s="116" t="str">
        <f>IF('Permitted Diesel Engines'!C9="","",E52*G52)</f>
        <v/>
      </c>
      <c r="K52" s="116"/>
      <c r="L52" s="56"/>
      <c r="M52" s="59"/>
      <c r="N52" s="59" t="str">
        <f>IF(G52="","",IF('Permitted Diesel Engines'!$D$3&gt;0,"",IF('Permitted Diesel Engines'!E9&gt;0,'Permitted Diesel Engines'!E9*'Emission Calculations'!G52*E52/2000,'Emission Calculations'!J52*8760/2000)))</f>
        <v/>
      </c>
      <c r="O52" s="59" t="str">
        <f>IF('Permitted Diesel Engines'!C9="","",'Permitted Diesel Engines'!L9*0.14*'Emission Calculations'!G52/2000)</f>
        <v/>
      </c>
    </row>
    <row r="53" spans="1:15" x14ac:dyDescent="0.25">
      <c r="B53" s="120" t="str">
        <f>IF('Permitted Diesel Engines'!A10="","",'Permitted Diesel Engines'!A10)</f>
        <v/>
      </c>
      <c r="C53" s="91" t="str">
        <f>IF('Permitted Diesel Engines'!C10="","",'Permitted Diesel Engines'!C10)</f>
        <v/>
      </c>
      <c r="D53" s="56" t="str">
        <f>IF('Permitted Diesel Engines'!C10="","",LOOKUP('Permitted Diesel Engines'!C10,'Emission Factors'!$A$44:$A$45,'Emission Factors'!$C$44:$C$45))</f>
        <v/>
      </c>
      <c r="E53" s="56" t="str">
        <f>IF('Permitted Diesel Engines'!C10="","",'Permitted Diesel Engines'!K10)</f>
        <v/>
      </c>
      <c r="F53" s="56" t="str">
        <f>IF('Permitted Diesel Engines'!C10="","","MMBtu/hr")</f>
        <v/>
      </c>
      <c r="G53" s="56" t="str">
        <f>IF('Permitted Diesel Engines'!C10="","",LOOKUP('Permitted Diesel Engines'!C10,'Emission Factors'!$A$44:$A$45,'Emission Factors'!$K$44:$K$45))</f>
        <v/>
      </c>
      <c r="H53" s="56" t="str">
        <f>IF('Permitted Diesel Engines'!C10="","",LOOKUP('Permitted Diesel Engines'!C10,'Emission Factors'!$A$44:$A$45,'Emission Factors'!$D$44:$D$45))</f>
        <v/>
      </c>
      <c r="I53" s="119" t="str">
        <f>IF('Permitted Diesel Engines'!C10="","",LOOKUP('Permitted Diesel Engines'!C10,'Emission Factors'!$A$44:$A$45,'Emission Factors'!$L$44:$L$45))</f>
        <v/>
      </c>
      <c r="J53" s="116" t="str">
        <f>IF('Permitted Diesel Engines'!C10="","",E53*G53)</f>
        <v/>
      </c>
      <c r="K53" s="116"/>
      <c r="L53" s="56"/>
      <c r="M53" s="59"/>
      <c r="N53" s="59" t="str">
        <f>IF(G53="","",IF('Permitted Diesel Engines'!$D$3&gt;0,"",IF('Permitted Diesel Engines'!E10&gt;0,'Permitted Diesel Engines'!E10*'Emission Calculations'!G53*E53/2000,'Emission Calculations'!J53*8760/2000)))</f>
        <v/>
      </c>
      <c r="O53" s="59" t="str">
        <f>IF('Permitted Diesel Engines'!C10="","",'Permitted Diesel Engines'!L10*0.14*'Emission Calculations'!G53/2000)</f>
        <v/>
      </c>
    </row>
    <row r="54" spans="1:15" x14ac:dyDescent="0.25">
      <c r="B54" s="120" t="str">
        <f>IF('Permitted Diesel Engines'!A11="","",'Permitted Diesel Engines'!A11)</f>
        <v/>
      </c>
      <c r="C54" s="91" t="str">
        <f>IF('Permitted Diesel Engines'!C11="","",'Permitted Diesel Engines'!C11)</f>
        <v/>
      </c>
      <c r="D54" s="56" t="str">
        <f>IF('Permitted Diesel Engines'!C11="","",LOOKUP('Permitted Diesel Engines'!C11,'Emission Factors'!$A$44:$A$45,'Emission Factors'!$C$44:$C$45))</f>
        <v/>
      </c>
      <c r="E54" s="56" t="str">
        <f>IF('Permitted Diesel Engines'!C11="","",'Permitted Diesel Engines'!K11)</f>
        <v/>
      </c>
      <c r="F54" s="56" t="str">
        <f>IF('Permitted Diesel Engines'!C11="","","MMBtu/hr")</f>
        <v/>
      </c>
      <c r="G54" s="56" t="str">
        <f>IF('Permitted Diesel Engines'!C11="","",LOOKUP('Permitted Diesel Engines'!C11,'Emission Factors'!$A$44:$A$45,'Emission Factors'!$K$44:$K$45))</f>
        <v/>
      </c>
      <c r="H54" s="56" t="str">
        <f>IF('Permitted Diesel Engines'!C11="","",LOOKUP('Permitted Diesel Engines'!C11,'Emission Factors'!$A$44:$A$45,'Emission Factors'!$D$44:$D$45))</f>
        <v/>
      </c>
      <c r="I54" s="119" t="str">
        <f>IF('Permitted Diesel Engines'!C11="","",LOOKUP('Permitted Diesel Engines'!C11,'Emission Factors'!$A$44:$A$45,'Emission Factors'!$L$44:$L$45))</f>
        <v/>
      </c>
      <c r="J54" s="116" t="str">
        <f>IF('Permitted Diesel Engines'!C11="","",E54*G54)</f>
        <v/>
      </c>
      <c r="K54" s="116"/>
      <c r="L54" s="56"/>
      <c r="M54" s="59"/>
      <c r="N54" s="59" t="str">
        <f>IF(G54="","",IF('Permitted Diesel Engines'!$D$3&gt;0,"",IF('Permitted Diesel Engines'!E11&gt;0,'Permitted Diesel Engines'!E11*'Emission Calculations'!G54*E54/2000,'Emission Calculations'!J54*8760/2000)))</f>
        <v/>
      </c>
      <c r="O54" s="59" t="str">
        <f>IF('Permitted Diesel Engines'!C11="","",'Permitted Diesel Engines'!L11*0.14*'Emission Calculations'!G54/2000)</f>
        <v/>
      </c>
    </row>
    <row r="55" spans="1:15" ht="15.75" thickBot="1" x14ac:dyDescent="0.3">
      <c r="B55" s="120" t="str">
        <f>IF('Permitted Diesel Engines'!A12="","",'Permitted Diesel Engines'!A12)</f>
        <v/>
      </c>
      <c r="C55" s="91" t="str">
        <f>IF('Permitted Diesel Engines'!C12="","",'Permitted Diesel Engines'!C12)</f>
        <v/>
      </c>
      <c r="D55" s="56" t="str">
        <f>IF('Permitted Diesel Engines'!C12="","",LOOKUP('Permitted Diesel Engines'!C12,'Emission Factors'!$A$44:$A$45,'Emission Factors'!$C$44:$C$45))</f>
        <v/>
      </c>
      <c r="E55" s="56" t="str">
        <f>IF('Permitted Diesel Engines'!C12="","",'Permitted Diesel Engines'!K12)</f>
        <v/>
      </c>
      <c r="F55" s="56" t="str">
        <f>IF('Permitted Diesel Engines'!C12="","","MMBtu/hr")</f>
        <v/>
      </c>
      <c r="G55" s="56" t="str">
        <f>IF('Permitted Diesel Engines'!C12="","",LOOKUP('Permitted Diesel Engines'!C12,'Emission Factors'!$A$44:$A$45,'Emission Factors'!$K$44:$K$45))</f>
        <v/>
      </c>
      <c r="H55" s="56" t="str">
        <f>IF('Permitted Diesel Engines'!C12="","",LOOKUP('Permitted Diesel Engines'!C12,'Emission Factors'!$A$44:$A$45,'Emission Factors'!$D$44:$D$45))</f>
        <v/>
      </c>
      <c r="I55" s="272" t="str">
        <f>IF('Permitted Diesel Engines'!C12="","",LOOKUP('Permitted Diesel Engines'!C12,'Emission Factors'!$A$44:$A$45,'Emission Factors'!$L$44:$L$45))</f>
        <v/>
      </c>
      <c r="J55" s="137" t="str">
        <f>IF('Permitted Diesel Engines'!C12="","",E55*G55)</f>
        <v/>
      </c>
      <c r="K55" s="137"/>
      <c r="L55" s="273"/>
      <c r="M55" s="276"/>
      <c r="N55" s="276" t="str">
        <f>IF(G55="","",IF('Permitted Diesel Engines'!$D$3&gt;0,"",IF('Permitted Diesel Engines'!E12&gt;0,'Permitted Diesel Engines'!E12*'Emission Calculations'!G55*E55/2000,'Emission Calculations'!J55*8760/2000)))</f>
        <v/>
      </c>
      <c r="O55" s="276" t="str">
        <f>IF('Permitted Diesel Engines'!C12="","",'Permitted Diesel Engines'!L12*0.14*'Emission Calculations'!G55/2000)</f>
        <v/>
      </c>
    </row>
    <row r="56" spans="1:15" ht="15.75" thickBot="1" x14ac:dyDescent="0.3">
      <c r="B56" s="57"/>
      <c r="C56" s="18"/>
      <c r="D56" s="19"/>
      <c r="E56" s="19"/>
      <c r="F56" s="19"/>
      <c r="G56" s="19"/>
      <c r="H56" s="19"/>
      <c r="I56" s="274"/>
      <c r="J56" s="275"/>
      <c r="K56" s="275"/>
      <c r="L56" s="277" t="s">
        <v>36</v>
      </c>
      <c r="M56" s="278"/>
      <c r="N56" s="279">
        <f>SUM(N50:N55)</f>
        <v>0</v>
      </c>
      <c r="O56" s="280">
        <f>SUM(O50:O55)</f>
        <v>0</v>
      </c>
    </row>
    <row r="57" spans="1:15" ht="15.75" x14ac:dyDescent="0.25">
      <c r="B57" s="298" t="s">
        <v>13</v>
      </c>
      <c r="C57" s="298"/>
      <c r="D57" s="6"/>
      <c r="E57" s="7"/>
      <c r="F57" s="7"/>
      <c r="G57" s="7"/>
      <c r="H57" s="7"/>
      <c r="I57" s="80"/>
      <c r="J57" s="12"/>
      <c r="K57" s="12"/>
      <c r="L57" s="7"/>
      <c r="M57" s="10"/>
      <c r="N57" s="10"/>
      <c r="O57" s="150"/>
    </row>
    <row r="58" spans="1:15" s="105" customFormat="1" ht="15.75" x14ac:dyDescent="0.25">
      <c r="A58" s="105" t="str">
        <f>IF('Facility Information'!$B$24="","",IF('Facility Information'!$B$26="yes",LOOKUP('Facility Processes'!C6,'Emission Factors'!$A$12:$A$17,'Emission Factors'!M$12:M$17),LOOKUP('Facility Processes'!C6,'Emission Factors'!$A$5:$A$10,'Emission Factors'!M$5:M$10)))</f>
        <v/>
      </c>
      <c r="B58" s="169" t="str">
        <f>IF(G58="","",IF('Facility Processes'!B6="","",'Facility Processes'!B6))</f>
        <v/>
      </c>
      <c r="C58" s="122" t="str">
        <f>IF(G58="","",'Facility Processes'!C6)</f>
        <v/>
      </c>
      <c r="D58" s="123" t="str">
        <f>IF(C58="","",IF('Facility Information'!$B$26="Yes",LOOKUP('Facility Processes'!C6,'Emission Factors'!A12:A17,'Emission Factors'!C12:C17),IF('Facility Information'!$B$26="No",LOOKUP('Facility Processes'!C6,'Emission Factors'!A5:A10,'Emission Factors'!C5:C10))))</f>
        <v/>
      </c>
      <c r="E58" s="124" t="str">
        <f>IF('Facility Processes'!$G$6="","",'Facility Processes'!$G$6)</f>
        <v/>
      </c>
      <c r="F58" s="124" t="str">
        <f>IF('Facility Processes'!G6="","","tons/hr")</f>
        <v/>
      </c>
      <c r="G58" s="124" t="str">
        <f>IF(A58="","",IF(A58&gt;0,A58,""))</f>
        <v/>
      </c>
      <c r="H58" s="124" t="str">
        <f>IF(G58="","","lbs/ton")</f>
        <v/>
      </c>
      <c r="I58" s="111" t="str">
        <f>IF(G58="","",LOOKUP(C58,'Emission Factors'!$A$5:$A$10,'Emission Factors'!$D$5:$D$10))</f>
        <v/>
      </c>
      <c r="J58" s="11" t="str">
        <f>IF(G58="","",G58*E58)</f>
        <v/>
      </c>
      <c r="K58" s="11"/>
      <c r="L58" s="106"/>
      <c r="M58" s="148" t="str">
        <f>IF('Facility Information'!N33&gt;0,'Facility Information'!N33,"")</f>
        <v/>
      </c>
      <c r="N58" s="59" t="str">
        <f>IF(G58="","",IF('Facility Information'!O33&gt;0,'Facility Information'!O33,IF('Facility Information'!$C$30&gt;0,'Facility Information'!$C$30*G58/2000,IF('Facility Information'!$C$31&gt;0,'Facility Information'!$C$31*365*G58*E58/2000,E58*G58*8760/2000))))</f>
        <v/>
      </c>
      <c r="O58" s="148" t="str">
        <f>IF(G58="","",'Facility Processes'!H6*G58/2000)</f>
        <v/>
      </c>
    </row>
    <row r="59" spans="1:15" s="105" customFormat="1" x14ac:dyDescent="0.25">
      <c r="B59" s="56" t="str">
        <f>IF('Facility Processes'!$B$14="","",'Facility Processes'!$B$14)</f>
        <v/>
      </c>
      <c r="C59" s="91" t="str">
        <f>IF('Facility Processes'!$G$14="","",'Facility Processes'!$C$14)</f>
        <v/>
      </c>
      <c r="D59" s="91" t="str">
        <f>IF(C59="","",LOOKUP(C59,'Emission Factors'!$A$23,'Emission Factors'!$C$23))</f>
        <v/>
      </c>
      <c r="E59" s="56" t="str">
        <f>IF('Facility Processes'!$G$14="","",'Facility Processes'!$G$14)</f>
        <v/>
      </c>
      <c r="F59" s="56" t="str">
        <f>IF('Facility Processes'!$G$14="","","tons/hr")</f>
        <v/>
      </c>
      <c r="G59" s="145" t="str">
        <f>IF(C59="","",'Emission Factors'!M23)</f>
        <v/>
      </c>
      <c r="H59" s="56" t="str">
        <f>IF(G59="","","lbs/ton")</f>
        <v/>
      </c>
      <c r="I59" s="119" t="str">
        <f>IF(G59="","",'Emission Factors'!$D$23)</f>
        <v/>
      </c>
      <c r="J59" s="59" t="str">
        <f>IF(G59="","",G59*E59)</f>
        <v/>
      </c>
      <c r="K59" s="160"/>
      <c r="L59" s="106"/>
      <c r="M59" s="148"/>
      <c r="N59" s="59" t="str">
        <f>IF(G59="","",IF('Facility Information'!$C$30&gt;0,'Facility Information'!$C$30*G59/2000,IF('Facility Information'!$C$31&gt;0,'Facility Information'!$C$31*365*E59*G59/2000,E59*G59*8760/2000)))</f>
        <v/>
      </c>
      <c r="O59" s="148" t="str">
        <f>IF(G59="","",'Facility Processes'!$H$14*G59/2000)</f>
        <v/>
      </c>
    </row>
    <row r="60" spans="1:15" s="105" customFormat="1" x14ac:dyDescent="0.25">
      <c r="B60" s="56" t="str">
        <f>IF('Facility Processes'!$B$15="","",'Facility Processes'!$B$15)</f>
        <v/>
      </c>
      <c r="C60" s="91" t="str">
        <f>IF('Facility Processes'!$G$15="","",'Facility Processes'!$C$15)</f>
        <v/>
      </c>
      <c r="D60" s="91" t="str">
        <f>IF(C60="","",LOOKUP(C60,'Emission Factors'!$A$24,'Emission Factors'!$C$24))</f>
        <v/>
      </c>
      <c r="E60" s="56" t="str">
        <f>IF('Facility Processes'!$G$15="","",'Facility Processes'!$G$15)</f>
        <v/>
      </c>
      <c r="F60" s="56" t="str">
        <f>IF('Facility Processes'!$G$15="","","tons/hr")</f>
        <v/>
      </c>
      <c r="G60" s="145" t="str">
        <f>IF(C60="","",'Emission Factors'!M24)</f>
        <v/>
      </c>
      <c r="H60" s="56" t="str">
        <f>IF(G60="","","lbs/ton")</f>
        <v/>
      </c>
      <c r="I60" s="119" t="str">
        <f>IF(G60="","",'Emission Factors'!$D$24)</f>
        <v/>
      </c>
      <c r="J60" s="59" t="str">
        <f>IF(G60="","",G60*E60)</f>
        <v/>
      </c>
      <c r="K60" s="160"/>
      <c r="L60" s="106"/>
      <c r="M60" s="148"/>
      <c r="N60" s="59" t="str">
        <f>IF(G60="","",IF('Facility Information'!$C$30&gt;0,'Facility Information'!$C$30*G60/2000,IF('Facility Information'!$C$31&gt;0,'Facility Information'!$C$31*365*E60*G60/2000,E60*G60*8760/2000)))</f>
        <v/>
      </c>
      <c r="O60" s="148" t="str">
        <f>IF(G60="","",'Facility Processes'!H15*G60/2000)</f>
        <v/>
      </c>
    </row>
    <row r="61" spans="1:15" x14ac:dyDescent="0.25">
      <c r="B61" s="120" t="str">
        <f>IF('Permitted Diesel Engines'!A8="","",'Permitted Diesel Engines'!A8)</f>
        <v/>
      </c>
      <c r="C61" s="91" t="str">
        <f>IF('Permitted Diesel Engines'!C8="","",'Permitted Diesel Engines'!C8)</f>
        <v/>
      </c>
      <c r="D61" s="56" t="str">
        <f>IF('Permitted Diesel Engines'!C8="","",LOOKUP('Permitted Diesel Engines'!C8,'Emission Factors'!$A$44:$A$45,'Emission Factors'!$C$44:$C$45))</f>
        <v/>
      </c>
      <c r="E61" s="56" t="str">
        <f>IF('Permitted Diesel Engines'!C8="","",'Permitted Diesel Engines'!K8)</f>
        <v/>
      </c>
      <c r="F61" s="56" t="str">
        <f>IF('Permitted Diesel Engines'!C8="","","MMBtu/hr")</f>
        <v/>
      </c>
      <c r="G61" s="56" t="str">
        <f>IF('Permitted Diesel Engines'!C8="","",LOOKUP('Permitted Diesel Engines'!C8,'Emission Factors'!$A$44:$A$45,'Emission Factors'!$M$44:$M$45))</f>
        <v/>
      </c>
      <c r="H61" s="56" t="str">
        <f>IF('Permitted Diesel Engines'!C8="","",LOOKUP('Permitted Diesel Engines'!C8,'Emission Factors'!$A$44:$A$45,'Emission Factors'!$D$44:$D$45))</f>
        <v/>
      </c>
      <c r="I61" s="119" t="str">
        <f>IF('Permitted Diesel Engines'!C8="","",LOOKUP('Permitted Diesel Engines'!C8,'Emission Factors'!$A$44:$A$45,'Emission Factors'!$N$44:$N$45))</f>
        <v/>
      </c>
      <c r="J61" s="116" t="str">
        <f>IF('Permitted Diesel Engines'!C8="","",E61*G61)</f>
        <v/>
      </c>
      <c r="K61" s="116"/>
      <c r="L61" s="56"/>
      <c r="M61" s="59"/>
      <c r="N61" s="59" t="str">
        <f>IF(G61="","",IF('Permitted Diesel Engines'!D3&gt;0,IF('Permitted Diesel Engines'!N10&gt;0,'Permitted Diesel Engines'!D3*0.14*'Emission Factors'!M44/2000,'Permitted Diesel Engines'!D3*0.14*'Emission Factors'!M45/2000),IF('Permitted Diesel Engines'!E8&gt;0,'Permitted Diesel Engines'!E8*'Emission Calculations'!G61*E61/2000,'Emission Calculations'!J61*8760/2000)))</f>
        <v/>
      </c>
      <c r="O61" s="59" t="str">
        <f>IF('Permitted Diesel Engines'!C8="","",'Permitted Diesel Engines'!L8*0.14*'Emission Calculations'!G61/2000)</f>
        <v/>
      </c>
    </row>
    <row r="62" spans="1:15" x14ac:dyDescent="0.25">
      <c r="B62" s="120" t="str">
        <f>IF('Permitted Diesel Engines'!A9="","",'Permitted Diesel Engines'!A9)</f>
        <v/>
      </c>
      <c r="C62" s="91" t="str">
        <f>IF('Permitted Diesel Engines'!C9="","",'Permitted Diesel Engines'!C9)</f>
        <v/>
      </c>
      <c r="D62" s="56" t="str">
        <f>IF('Permitted Diesel Engines'!C9="","",LOOKUP('Permitted Diesel Engines'!C9,'Emission Factors'!$A$44:$A$45,'Emission Factors'!$C$44:$C$45))</f>
        <v/>
      </c>
      <c r="E62" s="56" t="str">
        <f>IF('Permitted Diesel Engines'!C9="","",'Permitted Diesel Engines'!K9)</f>
        <v/>
      </c>
      <c r="F62" s="56" t="str">
        <f>IF('Permitted Diesel Engines'!C9="","","MMBtu/hr")</f>
        <v/>
      </c>
      <c r="G62" s="56" t="str">
        <f>IF('Permitted Diesel Engines'!C9="","",LOOKUP('Permitted Diesel Engines'!C9,'Emission Factors'!$A$44:$A$45,'Emission Factors'!$M$44:$M$45))</f>
        <v/>
      </c>
      <c r="H62" s="56" t="str">
        <f>IF('Permitted Diesel Engines'!C9="","",LOOKUP('Permitted Diesel Engines'!C9,'Emission Factors'!$A$44:$A$45,'Emission Factors'!$D$44:$D$45))</f>
        <v/>
      </c>
      <c r="I62" s="119" t="str">
        <f>IF('Permitted Diesel Engines'!C9="","",LOOKUP('Permitted Diesel Engines'!C9,'Emission Factors'!$A$44:$A$45,'Emission Factors'!$N$44:$N$45))</f>
        <v/>
      </c>
      <c r="J62" s="116" t="str">
        <f>IF('Permitted Diesel Engines'!C9="","",E62*G62)</f>
        <v/>
      </c>
      <c r="K62" s="116"/>
      <c r="L62" s="56"/>
      <c r="M62" s="59"/>
      <c r="N62" s="59" t="str">
        <f>IF(G62="","",IF('Permitted Diesel Engines'!$D$3&gt;0,"",IF('Permitted Diesel Engines'!E9&gt;0,'Permitted Diesel Engines'!E9*'Emission Calculations'!G62*E62/2000,'Emission Calculations'!J62*8760/2000)))</f>
        <v/>
      </c>
      <c r="O62" s="59" t="str">
        <f>IF('Permitted Diesel Engines'!C9="","",'Permitted Diesel Engines'!L9*0.14*'Emission Calculations'!G62/2000)</f>
        <v/>
      </c>
    </row>
    <row r="63" spans="1:15" x14ac:dyDescent="0.25">
      <c r="B63" s="120" t="str">
        <f>IF('Permitted Diesel Engines'!A10="","",'Permitted Diesel Engines'!A10)</f>
        <v/>
      </c>
      <c r="C63" s="91" t="str">
        <f>IF('Permitted Diesel Engines'!C10="","",'Permitted Diesel Engines'!C10)</f>
        <v/>
      </c>
      <c r="D63" s="56" t="str">
        <f>IF('Permitted Diesel Engines'!C10="","",LOOKUP('Permitted Diesel Engines'!C10,'Emission Factors'!$A$44:$A$45,'Emission Factors'!$C$44:$C$45))</f>
        <v/>
      </c>
      <c r="E63" s="56" t="str">
        <f>IF('Permitted Diesel Engines'!C10="","",'Permitted Diesel Engines'!K10)</f>
        <v/>
      </c>
      <c r="F63" s="56" t="str">
        <f>IF('Permitted Diesel Engines'!C10="","","MMBtu/hr")</f>
        <v/>
      </c>
      <c r="G63" s="56" t="str">
        <f>IF('Permitted Diesel Engines'!C10="","",LOOKUP('Permitted Diesel Engines'!C10,'Emission Factors'!$A$44:$A$45,'Emission Factors'!$M$44:$M$45))</f>
        <v/>
      </c>
      <c r="H63" s="56" t="str">
        <f>IF('Permitted Diesel Engines'!C10="","",LOOKUP('Permitted Diesel Engines'!C10,'Emission Factors'!$A$44:$A$45,'Emission Factors'!$D$44:$D$45))</f>
        <v/>
      </c>
      <c r="I63" s="119" t="str">
        <f>IF('Permitted Diesel Engines'!C10="","",LOOKUP('Permitted Diesel Engines'!C10,'Emission Factors'!$A$44:$A$45,'Emission Factors'!$N$44:$N$45))</f>
        <v/>
      </c>
      <c r="J63" s="116" t="str">
        <f>IF('Permitted Diesel Engines'!C10="","",E63*G63)</f>
        <v/>
      </c>
      <c r="K63" s="116"/>
      <c r="L63" s="56"/>
      <c r="M63" s="59"/>
      <c r="N63" s="59" t="str">
        <f>IF(G63="","",IF('Permitted Diesel Engines'!$D$3&gt;0,"",IF('Permitted Diesel Engines'!E10&gt;0,'Permitted Diesel Engines'!E10*'Emission Calculations'!G63*E63/2000,'Emission Calculations'!J63*8760/2000)))</f>
        <v/>
      </c>
      <c r="O63" s="59" t="str">
        <f>IF('Permitted Diesel Engines'!C10="","",'Permitted Diesel Engines'!L10*0.14*'Emission Calculations'!G63/2000)</f>
        <v/>
      </c>
    </row>
    <row r="64" spans="1:15" x14ac:dyDescent="0.25">
      <c r="B64" s="120" t="str">
        <f>IF('Permitted Diesel Engines'!A11="","",'Permitted Diesel Engines'!A11)</f>
        <v/>
      </c>
      <c r="C64" s="91" t="str">
        <f>IF('Permitted Diesel Engines'!C11="","",'Permitted Diesel Engines'!C11)</f>
        <v/>
      </c>
      <c r="D64" s="56" t="str">
        <f>IF('Permitted Diesel Engines'!C11="","",LOOKUP('Permitted Diesel Engines'!C11,'Emission Factors'!$A$44:$A$45,'Emission Factors'!$C$44:$C$45))</f>
        <v/>
      </c>
      <c r="E64" s="56" t="str">
        <f>IF('Permitted Diesel Engines'!C11="","",'Permitted Diesel Engines'!K11)</f>
        <v/>
      </c>
      <c r="F64" s="56" t="str">
        <f>IF('Permitted Diesel Engines'!C11="","","MMBtu/hr")</f>
        <v/>
      </c>
      <c r="G64" s="56" t="str">
        <f>IF('Permitted Diesel Engines'!C11="","",LOOKUP('Permitted Diesel Engines'!C11,'Emission Factors'!$A$44:$A$45,'Emission Factors'!$M$44:$M$45))</f>
        <v/>
      </c>
      <c r="H64" s="56" t="str">
        <f>IF('Permitted Diesel Engines'!C11="","",LOOKUP('Permitted Diesel Engines'!C11,'Emission Factors'!$A$44:$A$45,'Emission Factors'!$D$44:$D$45))</f>
        <v/>
      </c>
      <c r="I64" s="119" t="str">
        <f>IF('Permitted Diesel Engines'!C11="","",LOOKUP('Permitted Diesel Engines'!C11,'Emission Factors'!$A$44:$A$45,'Emission Factors'!$N$44:$N$45))</f>
        <v/>
      </c>
      <c r="J64" s="116" t="str">
        <f>IF('Permitted Diesel Engines'!C11="","",E64*G64)</f>
        <v/>
      </c>
      <c r="K64" s="116"/>
      <c r="L64" s="56"/>
      <c r="M64" s="59"/>
      <c r="N64" s="59" t="str">
        <f>IF(G64="","",IF('Permitted Diesel Engines'!$D$3&gt;0,"",IF('Permitted Diesel Engines'!E11&gt;0,'Permitted Diesel Engines'!E11*'Emission Calculations'!G64*E64/2000,'Emission Calculations'!J64*8760/2000)))</f>
        <v/>
      </c>
      <c r="O64" s="59" t="str">
        <f>IF('Permitted Diesel Engines'!C11="","",'Permitted Diesel Engines'!L11*0.14*'Emission Calculations'!G64/2000)</f>
        <v/>
      </c>
    </row>
    <row r="65" spans="1:15" ht="15.75" thickBot="1" x14ac:dyDescent="0.3">
      <c r="B65" s="120" t="str">
        <f>IF('Permitted Diesel Engines'!A12="","",'Permitted Diesel Engines'!A12)</f>
        <v/>
      </c>
      <c r="C65" s="91" t="str">
        <f>IF('Permitted Diesel Engines'!C12="","",'Permitted Diesel Engines'!C12)</f>
        <v/>
      </c>
      <c r="D65" s="56" t="str">
        <f>IF('Permitted Diesel Engines'!C12="","",LOOKUP('Permitted Diesel Engines'!C12,'Emission Factors'!$A$44:$A$45,'Emission Factors'!$C$44:$C$45))</f>
        <v/>
      </c>
      <c r="E65" s="56" t="str">
        <f>IF('Permitted Diesel Engines'!C12="","",'Permitted Diesel Engines'!K12)</f>
        <v/>
      </c>
      <c r="F65" s="56" t="str">
        <f>IF('Permitted Diesel Engines'!C12="","","MMBtu/hr")</f>
        <v/>
      </c>
      <c r="G65" s="56" t="str">
        <f>IF('Permitted Diesel Engines'!C12="","",LOOKUP('Permitted Diesel Engines'!C12,'Emission Factors'!$A$44:$A$45,'Emission Factors'!$M$44:$M$45))</f>
        <v/>
      </c>
      <c r="H65" s="56" t="str">
        <f>IF('Permitted Diesel Engines'!C12="","",LOOKUP('Permitted Diesel Engines'!C12,'Emission Factors'!$A$44:$A$45,'Emission Factors'!$D$44:$D$45))</f>
        <v/>
      </c>
      <c r="I65" s="272" t="str">
        <f>IF('Permitted Diesel Engines'!C12="","",LOOKUP('Permitted Diesel Engines'!C12,'Emission Factors'!$A$44:$A$45,'Emission Factors'!$N$44:$N$45))</f>
        <v/>
      </c>
      <c r="J65" s="137" t="str">
        <f>IF('Permitted Diesel Engines'!C12="","",E65*G65)</f>
        <v/>
      </c>
      <c r="K65" s="137"/>
      <c r="L65" s="273"/>
      <c r="M65" s="276"/>
      <c r="N65" s="276" t="str">
        <f>IF(G65="","",IF('Permitted Diesel Engines'!$D$3&gt;0,"",IF('Permitted Diesel Engines'!E12&gt;0,'Permitted Diesel Engines'!E12*'Emission Calculations'!G65*E65/2000,'Emission Calculations'!J65*8760/2000)))</f>
        <v/>
      </c>
      <c r="O65" s="276" t="str">
        <f>IF('Permitted Diesel Engines'!C12="","",'Permitted Diesel Engines'!L12*0.14*'Emission Calculations'!G65/2000)</f>
        <v/>
      </c>
    </row>
    <row r="66" spans="1:15" ht="15.75" thickBot="1" x14ac:dyDescent="0.3">
      <c r="B66" s="57"/>
      <c r="C66" s="18"/>
      <c r="D66" s="19"/>
      <c r="E66" s="19"/>
      <c r="F66" s="19"/>
      <c r="G66" s="19"/>
      <c r="H66" s="19"/>
      <c r="I66" s="274"/>
      <c r="J66" s="275"/>
      <c r="K66" s="275"/>
      <c r="L66" s="277" t="s">
        <v>36</v>
      </c>
      <c r="M66" s="278"/>
      <c r="N66" s="279">
        <f>SUM(N58:N65)</f>
        <v>0</v>
      </c>
      <c r="O66" s="280">
        <f>SUM(O58:O65)</f>
        <v>0</v>
      </c>
    </row>
    <row r="67" spans="1:15" ht="15.75" x14ac:dyDescent="0.25">
      <c r="B67" s="298" t="s">
        <v>14</v>
      </c>
      <c r="C67" s="298"/>
      <c r="D67" s="6"/>
      <c r="E67" s="7"/>
      <c r="F67" s="7"/>
      <c r="G67" s="7"/>
      <c r="H67" s="7"/>
      <c r="I67" s="80"/>
      <c r="J67" s="12"/>
      <c r="K67" s="12"/>
      <c r="L67" s="7"/>
      <c r="M67" s="10"/>
      <c r="N67" s="10"/>
      <c r="O67" s="150"/>
    </row>
    <row r="68" spans="1:15" s="105" customFormat="1" ht="15.75" x14ac:dyDescent="0.25">
      <c r="A68" s="105" t="str">
        <f>IF('Facility Information'!$B$24="","",IF('Facility Information'!$B$26="yes",LOOKUP('Facility Processes'!C6,'Emission Factors'!$A$12:$A$17,'Emission Factors'!O$12:O$17),LOOKUP('Facility Processes'!C6,'Emission Factors'!$A$5:$A$10,'Emission Factors'!O$5:O$10)))</f>
        <v/>
      </c>
      <c r="B68" s="169" t="str">
        <f>IF(G68="","",IF('Facility Processes'!B6="","",'Facility Processes'!B6))</f>
        <v/>
      </c>
      <c r="C68" s="122" t="str">
        <f>IF(G68="","",'Facility Processes'!C6)</f>
        <v/>
      </c>
      <c r="D68" s="123" t="str">
        <f>IF(C68="","",IF('Facility Information'!$B$26="Yes",LOOKUP('Facility Processes'!C6,'Emission Factors'!A12:A17,'Emission Factors'!C12:C17),IF('Facility Information'!$B$26="No",LOOKUP('Facility Processes'!C6,'Emission Factors'!A5:A10,'Emission Factors'!C5:C10))))</f>
        <v/>
      </c>
      <c r="E68" s="124" t="str">
        <f>IF('Facility Processes'!$G$6="","",'Facility Processes'!$G$6)</f>
        <v/>
      </c>
      <c r="F68" s="124" t="str">
        <f>IF('Facility Processes'!G6="","","tons/hr")</f>
        <v/>
      </c>
      <c r="G68" s="124" t="str">
        <f>IF(A68="","",IF('Facility Information'!F39&gt;0,('Facility Information'!F39/'Facility Information'!G39),IF(A68&gt;0,A68,"")))</f>
        <v/>
      </c>
      <c r="H68" s="124" t="str">
        <f>IF(G68="","","lbs/ton")</f>
        <v/>
      </c>
      <c r="I68" s="111" t="str">
        <f>IF(G68="","",IF('Facility Information'!F39="",LOOKUP(C68,'Emission Factors'!$A$5:$A$10,'Emission Factors'!$D$5:$D$10),"Stack Test"))</f>
        <v/>
      </c>
      <c r="J68" s="11" t="str">
        <f>IF(G68="","",E68*G68)</f>
        <v/>
      </c>
      <c r="K68" s="11"/>
      <c r="L68" s="106"/>
      <c r="M68" s="148" t="str">
        <f>IF('Facility Information'!N34&gt;0,'Facility Information'!N34,"")</f>
        <v/>
      </c>
      <c r="N68" s="59" t="str">
        <f>IF(G68="","",IF('Facility Information'!O34&gt;0,'Facility Information'!O34,IF('Facility Information'!$C$30&gt;0,'Facility Information'!$C$30*G68/2000,IF('Facility Information'!$C$31&gt;0,'Facility Information'!$C$31*365*G68*E68/2000,E68*G68*8760/2000))))</f>
        <v/>
      </c>
      <c r="O68" s="148" t="str">
        <f>IF(G68="","",IF('Facility Information'!F39="",'Facility Processes'!H6*G68/2000,('Facility Information'!F39/'Facility Information'!G39*'Facility Processes'!H6/2000)))</f>
        <v/>
      </c>
    </row>
    <row r="69" spans="1:15" s="105" customFormat="1" ht="15.75" x14ac:dyDescent="0.25">
      <c r="A69" s="105" t="str">
        <f>IF('Facility Information'!$B$25="","",LOOKUP('Facility Processes'!$C$10,'Emission Factors'!$A$19:$A$21,'Emission Factors'!$O$19:$O$21))</f>
        <v/>
      </c>
      <c r="B69" s="169" t="str">
        <f>IF(G69="","",IF('Facility Processes'!B10="","",'Facility Processes'!B10))</f>
        <v/>
      </c>
      <c r="C69" s="122" t="str">
        <f>IF(G69="","",'Facility Processes'!$C$10)</f>
        <v/>
      </c>
      <c r="D69" s="123" t="str">
        <f>IF(G69="","",LOOKUP('Facility Processes'!$C$10,'Emission Factors'!$A$19:$A$21,'Emission Factors'!$C$19:$C$21))</f>
        <v/>
      </c>
      <c r="E69" s="124" t="str">
        <f>IF(G69="","",'Facility Processes'!$G$10)</f>
        <v/>
      </c>
      <c r="F69" s="124" t="str">
        <f>IF(G69="","", 'Facility Processes'!$A$9 &amp;"/hr")</f>
        <v/>
      </c>
      <c r="G69" s="124" t="str">
        <f>IF(A69="","",IF(A69&gt;0,A69,""))</f>
        <v/>
      </c>
      <c r="H69" s="124" t="str">
        <f>IF(G69="","",LOOKUP(C69,'Emission Factors'!$A$19:$A$21,'Emission Factors'!$P$19:$P$21))</f>
        <v/>
      </c>
      <c r="I69" s="112" t="str">
        <f>IF(G69="","",LOOKUP(C69,'Emission Factors'!$A$19:$A$21,'Emission Factors'!$D$19:$D$21))</f>
        <v/>
      </c>
      <c r="J69" s="116" t="str">
        <f>IF(G69="","",E69*G69)</f>
        <v/>
      </c>
      <c r="K69" s="160"/>
      <c r="L69" s="106"/>
      <c r="M69" s="148"/>
      <c r="N69" s="59" t="str">
        <f>IF(G69="","",E69*G69*8760/2000)</f>
        <v/>
      </c>
      <c r="O69" s="148" t="str">
        <f>IF(G69="","",'Facility Processes'!$H$10*G69/2000)</f>
        <v/>
      </c>
    </row>
    <row r="70" spans="1:15" s="105" customFormat="1" x14ac:dyDescent="0.25">
      <c r="B70" s="56" t="str">
        <f>IF('Facility Processes'!$B$14="","",'Facility Processes'!$B$14)</f>
        <v/>
      </c>
      <c r="C70" s="91" t="str">
        <f>IF('Facility Processes'!$G$14="","",'Facility Processes'!$C$14)</f>
        <v/>
      </c>
      <c r="D70" s="91" t="str">
        <f>IF(C70="","",LOOKUP(C70,'Emission Factors'!$A$23,'Emission Factors'!$C$23))</f>
        <v/>
      </c>
      <c r="E70" s="56" t="str">
        <f>IF('Facility Processes'!$G$14="","",'Facility Processes'!$G$14)</f>
        <v/>
      </c>
      <c r="F70" s="56" t="str">
        <f>IF('Facility Processes'!$G$14="","","tons/hr")</f>
        <v/>
      </c>
      <c r="G70" s="145" t="str">
        <f>IF(C70="","",'Emission Factors'!O23)</f>
        <v/>
      </c>
      <c r="H70" s="56" t="str">
        <f>IF(G70="","","lbs/ton")</f>
        <v/>
      </c>
      <c r="I70" s="119" t="str">
        <f>IF(G70="","",'Emission Factors'!$D$23)</f>
        <v/>
      </c>
      <c r="J70" s="59" t="str">
        <f>IF(G70="","",G70*E70)</f>
        <v/>
      </c>
      <c r="K70" s="160"/>
      <c r="L70" s="106"/>
      <c r="M70" s="148"/>
      <c r="N70" s="59" t="str">
        <f>IF(G70="","",IF('Facility Information'!$C$30&gt;0,'Facility Information'!$C$30*G70/2000,IF('Facility Information'!$C$31&gt;0,'Facility Information'!$C$31*365*E70*G70/2000,E70*G70*8760/2000)))</f>
        <v/>
      </c>
      <c r="O70" s="148" t="str">
        <f>IF(G70="","",'Facility Processes'!H14*G70/2000)</f>
        <v/>
      </c>
    </row>
    <row r="71" spans="1:15" s="105" customFormat="1" x14ac:dyDescent="0.25">
      <c r="B71" s="56" t="str">
        <f>IF('Facility Processes'!$B$15="","",'Facility Processes'!$B$15)</f>
        <v/>
      </c>
      <c r="C71" s="91" t="str">
        <f>IF('Facility Processes'!$G$15="","",'Facility Processes'!$C$15)</f>
        <v/>
      </c>
      <c r="D71" s="91" t="str">
        <f>IF(C71="","",LOOKUP(C71,'Emission Factors'!$A$24,'Emission Factors'!$C$24))</f>
        <v/>
      </c>
      <c r="E71" s="56" t="str">
        <f>IF('Facility Processes'!$G$15="","",'Facility Processes'!$G$15)</f>
        <v/>
      </c>
      <c r="F71" s="56" t="str">
        <f>IF('Facility Processes'!$G$15="","","tons/hr")</f>
        <v/>
      </c>
      <c r="G71" s="145" t="str">
        <f>IF(C71="","",'Emission Factors'!O24)</f>
        <v/>
      </c>
      <c r="H71" s="56" t="str">
        <f>IF(G71="","","lbs/ton")</f>
        <v/>
      </c>
      <c r="I71" s="119" t="str">
        <f>IF(G71="","",'Emission Factors'!$D$24)</f>
        <v/>
      </c>
      <c r="J71" s="59" t="str">
        <f>IF(G71="","",G71*E71)</f>
        <v/>
      </c>
      <c r="K71" s="160"/>
      <c r="L71" s="106"/>
      <c r="M71" s="148"/>
      <c r="N71" s="59" t="str">
        <f>IF(G71="","",IF('Facility Information'!$C$30&gt;0,'Facility Information'!$C$30*G71/2000,IF('Facility Information'!$C$31&gt;0,'Facility Information'!$C$31*365*E71*G71/2000,E71*G71*8760/2000)))</f>
        <v/>
      </c>
      <c r="O71" s="148" t="str">
        <f>IF(G71="","",'Facility Processes'!H15*G71/2000)</f>
        <v/>
      </c>
    </row>
    <row r="72" spans="1:15" x14ac:dyDescent="0.25">
      <c r="B72" s="120" t="str">
        <f>IF('Permitted Diesel Engines'!A8="","",'Permitted Diesel Engines'!A8)</f>
        <v/>
      </c>
      <c r="C72" s="91" t="str">
        <f>IF('Permitted Diesel Engines'!C8="","",'Permitted Diesel Engines'!C8)</f>
        <v/>
      </c>
      <c r="D72" s="56" t="str">
        <f>IF('Permitted Diesel Engines'!C8="","",LOOKUP('Permitted Diesel Engines'!C8,'Emission Factors'!$A$44:$A$45,'Emission Factors'!$C$44:$C$45))</f>
        <v/>
      </c>
      <c r="E72" s="56" t="str">
        <f>IF('Permitted Diesel Engines'!C8="","",'Permitted Diesel Engines'!K8)</f>
        <v/>
      </c>
      <c r="F72" s="56" t="str">
        <f>IF('Permitted Diesel Engines'!C8="","","MMBtu/hr")</f>
        <v/>
      </c>
      <c r="G72" s="56" t="str">
        <f>IF('Permitted Diesel Engines'!C8="","",LOOKUP('Permitted Diesel Engines'!C8,'Emission Factors'!$A$44:$A$45,'Emission Factors'!$O$44:$O$45))</f>
        <v/>
      </c>
      <c r="H72" s="56" t="str">
        <f>IF('Permitted Diesel Engines'!C8="","",LOOKUP('Permitted Diesel Engines'!C8,'Emission Factors'!$A$44:$A$45,'Emission Factors'!$D$44:$D$45))</f>
        <v/>
      </c>
      <c r="I72" s="119" t="str">
        <f>IF('Permitted Diesel Engines'!C8="","",LOOKUP('Permitted Diesel Engines'!C8,'Emission Factors'!$A$44:$A$45,'Emission Factors'!$P$44:$P$45))</f>
        <v/>
      </c>
      <c r="J72" s="116" t="str">
        <f>IF('Permitted Diesel Engines'!C8="","",E72*G72)</f>
        <v/>
      </c>
      <c r="K72" s="116"/>
      <c r="L72" s="56"/>
      <c r="M72" s="59"/>
      <c r="N72" s="59" t="str">
        <f>IF(G72="","",IF('Permitted Diesel Engines'!D3&gt;0,IF('Permitted Diesel Engines'!N10&gt;0,'Permitted Diesel Engines'!D3*0.14*'Emission Factors'!O44/2000,'Permitted Diesel Engines'!D3*0.14*'Emission Factors'!O45/2000),IF('Permitted Diesel Engines'!E8&gt;0,'Permitted Diesel Engines'!E8*'Emission Calculations'!G72*E72/2000,'Emission Calculations'!J72*8760/2000)))</f>
        <v/>
      </c>
      <c r="O72" s="59" t="str">
        <f>IF('Permitted Diesel Engines'!C8="","",'Permitted Diesel Engines'!L8*0.14*'Emission Calculations'!G72/2000)</f>
        <v/>
      </c>
    </row>
    <row r="73" spans="1:15" x14ac:dyDescent="0.25">
      <c r="B73" s="120" t="str">
        <f>IF('Permitted Diesel Engines'!A9="","",'Permitted Diesel Engines'!A9)</f>
        <v/>
      </c>
      <c r="C73" s="91" t="str">
        <f>IF('Permitted Diesel Engines'!C9="","",'Permitted Diesel Engines'!C9)</f>
        <v/>
      </c>
      <c r="D73" s="56" t="str">
        <f>IF('Permitted Diesel Engines'!C9="","",LOOKUP('Permitted Diesel Engines'!C9,'Emission Factors'!$A$44:$A$45,'Emission Factors'!$C$44:$C$45))</f>
        <v/>
      </c>
      <c r="E73" s="56" t="str">
        <f>IF('Permitted Diesel Engines'!C9="","",'Permitted Diesel Engines'!K9)</f>
        <v/>
      </c>
      <c r="F73" s="56" t="str">
        <f>IF('Permitted Diesel Engines'!C9="","","MMBtu/hr")</f>
        <v/>
      </c>
      <c r="G73" s="56" t="str">
        <f>IF('Permitted Diesel Engines'!C9="","",LOOKUP('Permitted Diesel Engines'!C9,'Emission Factors'!$A$44:$A$45,'Emission Factors'!$O$44:$O$45))</f>
        <v/>
      </c>
      <c r="H73" s="56" t="str">
        <f>IF('Permitted Diesel Engines'!C9="","",LOOKUP('Permitted Diesel Engines'!C9,'Emission Factors'!$A$44:$A$45,'Emission Factors'!$D$44:$D$45))</f>
        <v/>
      </c>
      <c r="I73" s="119" t="str">
        <f>IF('Permitted Diesel Engines'!C9="","",LOOKUP('Permitted Diesel Engines'!C9,'Emission Factors'!$A$44:$A$45,'Emission Factors'!$P$44:$P$45))</f>
        <v/>
      </c>
      <c r="J73" s="116" t="str">
        <f>IF('Permitted Diesel Engines'!C9="","",E73*G73)</f>
        <v/>
      </c>
      <c r="K73" s="116"/>
      <c r="L73" s="56"/>
      <c r="M73" s="59"/>
      <c r="N73" s="59" t="str">
        <f>IF(G73="","",IF('Permitted Diesel Engines'!$D$3&gt;0,"",IF('Permitted Diesel Engines'!E9&gt;0,'Permitted Diesel Engines'!E9*'Emission Calculations'!G73*E73/2000,'Emission Calculations'!J73*8760/2000)))</f>
        <v/>
      </c>
      <c r="O73" s="59" t="str">
        <f>IF('Permitted Diesel Engines'!C9="","",'Permitted Diesel Engines'!L9*0.14*'Emission Calculations'!G73/2000)</f>
        <v/>
      </c>
    </row>
    <row r="74" spans="1:15" x14ac:dyDescent="0.25">
      <c r="B74" s="120" t="str">
        <f>IF('Permitted Diesel Engines'!A10="","",'Permitted Diesel Engines'!A10)</f>
        <v/>
      </c>
      <c r="C74" s="91" t="str">
        <f>IF('Permitted Diesel Engines'!C10="","",'Permitted Diesel Engines'!C10)</f>
        <v/>
      </c>
      <c r="D74" s="56" t="str">
        <f>IF('Permitted Diesel Engines'!C10="","",LOOKUP('Permitted Diesel Engines'!C10,'Emission Factors'!$A$44:$A$45,'Emission Factors'!$C$44:$C$45))</f>
        <v/>
      </c>
      <c r="E74" s="56" t="str">
        <f>IF('Permitted Diesel Engines'!C10="","",'Permitted Diesel Engines'!K10)</f>
        <v/>
      </c>
      <c r="F74" s="56" t="str">
        <f>IF('Permitted Diesel Engines'!C10="","","MMBtu/hr")</f>
        <v/>
      </c>
      <c r="G74" s="56" t="str">
        <f>IF('Permitted Diesel Engines'!C10="","",LOOKUP('Permitted Diesel Engines'!C10,'Emission Factors'!$A$44:$A$45,'Emission Factors'!$O$44:$O$45))</f>
        <v/>
      </c>
      <c r="H74" s="56" t="str">
        <f>IF('Permitted Diesel Engines'!C10="","",LOOKUP('Permitted Diesel Engines'!C10,'Emission Factors'!$A$44:$A$45,'Emission Factors'!$D$44:$D$45))</f>
        <v/>
      </c>
      <c r="I74" s="119" t="str">
        <f>IF('Permitted Diesel Engines'!C10="","",LOOKUP('Permitted Diesel Engines'!C10,'Emission Factors'!$A$44:$A$45,'Emission Factors'!$P$44:$P$45))</f>
        <v/>
      </c>
      <c r="J74" s="116" t="str">
        <f>IF('Permitted Diesel Engines'!C10="","",E74*G74)</f>
        <v/>
      </c>
      <c r="K74" s="116"/>
      <c r="L74" s="56"/>
      <c r="M74" s="59"/>
      <c r="N74" s="59" t="str">
        <f>IF(G74="","",IF('Permitted Diesel Engines'!$D$3&gt;0,"",IF('Permitted Diesel Engines'!E10&gt;0,'Permitted Diesel Engines'!E10*'Emission Calculations'!G74*E74/2000,'Emission Calculations'!J74*8760/2000)))</f>
        <v/>
      </c>
      <c r="O74" s="59" t="str">
        <f>IF('Permitted Diesel Engines'!C10="","",'Permitted Diesel Engines'!L10*0.14*'Emission Calculations'!G74/2000)</f>
        <v/>
      </c>
    </row>
    <row r="75" spans="1:15" x14ac:dyDescent="0.25">
      <c r="B75" s="120" t="str">
        <f>IF('Permitted Diesel Engines'!A11="","",'Permitted Diesel Engines'!A11)</f>
        <v/>
      </c>
      <c r="C75" s="91" t="str">
        <f>IF('Permitted Diesel Engines'!C11="","",'Permitted Diesel Engines'!C11)</f>
        <v/>
      </c>
      <c r="D75" s="56" t="str">
        <f>IF('Permitted Diesel Engines'!C11="","",LOOKUP('Permitted Diesel Engines'!C11,'Emission Factors'!$A$44:$A$45,'Emission Factors'!$C$44:$C$45))</f>
        <v/>
      </c>
      <c r="E75" s="56" t="str">
        <f>IF('Permitted Diesel Engines'!C11="","",'Permitted Diesel Engines'!K11)</f>
        <v/>
      </c>
      <c r="F75" s="56" t="str">
        <f>IF('Permitted Diesel Engines'!C11="","","MMBtu/hr")</f>
        <v/>
      </c>
      <c r="G75" s="56" t="str">
        <f>IF('Permitted Diesel Engines'!C11="","",LOOKUP('Permitted Diesel Engines'!C11,'Emission Factors'!$A$44:$A$45,'Emission Factors'!$O$44:$O$45))</f>
        <v/>
      </c>
      <c r="H75" s="56" t="str">
        <f>IF('Permitted Diesel Engines'!C11="","",LOOKUP('Permitted Diesel Engines'!C11,'Emission Factors'!$A$44:$A$45,'Emission Factors'!$D$44:$D$45))</f>
        <v/>
      </c>
      <c r="I75" s="119" t="str">
        <f>IF('Permitted Diesel Engines'!C11="","",LOOKUP('Permitted Diesel Engines'!C11,'Emission Factors'!$A$44:$A$45,'Emission Factors'!$P$44:$P$45))</f>
        <v/>
      </c>
      <c r="J75" s="116" t="str">
        <f>IF('Permitted Diesel Engines'!C11="","",E75*G75)</f>
        <v/>
      </c>
      <c r="K75" s="116"/>
      <c r="L75" s="56"/>
      <c r="M75" s="59"/>
      <c r="N75" s="59" t="str">
        <f>IF(G75="","",IF('Permitted Diesel Engines'!$D$3&gt;0,"",IF('Permitted Diesel Engines'!E11&gt;0,'Permitted Diesel Engines'!E11*'Emission Calculations'!G75*E75/2000,'Emission Calculations'!J75*8760/2000)))</f>
        <v/>
      </c>
      <c r="O75" s="59" t="str">
        <f>IF('Permitted Diesel Engines'!C11="","",'Permitted Diesel Engines'!L11*0.14*'Emission Calculations'!G75/2000)</f>
        <v/>
      </c>
    </row>
    <row r="76" spans="1:15" ht="15.75" thickBot="1" x14ac:dyDescent="0.3">
      <c r="B76" s="120" t="str">
        <f>IF('Permitted Diesel Engines'!A12="","",'Permitted Diesel Engines'!A12)</f>
        <v/>
      </c>
      <c r="C76" s="91" t="str">
        <f>IF('Permitted Diesel Engines'!C12="","",'Permitted Diesel Engines'!C12)</f>
        <v/>
      </c>
      <c r="D76" s="56" t="str">
        <f>IF('Permitted Diesel Engines'!C12="","",LOOKUP('Permitted Diesel Engines'!C12,'Emission Factors'!$A$44:$A$45,'Emission Factors'!$C$44:$C$45))</f>
        <v/>
      </c>
      <c r="E76" s="56" t="str">
        <f>IF('Permitted Diesel Engines'!C12="","",'Permitted Diesel Engines'!K12)</f>
        <v/>
      </c>
      <c r="F76" s="56" t="str">
        <f>IF('Permitted Diesel Engines'!C12="","","MMBtu/hr")</f>
        <v/>
      </c>
      <c r="G76" s="56" t="str">
        <f>IF('Permitted Diesel Engines'!C12="","",LOOKUP('Permitted Diesel Engines'!C12,'Emission Factors'!$A$44:$A$45,'Emission Factors'!$O$44:$O$45))</f>
        <v/>
      </c>
      <c r="H76" s="56" t="str">
        <f>IF('Permitted Diesel Engines'!C12="","",LOOKUP('Permitted Diesel Engines'!C12,'Emission Factors'!$A$44:$A$45,'Emission Factors'!$D$44:$D$45))</f>
        <v/>
      </c>
      <c r="I76" s="272" t="str">
        <f>IF('Permitted Diesel Engines'!C12="","",LOOKUP('Permitted Diesel Engines'!C12,'Emission Factors'!$A$44:$A$45,'Emission Factors'!$P$44:$P$45))</f>
        <v/>
      </c>
      <c r="J76" s="137" t="str">
        <f>IF('Permitted Diesel Engines'!C12="","",E76*G76)</f>
        <v/>
      </c>
      <c r="K76" s="137"/>
      <c r="L76" s="273"/>
      <c r="M76" s="276"/>
      <c r="N76" s="276" t="str">
        <f>IF(G76="","",IF('Permitted Diesel Engines'!$D$3&gt;0,"",IF('Permitted Diesel Engines'!E12&gt;0,'Permitted Diesel Engines'!E12*'Emission Calculations'!G76*E76/2000,'Emission Calculations'!J76*8760/2000)))</f>
        <v/>
      </c>
      <c r="O76" s="276" t="str">
        <f>IF('Permitted Diesel Engines'!C12="","",'Permitted Diesel Engines'!L12*0.14*'Emission Calculations'!G76/2000)</f>
        <v/>
      </c>
    </row>
    <row r="77" spans="1:15" ht="15.75" thickBot="1" x14ac:dyDescent="0.3">
      <c r="B77" s="57"/>
      <c r="C77" s="18"/>
      <c r="D77" s="19"/>
      <c r="E77" s="19"/>
      <c r="F77" s="19"/>
      <c r="G77" s="19"/>
      <c r="H77" s="19"/>
      <c r="I77" s="274"/>
      <c r="J77" s="275"/>
      <c r="K77" s="275"/>
      <c r="L77" s="277" t="s">
        <v>36</v>
      </c>
      <c r="M77" s="278"/>
      <c r="N77" s="279">
        <f>SUM(N68:N76)</f>
        <v>0</v>
      </c>
      <c r="O77" s="280">
        <f>SUM(O68:O76)</f>
        <v>0</v>
      </c>
    </row>
    <row r="78" spans="1:15" x14ac:dyDescent="0.25">
      <c r="O78" s="125"/>
    </row>
    <row r="79" spans="1:15" ht="15" customHeight="1" x14ac:dyDescent="0.25">
      <c r="B79" s="128"/>
      <c r="C79" s="127"/>
      <c r="D79" s="127"/>
      <c r="E79" s="128"/>
      <c r="F79" s="128"/>
      <c r="G79" s="128"/>
      <c r="H79" s="128"/>
      <c r="I79" s="128"/>
      <c r="J79" s="293"/>
      <c r="K79" s="143"/>
      <c r="L79" s="7"/>
      <c r="M79" s="249"/>
      <c r="N79" s="254"/>
      <c r="O79" s="294"/>
    </row>
    <row r="80" spans="1:15" ht="45" x14ac:dyDescent="0.25">
      <c r="B80" s="270" t="s">
        <v>18</v>
      </c>
      <c r="C80" s="260" t="s">
        <v>19</v>
      </c>
      <c r="D80" s="270" t="s">
        <v>16</v>
      </c>
      <c r="E80" s="260" t="s">
        <v>17</v>
      </c>
      <c r="F80" s="260" t="s">
        <v>51</v>
      </c>
      <c r="G80" s="260" t="s">
        <v>20</v>
      </c>
      <c r="H80" s="260" t="s">
        <v>51</v>
      </c>
      <c r="I80" s="256" t="s">
        <v>255</v>
      </c>
      <c r="J80" s="260" t="s">
        <v>139</v>
      </c>
      <c r="K80" s="196"/>
      <c r="L80" s="260" t="s">
        <v>22</v>
      </c>
      <c r="M80" s="260" t="s">
        <v>140</v>
      </c>
      <c r="N80" s="260" t="s">
        <v>21</v>
      </c>
      <c r="O80" s="260" t="s">
        <v>25</v>
      </c>
    </row>
    <row r="81" spans="1:15" ht="15.75" x14ac:dyDescent="0.25">
      <c r="B81" s="295" t="s">
        <v>176</v>
      </c>
      <c r="C81" s="295"/>
      <c r="D81" s="127"/>
      <c r="E81" s="128"/>
      <c r="F81" s="128"/>
      <c r="G81" s="128"/>
      <c r="H81" s="128"/>
      <c r="I81" s="129"/>
      <c r="J81" s="130"/>
      <c r="K81" s="130"/>
      <c r="L81" s="7"/>
      <c r="M81" s="10"/>
      <c r="N81" s="10"/>
      <c r="O81" s="150"/>
    </row>
    <row r="82" spans="1:15" s="105" customFormat="1" x14ac:dyDescent="0.25">
      <c r="A82" s="105" t="str">
        <f>IF('Facility Information'!$B$24="","",IF('Facility Information'!$B$26="yes",LOOKUP('Facility Processes'!C6,'Emission Factors'!$A$12:$A$17,'Emission Factors'!Q$12:Q$17),LOOKUP('Facility Processes'!C6,'Emission Factors'!$A$5:$A$10,'Emission Factors'!Q$5:Q$10)))</f>
        <v/>
      </c>
      <c r="B82" s="106" t="str">
        <f>IF(G82="","",IF('Facility Processes'!B6="","",'Facility Processes'!B6))</f>
        <v/>
      </c>
      <c r="C82" s="131" t="str">
        <f>IF(G82="","",'Facility Processes'!C6)</f>
        <v/>
      </c>
      <c r="D82" s="132" t="str">
        <f>IF(G82="","",IF('Facility Information'!$B$26="Yes",LOOKUP('Facility Processes'!C6,'Emission Factors'!A12:A17,'Emission Factors'!C12:C17),IF('Facility Information'!$B$26="No",LOOKUP('Facility Processes'!C6,'Emission Factors'!A5:A10,'Emission Factors'!C5:C10))))</f>
        <v/>
      </c>
      <c r="E82" s="107" t="str">
        <f>IF(G82="","",IF('Facility Processes'!$G$6="","",'Facility Processes'!$G$6))</f>
        <v/>
      </c>
      <c r="F82" s="106" t="str">
        <f>IF(G82="","",IF('Facility Processes'!G6="","","tons/hr"))</f>
        <v/>
      </c>
      <c r="G82" s="106" t="str">
        <f>IF(A82="","",IF(A82&gt;0,A82,""))</f>
        <v/>
      </c>
      <c r="H82" s="106" t="str">
        <f>IF(G82="","","lbs/ton")</f>
        <v/>
      </c>
      <c r="I82" s="112" t="str">
        <f>IF(G82="","",LOOKUP(C82,'Emission Factors'!$A$5:$A$10,'Emission Factors'!$D$5:$D$10))</f>
        <v/>
      </c>
      <c r="J82" s="137" t="str">
        <f>IF(G82="","",G82*E82)</f>
        <v/>
      </c>
      <c r="K82" s="137"/>
      <c r="L82" s="106"/>
      <c r="M82" s="148"/>
      <c r="N82" s="59" t="str">
        <f>IF(G82="","",IF('Facility Information'!$C$30&gt;0,'Facility Information'!$C$30*G82/2000,IF('Facility Information'!$C$31&gt;0,'Facility Information'!$C$31*365*G82*E82/2000,E82*G82*8760/2000)))</f>
        <v/>
      </c>
      <c r="O82" s="148" t="str">
        <f>IF(G82="","",'Facility Processes'!$H$6*G82/2000)</f>
        <v/>
      </c>
    </row>
    <row r="83" spans="1:15" ht="15.75" x14ac:dyDescent="0.25">
      <c r="A83" s="105"/>
      <c r="B83" s="296" t="s">
        <v>180</v>
      </c>
      <c r="C83" s="296"/>
      <c r="D83" s="127"/>
      <c r="E83" s="110" t="str">
        <f>IF(G83="","",IF('Facility Processes'!$G$6="","",'Facility Processes'!$G$6))</f>
        <v/>
      </c>
      <c r="F83" s="128"/>
      <c r="G83" s="108"/>
      <c r="H83" s="108" t="str">
        <f t="shared" ref="H83:H127" si="0">IF(G83="","","lbs/ton")</f>
        <v/>
      </c>
      <c r="I83" s="113" t="str">
        <f>IF(G83="","",LOOKUP(C83,'Emission Factors'!$A$5:$A$10,'Emission Factors'!$D$5:$D$10))</f>
        <v/>
      </c>
      <c r="J83" s="118"/>
      <c r="K83" s="117"/>
      <c r="L83" s="7"/>
      <c r="M83" s="10"/>
      <c r="N83" s="10"/>
      <c r="O83" s="150"/>
    </row>
    <row r="84" spans="1:15" s="105" customFormat="1" x14ac:dyDescent="0.25">
      <c r="A84" s="105" t="str">
        <f>IF('Facility Information'!$B$24="","",IF('Facility Information'!$B$26="yes",LOOKUP('Facility Processes'!C6,'Emission Factors'!$A$12:$A$17,'Emission Factors'!S$12:S$17),LOOKUP('Facility Processes'!C6,'Emission Factors'!$A$5:$A$10,'Emission Factors'!S$5:S$10)))</f>
        <v/>
      </c>
      <c r="B84" s="106" t="str">
        <f>IF(G84="","",IF('Facility Processes'!B6="","",'Facility Processes'!B6))</f>
        <v/>
      </c>
      <c r="C84" s="131" t="str">
        <f>IF(G84="","",'Facility Processes'!C6)</f>
        <v/>
      </c>
      <c r="D84" s="132" t="str">
        <f>IF(G84="","",IF('Facility Information'!$B$26="Yes",LOOKUP('Facility Processes'!C6,'Emission Factors'!A12:A17,'Emission Factors'!C12:C17),IF('Facility Information'!$B$26="No",LOOKUP('Facility Processes'!C6,'Emission Factors'!A5:A10,'Emission Factors'!C5:C10))))</f>
        <v/>
      </c>
      <c r="E84" s="138" t="str">
        <f>IF(G84="","",IF('Facility Processes'!$G$6="","",'Facility Processes'!$G$6))</f>
        <v/>
      </c>
      <c r="F84" s="106" t="str">
        <f>IF(G84="","",IF('Facility Processes'!G6="","","tons/hr"))</f>
        <v/>
      </c>
      <c r="G84" s="106" t="str">
        <f>IF(A84="","",IF(A84&gt;0,A84,""))</f>
        <v/>
      </c>
      <c r="H84" s="106" t="str">
        <f t="shared" si="0"/>
        <v/>
      </c>
      <c r="I84" s="112" t="str">
        <f>IF(G84="","",LOOKUP(C84,'Emission Factors'!$A$5:$A$10,'Emission Factors'!$D$5:$D$10))</f>
        <v/>
      </c>
      <c r="J84" s="140" t="str">
        <f>IF(G84="","",G84*E84)</f>
        <v/>
      </c>
      <c r="K84" s="140"/>
      <c r="L84" s="106"/>
      <c r="M84" s="148"/>
      <c r="N84" s="59" t="str">
        <f>IF(G84="","",IF('Facility Information'!$C$30&gt;0,'Facility Information'!$C$30*G84/2000,IF('Facility Information'!$C$31&gt;0,'Facility Information'!$C$31*365*G84*E84/2000,E84*G84*8760/2000)))</f>
        <v/>
      </c>
      <c r="O84" s="148" t="str">
        <f>IF(G84="","",'Facility Processes'!$H$6*G84/2000)</f>
        <v/>
      </c>
    </row>
    <row r="85" spans="1:15" ht="15.75" x14ac:dyDescent="0.25">
      <c r="A85" s="105"/>
      <c r="B85" s="296" t="s">
        <v>99</v>
      </c>
      <c r="C85" s="296"/>
      <c r="D85" s="70"/>
      <c r="E85" s="110" t="str">
        <f>IF(G85="","",IF('Facility Processes'!$G$6="","",'Facility Processes'!$G$6))</f>
        <v/>
      </c>
      <c r="F85" s="143"/>
      <c r="G85" s="108"/>
      <c r="H85" s="108" t="str">
        <f t="shared" si="0"/>
        <v/>
      </c>
      <c r="I85" s="113" t="str">
        <f>IF(G85="","",LOOKUP(C85,'Emission Factors'!$A$5:$A$10,'Emission Factors'!$D$5:$D$10))</f>
        <v/>
      </c>
      <c r="J85" s="118"/>
      <c r="K85" s="117"/>
      <c r="L85" s="104"/>
      <c r="M85" s="149"/>
      <c r="N85" s="79"/>
      <c r="O85" s="152"/>
    </row>
    <row r="86" spans="1:15" s="105" customFormat="1" x14ac:dyDescent="0.25">
      <c r="A86" s="105" t="str">
        <f>IF('Facility Information'!$B$24="","",IF('Facility Information'!$B$26="yes",LOOKUP('Facility Processes'!C6,'Emission Factors'!$A$12:$A$17,'Emission Factors'!U$12:U$17),LOOKUP('Facility Processes'!C6,'Emission Factors'!$A$5:$A$10,'Emission Factors'!U$5:U$10)))</f>
        <v/>
      </c>
      <c r="B86" s="106" t="str">
        <f>IF(G86="","",IF('Facility Processes'!B6="","",'Facility Processes'!B6))</f>
        <v/>
      </c>
      <c r="C86" s="131" t="str">
        <f>IF(G86="","",'Facility Processes'!C6)</f>
        <v/>
      </c>
      <c r="D86" s="132" t="str">
        <f>IF(G86="","",IF('Facility Information'!$B$26="Yes",LOOKUP('Facility Processes'!C6,'Emission Factors'!A12:A17,'Emission Factors'!C12:C17),IF('Facility Information'!$B$26="No",LOOKUP('Facility Processes'!C6,'Emission Factors'!A5:A10,'Emission Factors'!C5:C10))))</f>
        <v/>
      </c>
      <c r="E86" s="109" t="str">
        <f>IF(G86="","",IF('Facility Processes'!$G$6="","",'Facility Processes'!$G$6))</f>
        <v/>
      </c>
      <c r="F86" s="106" t="str">
        <f>IF(G86="","",IF('Facility Processes'!G6="","","tons/hr"))</f>
        <v/>
      </c>
      <c r="G86" s="106" t="str">
        <f>IF(A86="","",IF(A86&gt;0,A86,""))</f>
        <v/>
      </c>
      <c r="H86" s="106" t="str">
        <f t="shared" si="0"/>
        <v/>
      </c>
      <c r="I86" s="112" t="str">
        <f>IF(G86="","",LOOKUP(C86,'Emission Factors'!$A$5:$A$10,'Emission Factors'!$D$5:$D$10))</f>
        <v/>
      </c>
      <c r="J86" s="142" t="str">
        <f>IF(G86="","",G86*E86)</f>
        <v/>
      </c>
      <c r="K86" s="142"/>
      <c r="L86" s="106"/>
      <c r="M86" s="148"/>
      <c r="N86" s="59" t="str">
        <f>IF(G86="","",IF('Facility Information'!$C$30&gt;0,'Facility Information'!$C$30*G86/2000,IF('Facility Information'!$C$31&gt;0,'Facility Information'!$C$31*365*G86*E86/2000,E86*G86*8760/2000)))</f>
        <v/>
      </c>
      <c r="O86" s="148" t="str">
        <f>IF(G86="","",'Facility Processes'!$H$6*G86/2000)</f>
        <v/>
      </c>
    </row>
    <row r="87" spans="1:15" x14ac:dyDescent="0.25">
      <c r="A87" s="105"/>
      <c r="B87" s="120" t="str">
        <f>IF('Permitted Diesel Engines'!A8="","",'Permitted Diesel Engines'!A8)</f>
        <v/>
      </c>
      <c r="C87" s="91" t="str">
        <f>IF('Permitted Diesel Engines'!C8="","",'Permitted Diesel Engines'!C8)</f>
        <v/>
      </c>
      <c r="D87" s="56" t="str">
        <f>IF('Permitted Diesel Engines'!C8="","",LOOKUP('Permitted Diesel Engines'!C8,'Emission Factors'!$A$44:$A$45,'Emission Factors'!$C$44:$C$45))</f>
        <v/>
      </c>
      <c r="E87" s="56" t="str">
        <f>IF('Permitted Diesel Engines'!C8="","",'Permitted Diesel Engines'!K8)</f>
        <v/>
      </c>
      <c r="F87" s="56" t="str">
        <f>IF('Permitted Diesel Engines'!C8="","","MMBtu/hr")</f>
        <v/>
      </c>
      <c r="G87" s="109" t="str">
        <f>IF('Permitted Diesel Engines'!C8="","",LOOKUP('Permitted Diesel Engines'!C8,'Emission Factors'!$A$44:$A$45,'Emission Factors'!$W$44:$W$45))</f>
        <v/>
      </c>
      <c r="H87" s="109" t="str">
        <f>IF('Permitted Diesel Engines'!C8="","",LOOKUP('Permitted Diesel Engines'!C8,'Emission Factors'!$A$44:$A$45,'Emission Factors'!$D$44:$D$45))</f>
        <v/>
      </c>
      <c r="I87" s="141" t="str">
        <f>IF('Permitted Diesel Engines'!C8="","",LOOKUP('Permitted Diesel Engines'!C8,'Emission Factors'!$A$44:$A$45,'Emission Factors'!$X$44:$X$45))</f>
        <v/>
      </c>
      <c r="J87" s="116" t="str">
        <f>IF('Permitted Diesel Engines'!C8="","",E87*G87)</f>
        <v/>
      </c>
      <c r="K87" s="116"/>
      <c r="L87" s="8"/>
      <c r="M87" s="47"/>
      <c r="N87" s="59" t="str">
        <f>IF(G87="","",IF('Permitted Diesel Engines'!D3&gt;0,IF('Permitted Diesel Engines'!N11&gt;0,'Permitted Diesel Engines'!D3*0.14*'Emission Factors'!W45/2000,'Permitted Diesel Engines'!D3*0.14*'Emission Factors'!W44/2000),IF('Permitted Diesel Engines'!E8&gt;0,'Permitted Diesel Engines'!E8*'Emission Calculations'!G87*E87/2000,'Emission Calculations'!J87*8760/2000)))</f>
        <v/>
      </c>
      <c r="O87" s="59" t="str">
        <f>IF('Permitted Diesel Engines'!C8="","",'Permitted Diesel Engines'!L8*0.14*'Emission Calculations'!G87/2000)</f>
        <v/>
      </c>
    </row>
    <row r="88" spans="1:15" x14ac:dyDescent="0.25">
      <c r="A88" s="105"/>
      <c r="B88" s="120" t="str">
        <f>IF('Permitted Diesel Engines'!A9="","",'Permitted Diesel Engines'!A9)</f>
        <v/>
      </c>
      <c r="C88" s="91" t="str">
        <f>IF('Permitted Diesel Engines'!C9="","",'Permitted Diesel Engines'!C9)</f>
        <v/>
      </c>
      <c r="D88" s="56" t="str">
        <f>IF('Permitted Diesel Engines'!C9="","",LOOKUP('Permitted Diesel Engines'!C9,'Emission Factors'!$A$44:$A$45,'Emission Factors'!$C$44:$C$45))</f>
        <v/>
      </c>
      <c r="E88" s="56" t="str">
        <f>IF('Permitted Diesel Engines'!C9="","",'Permitted Diesel Engines'!K9)</f>
        <v/>
      </c>
      <c r="F88" s="56" t="str">
        <f>IF('Permitted Diesel Engines'!C9="","","MMBtu/hr")</f>
        <v/>
      </c>
      <c r="G88" s="106" t="str">
        <f>IF('Permitted Diesel Engines'!C9="","",LOOKUP('Permitted Diesel Engines'!C9,'Emission Factors'!$A$44:$A$45,'Emission Factors'!$W$44:$W$45))</f>
        <v/>
      </c>
      <c r="H88" s="106" t="str">
        <f>IF('Permitted Diesel Engines'!C9="","",LOOKUP('Permitted Diesel Engines'!C9,'Emission Factors'!$A$44:$A$45,'Emission Factors'!$D$44:$D$45))</f>
        <v/>
      </c>
      <c r="I88" s="112" t="str">
        <f>IF('Permitted Diesel Engines'!C9="","",LOOKUP('Permitted Diesel Engines'!C9,'Emission Factors'!$A$44:$A$45,'Emission Factors'!$X$44:$X$45))</f>
        <v/>
      </c>
      <c r="J88" s="116"/>
      <c r="K88" s="116"/>
      <c r="L88" s="8"/>
      <c r="M88" s="47"/>
      <c r="N88" s="47" t="str">
        <f>IF(G88="","",IF('Permitted Diesel Engines'!$D$3&gt;0,"",IF('Permitted Diesel Engines'!E9&gt;0,'Permitted Diesel Engines'!E9*'Emission Calculations'!G88*E88/2000,'Emission Calculations'!J88*8760/2000)))</f>
        <v/>
      </c>
      <c r="O88" s="59" t="str">
        <f>IF('Permitted Diesel Engines'!C9="","",'Permitted Diesel Engines'!L9*0.14*'Emission Calculations'!G88/2000)</f>
        <v/>
      </c>
    </row>
    <row r="89" spans="1:15" x14ac:dyDescent="0.25">
      <c r="A89" s="105"/>
      <c r="B89" s="120" t="str">
        <f>IF('Permitted Diesel Engines'!A10="","",'Permitted Diesel Engines'!A10)</f>
        <v/>
      </c>
      <c r="C89" s="91" t="str">
        <f>IF('Permitted Diesel Engines'!C10="","",'Permitted Diesel Engines'!C10)</f>
        <v/>
      </c>
      <c r="D89" s="56" t="str">
        <f>IF('Permitted Diesel Engines'!C10="","",LOOKUP('Permitted Diesel Engines'!C10,'Emission Factors'!$A$44:$A$45,'Emission Factors'!$C$44:$C$45))</f>
        <v/>
      </c>
      <c r="E89" s="56" t="str">
        <f>IF('Permitted Diesel Engines'!C10="","",'Permitted Diesel Engines'!K10)</f>
        <v/>
      </c>
      <c r="F89" s="56" t="str">
        <f>IF('Permitted Diesel Engines'!C10="","","MMBtu/hr")</f>
        <v/>
      </c>
      <c r="G89" s="106" t="str">
        <f>IF('Permitted Diesel Engines'!C10="","",LOOKUP('Permitted Diesel Engines'!C10,'Emission Factors'!$A$44:$A$45,'Emission Factors'!$W$44:$W$45))</f>
        <v/>
      </c>
      <c r="H89" s="106" t="str">
        <f>IF('Permitted Diesel Engines'!C10="","",LOOKUP('Permitted Diesel Engines'!C10,'Emission Factors'!$A$44:$A$45,'Emission Factors'!$D$44:$D$45))</f>
        <v/>
      </c>
      <c r="I89" s="112" t="str">
        <f>IF('Permitted Diesel Engines'!C10="","",LOOKUP('Permitted Diesel Engines'!C10,'Emission Factors'!$A$44:$A$45,'Emission Factors'!$X$44:$X$45))</f>
        <v/>
      </c>
      <c r="J89" s="116"/>
      <c r="K89" s="116"/>
      <c r="L89" s="8"/>
      <c r="M89" s="47"/>
      <c r="N89" s="47" t="str">
        <f>IF(G89="","",IF('Permitted Diesel Engines'!$D$3&gt;0,"",IF('Permitted Diesel Engines'!E10&gt;0,'Permitted Diesel Engines'!E10*'Emission Calculations'!G89*E89/2000,'Emission Calculations'!J89*8760/2000)))</f>
        <v/>
      </c>
      <c r="O89" s="59" t="str">
        <f>IF('Permitted Diesel Engines'!C10="","",'Permitted Diesel Engines'!L10*0.14*'Emission Calculations'!G89/2000)</f>
        <v/>
      </c>
    </row>
    <row r="90" spans="1:15" x14ac:dyDescent="0.25">
      <c r="A90" s="105"/>
      <c r="B90" s="14" t="str">
        <f>IF('Permitted Diesel Engines'!A11="","",'Permitted Diesel Engines'!A11)</f>
        <v/>
      </c>
      <c r="C90" s="9" t="str">
        <f>IF('Permitted Diesel Engines'!C11="","",'Permitted Diesel Engines'!C11)</f>
        <v/>
      </c>
      <c r="D90" s="8" t="str">
        <f>IF('Permitted Diesel Engines'!C11="","",LOOKUP('Permitted Diesel Engines'!C11,'Emission Factors'!$A$44:$A$45,'Emission Factors'!$C$44:$C$45))</f>
        <v/>
      </c>
      <c r="E90" s="8" t="str">
        <f>IF('Permitted Diesel Engines'!C11="","",'Permitted Diesel Engines'!K11)</f>
        <v/>
      </c>
      <c r="F90" s="8" t="str">
        <f>IF('Permitted Diesel Engines'!C11="","","MMBtu/hr")</f>
        <v/>
      </c>
      <c r="G90" s="106" t="str">
        <f>IF('Permitted Diesel Engines'!C11="","",LOOKUP('Permitted Diesel Engines'!C11,'Emission Factors'!$A$44:$A$45,'Emission Factors'!$W$44:$W$45))</f>
        <v/>
      </c>
      <c r="H90" s="106" t="str">
        <f>IF('Permitted Diesel Engines'!C11="","",LOOKUP('Permitted Diesel Engines'!C11,'Emission Factors'!$A$44:$A$45,'Emission Factors'!$D$44:$D$45))</f>
        <v/>
      </c>
      <c r="I90" s="111" t="str">
        <f>IF('Permitted Diesel Engines'!C11="","",LOOKUP('Permitted Diesel Engines'!C11,'Emission Factors'!$A$44:$A$45,'Emission Factors'!$X$44:$X$45))</f>
        <v/>
      </c>
      <c r="J90" s="11"/>
      <c r="K90" s="11"/>
      <c r="L90" s="8"/>
      <c r="M90" s="47"/>
      <c r="N90" s="47" t="str">
        <f>IF(G90="","",IF('Permitted Diesel Engines'!$D$3&gt;0,"",IF('Permitted Diesel Engines'!E11&gt;0,'Permitted Diesel Engines'!E11*'Emission Calculations'!G90*E90/2000,'Emission Calculations'!J90*8760/2000)))</f>
        <v/>
      </c>
      <c r="O90" s="59" t="str">
        <f>IF('Permitted Diesel Engines'!C11="","",'Permitted Diesel Engines'!L11*0.14*'Emission Calculations'!G90/2000)</f>
        <v/>
      </c>
    </row>
    <row r="91" spans="1:15" ht="15.75" thickBot="1" x14ac:dyDescent="0.3">
      <c r="A91" s="105"/>
      <c r="B91" s="14" t="str">
        <f>IF('Permitted Diesel Engines'!A12="","",'Permitted Diesel Engines'!A12)</f>
        <v/>
      </c>
      <c r="C91" s="9" t="str">
        <f>IF('Permitted Diesel Engines'!C12="","",'Permitted Diesel Engines'!C12)</f>
        <v/>
      </c>
      <c r="D91" s="8" t="str">
        <f>IF('Permitted Diesel Engines'!C12="","",LOOKUP('Permitted Diesel Engines'!C12,'Emission Factors'!$A$44:$A$45,'Emission Factors'!$C$44:$C$45))</f>
        <v/>
      </c>
      <c r="E91" s="8" t="str">
        <f>IF('Permitted Diesel Engines'!C12="","",'Permitted Diesel Engines'!K12)</f>
        <v/>
      </c>
      <c r="F91" s="8" t="str">
        <f>IF('Permitted Diesel Engines'!C12="","","MMBtu/hr")</f>
        <v/>
      </c>
      <c r="G91" s="106" t="str">
        <f>IF('Permitted Diesel Engines'!C12="","",LOOKUP('Permitted Diesel Engines'!C12,'Emission Factors'!$A$44:$A$45,'Emission Factors'!$W$44:$W$45))</f>
        <v/>
      </c>
      <c r="H91" s="106" t="str">
        <f>IF('Permitted Diesel Engines'!C12="","",LOOKUP('Permitted Diesel Engines'!C12,'Emission Factors'!$A$44:$A$45,'Emission Factors'!$D$44:$D$45))</f>
        <v/>
      </c>
      <c r="I91" s="286" t="str">
        <f>IF('Permitted Diesel Engines'!C12="","",LOOKUP('Permitted Diesel Engines'!C12,'Emission Factors'!$A$44:$A$45,'Emission Factors'!$X$44:$X$45))</f>
        <v/>
      </c>
      <c r="J91" s="287"/>
      <c r="K91" s="287"/>
      <c r="L91" s="282"/>
      <c r="M91" s="283"/>
      <c r="N91" s="283" t="str">
        <f>IF(G91="","",IF('Permitted Diesel Engines'!$D$3&gt;0,"",IF('Permitted Diesel Engines'!E12&gt;0,'Permitted Diesel Engines'!E12*'Emission Calculations'!G91*E91/2000,'Emission Calculations'!J91*8760/2000)))</f>
        <v/>
      </c>
      <c r="O91" s="276" t="str">
        <f>IF('Permitted Diesel Engines'!C12="","",'Permitted Diesel Engines'!L12*0.14*'Emission Calculations'!G91/2000)</f>
        <v/>
      </c>
    </row>
    <row r="92" spans="1:15" ht="15.75" thickBot="1" x14ac:dyDescent="0.3">
      <c r="A92" s="105"/>
      <c r="B92" s="125"/>
      <c r="C92" s="125"/>
      <c r="D92" s="125"/>
      <c r="E92" s="126"/>
      <c r="F92" s="126"/>
      <c r="G92" s="108"/>
      <c r="H92" s="108" t="str">
        <f t="shared" si="0"/>
        <v/>
      </c>
      <c r="I92" s="288"/>
      <c r="J92" s="289"/>
      <c r="K92" s="289"/>
      <c r="L92" s="277" t="s">
        <v>36</v>
      </c>
      <c r="M92" s="278"/>
      <c r="N92" s="279">
        <f>SUM(N86:N91)</f>
        <v>0</v>
      </c>
      <c r="O92" s="280">
        <f>SUM(O86:O91)</f>
        <v>0</v>
      </c>
    </row>
    <row r="93" spans="1:15" ht="15.75" x14ac:dyDescent="0.25">
      <c r="A93" s="105"/>
      <c r="B93" s="296" t="s">
        <v>162</v>
      </c>
      <c r="C93" s="296"/>
      <c r="D93" s="127"/>
      <c r="E93" s="128"/>
      <c r="F93" s="128"/>
      <c r="G93" s="108"/>
      <c r="H93" s="108" t="str">
        <f t="shared" si="0"/>
        <v/>
      </c>
      <c r="I93" s="129"/>
      <c r="J93" s="130"/>
      <c r="K93" s="130"/>
      <c r="L93" s="281"/>
      <c r="M93" s="10"/>
      <c r="N93" s="10"/>
      <c r="O93" s="150"/>
    </row>
    <row r="94" spans="1:15" s="105" customFormat="1" x14ac:dyDescent="0.25">
      <c r="A94" s="105" t="str">
        <f>IF('Facility Information'!$B$24="","",IF('Facility Information'!$B$26="yes",LOOKUP('Facility Processes'!C6,'Emission Factors'!$A$12:$A$17,'Emission Factors'!W$12:W$17),LOOKUP('Facility Processes'!C6,'Emission Factors'!$A$5:$A$10,'Emission Factors'!W$5:W$10)))</f>
        <v/>
      </c>
      <c r="B94" s="106" t="str">
        <f>IF('Facility Processes'!B6="","",'Facility Processes'!B6)</f>
        <v/>
      </c>
      <c r="C94" s="131" t="str">
        <f>IF(G94="","",'Facility Processes'!C6)</f>
        <v/>
      </c>
      <c r="D94" s="132" t="str">
        <f>IF(G94="","",IF('Facility Information'!$B$26="Yes",LOOKUP('Facility Processes'!C6,'Emission Factors'!A12:A17,'Emission Factors'!C12:C17),IF('Facility Information'!$B$26="No",LOOKUP('Facility Processes'!C6,'Emission Factors'!A5:A10,'Emission Factors'!C5:C10))))</f>
        <v/>
      </c>
      <c r="E94" s="106" t="str">
        <f>IF(G94="","",IF('Facility Processes'!$G$6="","",'Facility Processes'!$G$6))</f>
        <v/>
      </c>
      <c r="F94" s="106" t="str">
        <f>IF(G94="","",IF('Facility Processes'!G6="","","tons/hr"))</f>
        <v/>
      </c>
      <c r="G94" s="107" t="str">
        <f>IF(A94="","",IF(A94&gt;0,A94,""))</f>
        <v/>
      </c>
      <c r="H94" s="107" t="str">
        <f t="shared" si="0"/>
        <v/>
      </c>
      <c r="I94" s="112" t="str">
        <f>IF(G94="","",LOOKUP(C94,'Emission Factors'!$A$5:$A$10,'Emission Factors'!$D$5:$D$10))</f>
        <v/>
      </c>
      <c r="J94" s="116" t="str">
        <f>IF(G94="","",G94*E94)</f>
        <v/>
      </c>
      <c r="K94" s="116"/>
      <c r="L94" s="106"/>
      <c r="M94" s="148"/>
      <c r="N94" s="59" t="str">
        <f>IF(G94="","",IF('Facility Information'!$C$30&gt;0,'Facility Information'!$C$30*G94/2000,IF('Facility Information'!$C$31&gt;0,'Facility Information'!$C$31*365*G94*E94/2000,E94*G94*8760/2000)))</f>
        <v/>
      </c>
      <c r="O94" s="148" t="str">
        <f>IF(G94="","",'Facility Processes'!$H$6*G94/2000)</f>
        <v/>
      </c>
    </row>
    <row r="95" spans="1:15" ht="15.75" x14ac:dyDescent="0.25">
      <c r="A95" s="105"/>
      <c r="B95" s="297" t="s">
        <v>15</v>
      </c>
      <c r="C95" s="297"/>
      <c r="D95" s="125"/>
      <c r="E95" s="125"/>
      <c r="F95" s="125"/>
      <c r="G95" s="110"/>
      <c r="H95" s="110" t="str">
        <f t="shared" si="0"/>
        <v/>
      </c>
      <c r="I95" s="133"/>
      <c r="J95" s="125"/>
      <c r="K95" s="125"/>
      <c r="O95" s="125"/>
    </row>
    <row r="96" spans="1:15" s="105" customFormat="1" x14ac:dyDescent="0.25">
      <c r="A96" s="105" t="str">
        <f>IF('Facility Information'!$B$24="","",IF('Facility Information'!$B$26="yes",LOOKUP('Facility Processes'!C6,'Emission Factors'!$A$12:$A$17,'Emission Factors'!Y$12:Y$17),LOOKUP('Facility Processes'!C6,'Emission Factors'!$A$5:$A$10,'Emission Factors'!Y$5:Y$10)))</f>
        <v/>
      </c>
      <c r="B96" s="106" t="str">
        <f>IF('Facility Processes'!B6="","",'Facility Processes'!B6)</f>
        <v/>
      </c>
      <c r="C96" s="131" t="str">
        <f>IF(G96="","",'Facility Processes'!C6)</f>
        <v/>
      </c>
      <c r="D96" s="132" t="str">
        <f>IF(G96="","",IF('Facility Information'!$B$26="Yes",LOOKUP('Facility Processes'!C6,'Emission Factors'!A12:A17,'Emission Factors'!C12:C17),IF('Facility Information'!$B$26="No",LOOKUP('Facility Processes'!C6,'Emission Factors'!A5:A10,'Emission Factors'!C5:C10))))</f>
        <v/>
      </c>
      <c r="E96" s="106" t="str">
        <f>IF(G96="","",IF('Facility Processes'!$G$6="","",'Facility Processes'!$G$6))</f>
        <v/>
      </c>
      <c r="F96" s="106" t="str">
        <f>IF(G96="","",IF('Facility Processes'!G6="","","tons/hr"))</f>
        <v/>
      </c>
      <c r="G96" s="109" t="str">
        <f>IF(A96="","",IF(A96&gt;0,A96,""))</f>
        <v/>
      </c>
      <c r="H96" s="109" t="str">
        <f t="shared" si="0"/>
        <v/>
      </c>
      <c r="I96" s="112" t="str">
        <f>IF(G96="","",LOOKUP(C96,'Emission Factors'!$A$5:$A$10,'Emission Factors'!$D$5:$D$10))</f>
        <v/>
      </c>
      <c r="J96" s="116" t="str">
        <f>IF(G96="","",G96*E96)</f>
        <v/>
      </c>
      <c r="K96" s="116"/>
      <c r="L96" s="106"/>
      <c r="M96" s="148"/>
      <c r="N96" s="59" t="str">
        <f>IF(G96="","",IF('Facility Information'!$C$30&gt;0,'Facility Information'!$C$30*G96/2000,IF('Facility Information'!$C$31&gt;0,'Facility Information'!$C$31*365*G96*E96/2000,E96*G96*8760/2000)))</f>
        <v/>
      </c>
      <c r="O96" s="148" t="str">
        <f>IF(G96="","",'Facility Processes'!$H$6*G96/2000)</f>
        <v/>
      </c>
    </row>
    <row r="97" spans="1:15" s="105" customFormat="1" ht="15.75" x14ac:dyDescent="0.25">
      <c r="A97" s="168" t="str">
        <f>IF('Facility Information'!$B$25="","",LOOKUP('Facility Processes'!$C$10,'Emission Factors'!$A$19:$A$21,'Emission Factors'!Y19:Y21))</f>
        <v/>
      </c>
      <c r="B97" s="170" t="str">
        <f>IF(G97="","",IF('Facility Processes'!B10="","",'Facility Processes'!B10))</f>
        <v/>
      </c>
      <c r="C97" s="167" t="str">
        <f>IF(G97="","",'Facility Processes'!$C$10)</f>
        <v/>
      </c>
      <c r="D97" s="132" t="str">
        <f>IF(G97="","",LOOKUP('Facility Processes'!$C$10,'Emission Factors'!$A$19:$A$21,'Emission Factors'!$C$19:$C$21))</f>
        <v/>
      </c>
      <c r="E97" s="106" t="str">
        <f>IF(G97="","",'Facility Processes'!$G$10)</f>
        <v/>
      </c>
      <c r="F97" s="106" t="str">
        <f>IF(G97="","", 'Facility Processes'!$A$9 &amp;"/hr")</f>
        <v/>
      </c>
      <c r="G97" s="106" t="str">
        <f>IF(A97="","",IF(A97&gt;0,A97,""))</f>
        <v/>
      </c>
      <c r="H97" s="106" t="str">
        <f>IF(G97="","",LOOKUP(C97,'Emission Factors'!$A$19:$A$21,'Emission Factors'!$P$19:$P$21))</f>
        <v/>
      </c>
      <c r="I97" s="112" t="str">
        <f>IF(G97="","",LOOKUP(C97,'Emission Factors'!$A$19:$A$21,'Emission Factors'!$D$19:$D$21))</f>
        <v/>
      </c>
      <c r="J97" s="116" t="str">
        <f>IF(G97="","",E97*G97)</f>
        <v/>
      </c>
      <c r="K97" s="160"/>
      <c r="L97" s="106"/>
      <c r="M97" s="148"/>
      <c r="N97" s="59" t="str">
        <f>IF(G97="","",E97*G97*8760/2000)</f>
        <v/>
      </c>
      <c r="O97" s="148" t="str">
        <f>IF(G97="","",'Facility Processes'!$H$10*G97/2000)</f>
        <v/>
      </c>
    </row>
    <row r="98" spans="1:15" x14ac:dyDescent="0.25">
      <c r="A98" s="105"/>
      <c r="B98" s="120" t="str">
        <f>IF('Permitted Diesel Engines'!A8="","",'Permitted Diesel Engines'!A8)</f>
        <v/>
      </c>
      <c r="C98" s="91" t="str">
        <f>IF('Permitted Diesel Engines'!C8="","",'Permitted Diesel Engines'!C8)</f>
        <v/>
      </c>
      <c r="D98" s="56" t="str">
        <f>IF('Permitted Diesel Engines'!C8="","",LOOKUP('Permitted Diesel Engines'!C8,'Emission Factors'!$A$44:$A$45,'Emission Factors'!$C$44:$C$45))</f>
        <v/>
      </c>
      <c r="E98" s="56" t="str">
        <f>IF('Permitted Diesel Engines'!C8="","",'Permitted Diesel Engines'!K8)</f>
        <v/>
      </c>
      <c r="F98" s="56" t="str">
        <f>IF('Permitted Diesel Engines'!C8="","","MMBtu/hr")</f>
        <v/>
      </c>
      <c r="G98" s="106" t="str">
        <f>IF('Permitted Diesel Engines'!C8="","",LOOKUP('Permitted Diesel Engines'!C8,'Emission Factors'!$A$44:$A$45,'Emission Factors'!$U$44:$U$45))</f>
        <v/>
      </c>
      <c r="H98" s="106" t="str">
        <f>IF('Permitted Diesel Engines'!C8="","",LOOKUP('Permitted Diesel Engines'!C8,'Emission Factors'!$A$44:$A$45,'Emission Factors'!$D$44:$D$45))</f>
        <v/>
      </c>
      <c r="I98" s="112" t="str">
        <f>IF('Permitted Diesel Engines'!C8="","",LOOKUP('Permitted Diesel Engines'!C8,'Emission Factors'!$A$44:$A$45,'Emission Factors'!$V$44:$V$45))</f>
        <v/>
      </c>
      <c r="J98" s="116" t="str">
        <f>IF('Permitted Diesel Engines'!C8="","",E98*G98)</f>
        <v/>
      </c>
      <c r="K98" s="116"/>
      <c r="L98" s="8"/>
      <c r="M98" s="47"/>
      <c r="N98" s="47" t="str">
        <f>IF(G98="","",IF('Permitted Diesel Engines'!D3&gt;0,IF('Permitted Diesel Engines'!N10&gt;0,'Permitted Diesel Engines'!D3*0.14*'Emission Factors'!U44/2000,'Permitted Diesel Engines'!D3*0.14*'Emission Factors'!U45/2000),IF('Permitted Diesel Engines'!E8&gt;0,'Permitted Diesel Engines'!E8*'Emission Calculations'!G98*E98/2000,'Emission Calculations'!J98*8760/2000)))</f>
        <v/>
      </c>
      <c r="O98" s="59" t="str">
        <f>IF('Permitted Diesel Engines'!C8="","",'Permitted Diesel Engines'!L8*0.14*'Emission Calculations'!G98/2000)</f>
        <v/>
      </c>
    </row>
    <row r="99" spans="1:15" x14ac:dyDescent="0.25">
      <c r="A99" s="105"/>
      <c r="B99" s="120" t="str">
        <f>IF('Permitted Diesel Engines'!A9="","",'Permitted Diesel Engines'!A9)</f>
        <v/>
      </c>
      <c r="C99" s="91" t="str">
        <f>IF('Permitted Diesel Engines'!C9="","",'Permitted Diesel Engines'!C9)</f>
        <v/>
      </c>
      <c r="D99" s="56" t="str">
        <f>IF('Permitted Diesel Engines'!C9="","",LOOKUP('Permitted Diesel Engines'!C9,'Emission Factors'!$A$44:$A$45,'Emission Factors'!$C$44:$C$45))</f>
        <v/>
      </c>
      <c r="E99" s="56" t="str">
        <f>IF('Permitted Diesel Engines'!C9="","",'Permitted Diesel Engines'!K9)</f>
        <v/>
      </c>
      <c r="F99" s="56" t="str">
        <f>IF('Permitted Diesel Engines'!C9="","","MMBtu/hr")</f>
        <v/>
      </c>
      <c r="G99" s="106" t="str">
        <f>IF('Permitted Diesel Engines'!C9="","",LOOKUP('Permitted Diesel Engines'!C9,'Emission Factors'!$A$44:$A$45,'Emission Factors'!$U$44:$U$45))</f>
        <v/>
      </c>
      <c r="H99" s="106" t="str">
        <f>IF('Permitted Diesel Engines'!C9="","",LOOKUP('Permitted Diesel Engines'!C9,'Emission Factors'!$A$44:$A$45,'Emission Factors'!$D$44:$D$45))</f>
        <v/>
      </c>
      <c r="I99" s="112" t="str">
        <f>IF('Permitted Diesel Engines'!C9="","",LOOKUP('Permitted Diesel Engines'!C9,'Emission Factors'!$A$44:$A$45,'Emission Factors'!$V$44:$V$45))</f>
        <v/>
      </c>
      <c r="J99" s="116" t="str">
        <f>IF('Permitted Diesel Engines'!C9="","",E99*G99)</f>
        <v/>
      </c>
      <c r="K99" s="116"/>
      <c r="L99" s="8"/>
      <c r="M99" s="47"/>
      <c r="N99" s="47" t="str">
        <f>IF(G99="","",IF('Permitted Diesel Engines'!$D$3&gt;0,"",IF('Permitted Diesel Engines'!E9&gt;0,'Permitted Diesel Engines'!E9*'Emission Calculations'!G99*E99/2000,'Emission Calculations'!J99*8760/2000)))</f>
        <v/>
      </c>
      <c r="O99" s="59" t="str">
        <f>IF('Permitted Diesel Engines'!C9="","",'Permitted Diesel Engines'!L9*0.14*'Emission Calculations'!G99/2000)</f>
        <v/>
      </c>
    </row>
    <row r="100" spans="1:15" x14ac:dyDescent="0.25">
      <c r="A100" s="105"/>
      <c r="B100" s="120" t="str">
        <f>IF('Permitted Diesel Engines'!A10="","",'Permitted Diesel Engines'!A10)</f>
        <v/>
      </c>
      <c r="C100" s="91" t="str">
        <f>IF('Permitted Diesel Engines'!C10="","",'Permitted Diesel Engines'!C10)</f>
        <v/>
      </c>
      <c r="D100" s="56" t="str">
        <f>IF('Permitted Diesel Engines'!C10="","",LOOKUP('Permitted Diesel Engines'!C10,'Emission Factors'!$A$44:$A$45,'Emission Factors'!$C$44:$C$45))</f>
        <v/>
      </c>
      <c r="E100" s="56" t="str">
        <f>IF('Permitted Diesel Engines'!C10="","",'Permitted Diesel Engines'!K10)</f>
        <v/>
      </c>
      <c r="F100" s="56" t="str">
        <f>IF('Permitted Diesel Engines'!C10="","","MMBtu/hr")</f>
        <v/>
      </c>
      <c r="G100" s="106" t="str">
        <f>IF('Permitted Diesel Engines'!C10="","",LOOKUP('Permitted Diesel Engines'!C10,'Emission Factors'!$A$44:$A$45,'Emission Factors'!$U$44:$U$45))</f>
        <v/>
      </c>
      <c r="H100" s="106" t="str">
        <f>IF('Permitted Diesel Engines'!C10="","",LOOKUP('Permitted Diesel Engines'!C10,'Emission Factors'!$A$44:$A$45,'Emission Factors'!$D$44:$D$45))</f>
        <v/>
      </c>
      <c r="I100" s="112" t="str">
        <f>IF('Permitted Diesel Engines'!C10="","",LOOKUP('Permitted Diesel Engines'!C10,'Emission Factors'!$A$44:$A$45,'Emission Factors'!$V$44:$V$45))</f>
        <v/>
      </c>
      <c r="J100" s="116" t="str">
        <f>IF('Permitted Diesel Engines'!C10="","",E100*G100)</f>
        <v/>
      </c>
      <c r="K100" s="116"/>
      <c r="L100" s="8"/>
      <c r="M100" s="47"/>
      <c r="N100" s="47" t="str">
        <f>IF(G100="","",IF('Permitted Diesel Engines'!$D$3&gt;0,"",IF('Permitted Diesel Engines'!E10&gt;0,'Permitted Diesel Engines'!E10*'Emission Calculations'!G100*E100/2000,'Emission Calculations'!J100*8760/2000)))</f>
        <v/>
      </c>
      <c r="O100" s="59" t="str">
        <f>IF('Permitted Diesel Engines'!C10="","",'Permitted Diesel Engines'!L10*0.14*'Emission Calculations'!G100/2000)</f>
        <v/>
      </c>
    </row>
    <row r="101" spans="1:15" x14ac:dyDescent="0.25">
      <c r="A101" s="105"/>
      <c r="B101" s="120" t="str">
        <f>IF('Permitted Diesel Engines'!A11="","",'Permitted Diesel Engines'!A11)</f>
        <v/>
      </c>
      <c r="C101" s="91" t="str">
        <f>IF('Permitted Diesel Engines'!C11="","",'Permitted Diesel Engines'!C11)</f>
        <v/>
      </c>
      <c r="D101" s="56" t="str">
        <f>IF('Permitted Diesel Engines'!C11="","",LOOKUP('Permitted Diesel Engines'!C11,'Emission Factors'!$A$44:$A$45,'Emission Factors'!$C$44:$C$45))</f>
        <v/>
      </c>
      <c r="E101" s="56" t="str">
        <f>IF('Permitted Diesel Engines'!C11="","",'Permitted Diesel Engines'!K11)</f>
        <v/>
      </c>
      <c r="F101" s="56" t="str">
        <f>IF('Permitted Diesel Engines'!C11="","","MMBtu/hr")</f>
        <v/>
      </c>
      <c r="G101" s="106" t="str">
        <f>IF('Permitted Diesel Engines'!C11="","",LOOKUP('Permitted Diesel Engines'!C11,'Emission Factors'!$A$44:$A$45,'Emission Factors'!$U$44:$U$45))</f>
        <v/>
      </c>
      <c r="H101" s="106" t="str">
        <f>IF('Permitted Diesel Engines'!C11="","",LOOKUP('Permitted Diesel Engines'!C11,'Emission Factors'!$A$44:$A$45,'Emission Factors'!$D$44:$D$45))</f>
        <v/>
      </c>
      <c r="I101" s="112" t="str">
        <f>IF('Permitted Diesel Engines'!C11="","",LOOKUP('Permitted Diesel Engines'!C11,'Emission Factors'!$A$44:$A$45,'Emission Factors'!$V$44:$V$45))</f>
        <v/>
      </c>
      <c r="J101" s="116" t="str">
        <f>IF('Permitted Diesel Engines'!C11="","",E101*G101)</f>
        <v/>
      </c>
      <c r="K101" s="116"/>
      <c r="L101" s="8"/>
      <c r="M101" s="47"/>
      <c r="N101" s="47" t="str">
        <f>IF(G101="","",IF('Permitted Diesel Engines'!$D$3&gt;0,"",IF('Permitted Diesel Engines'!E11&gt;0,'Permitted Diesel Engines'!E11*'Emission Calculations'!G101*E101/2000,'Emission Calculations'!J101*8760/2000)))</f>
        <v/>
      </c>
      <c r="O101" s="59" t="str">
        <f>IF('Permitted Diesel Engines'!C11="","",'Permitted Diesel Engines'!L11*0.14*'Emission Calculations'!G101/2000)</f>
        <v/>
      </c>
    </row>
    <row r="102" spans="1:15" ht="15.75" thickBot="1" x14ac:dyDescent="0.3">
      <c r="A102" s="105"/>
      <c r="B102" s="120" t="str">
        <f>IF('Permitted Diesel Engines'!A12="","",'Permitted Diesel Engines'!A12)</f>
        <v/>
      </c>
      <c r="C102" s="91" t="str">
        <f>IF('Permitted Diesel Engines'!C12="","",'Permitted Diesel Engines'!C12)</f>
        <v/>
      </c>
      <c r="D102" s="56" t="str">
        <f>IF('Permitted Diesel Engines'!C12="","",LOOKUP('Permitted Diesel Engines'!C12,'Emission Factors'!$A$44:$A$45,'Emission Factors'!$C$44:$C$45))</f>
        <v/>
      </c>
      <c r="E102" s="56" t="str">
        <f>IF('Permitted Diesel Engines'!C12="","",'Permitted Diesel Engines'!K12)</f>
        <v/>
      </c>
      <c r="F102" s="56" t="str">
        <f>IF('Permitted Diesel Engines'!C12="","","MMBtu/hr")</f>
        <v/>
      </c>
      <c r="G102" s="106" t="str">
        <f>IF('Permitted Diesel Engines'!C12="","",LOOKUP('Permitted Diesel Engines'!C12,'Emission Factors'!$A$44:$A$45,'Emission Factors'!$U$44:$U$45))</f>
        <v/>
      </c>
      <c r="H102" s="106" t="str">
        <f>IF('Permitted Diesel Engines'!C12="","",LOOKUP('Permitted Diesel Engines'!C12,'Emission Factors'!$A$44:$A$45,'Emission Factors'!$D$44:$D$45))</f>
        <v/>
      </c>
      <c r="I102" s="134" t="str">
        <f>IF('Permitted Diesel Engines'!C12="","",LOOKUP('Permitted Diesel Engines'!C12,'Emission Factors'!$A$44:$A$45,'Emission Factors'!$V$44:$V$45))</f>
        <v/>
      </c>
      <c r="J102" s="137" t="str">
        <f>IF('Permitted Diesel Engines'!C12="","",E102*G102)</f>
        <v/>
      </c>
      <c r="K102" s="137"/>
      <c r="L102" s="282"/>
      <c r="M102" s="283"/>
      <c r="N102" s="283" t="str">
        <f>IF(G102="","",IF('Permitted Diesel Engines'!$D$3&gt;0,"",IF('Permitted Diesel Engines'!E12&gt;0,'Permitted Diesel Engines'!E12*'Emission Calculations'!G102*E102/2000,'Emission Calculations'!J102*8760/2000)))</f>
        <v/>
      </c>
      <c r="O102" s="276" t="str">
        <f>IF('Permitted Diesel Engines'!C12="","",'Permitted Diesel Engines'!L12*0.14*'Emission Calculations'!G102/2000)</f>
        <v/>
      </c>
    </row>
    <row r="103" spans="1:15" ht="15.75" thickBot="1" x14ac:dyDescent="0.3">
      <c r="A103" s="105"/>
      <c r="B103" s="135"/>
      <c r="C103" s="23"/>
      <c r="D103" s="136"/>
      <c r="E103" s="136"/>
      <c r="F103" s="136"/>
      <c r="G103" s="108"/>
      <c r="H103" s="108" t="str">
        <f t="shared" si="0"/>
        <v/>
      </c>
      <c r="I103" s="284"/>
      <c r="J103" s="285"/>
      <c r="K103" s="285"/>
      <c r="L103" s="277" t="s">
        <v>36</v>
      </c>
      <c r="M103" s="278"/>
      <c r="N103" s="279">
        <f>SUM(N96:N102)</f>
        <v>0</v>
      </c>
      <c r="O103" s="280">
        <f>SUM(O96:O102)</f>
        <v>0</v>
      </c>
    </row>
    <row r="104" spans="1:15" ht="15.75" x14ac:dyDescent="0.25">
      <c r="A104" s="105"/>
      <c r="B104" s="296" t="s">
        <v>163</v>
      </c>
      <c r="C104" s="296"/>
      <c r="D104" s="127"/>
      <c r="E104" s="128"/>
      <c r="F104" s="128"/>
      <c r="G104" s="108"/>
      <c r="H104" s="108" t="str">
        <f t="shared" si="0"/>
        <v/>
      </c>
      <c r="I104" s="129"/>
      <c r="J104" s="130"/>
      <c r="K104" s="130"/>
      <c r="L104" s="7"/>
      <c r="M104" s="10"/>
      <c r="N104" s="10"/>
      <c r="O104" s="150"/>
    </row>
    <row r="105" spans="1:15" s="105" customFormat="1" x14ac:dyDescent="0.25">
      <c r="A105" s="105" t="str">
        <f>IF('Facility Information'!$B$24="","",IF('Facility Information'!$B$26="yes",LOOKUP('Facility Processes'!C6,'Emission Factors'!$A$12:$A$17,'Emission Factors'!AA$12:AA$17),LOOKUP('Facility Processes'!C6,'Emission Factors'!$A$5:$A$10,'Emission Factors'!AA$5:AA$10)))</f>
        <v/>
      </c>
      <c r="B105" s="106" t="str">
        <f>IF(G105="","",'Facility Processes'!B6)</f>
        <v/>
      </c>
      <c r="C105" s="131" t="str">
        <f>IF(G105="","",'Facility Processes'!C6)</f>
        <v/>
      </c>
      <c r="D105" s="132" t="str">
        <f>IF(G105="","",IF('Facility Information'!$B$26="Yes",LOOKUP('Facility Processes'!C6,'Emission Factors'!A12:A17,'Emission Factors'!C12:C17),IF('Facility Information'!$B$26="No",LOOKUP('Facility Processes'!C6,'Emission Factors'!A5:A10,'Emission Factors'!C5:C10))))</f>
        <v/>
      </c>
      <c r="E105" s="107" t="str">
        <f>IF(G105="","",IF('Facility Processes'!$G$6="","",'Facility Processes'!$G$6))</f>
        <v/>
      </c>
      <c r="F105" s="106" t="str">
        <f>IF(G105="","",IF('Facility Processes'!G6="","","tons/hr"))</f>
        <v/>
      </c>
      <c r="G105" s="107" t="str">
        <f>IF(A105="","",IF(A105&gt;0,A105,""))</f>
        <v/>
      </c>
      <c r="H105" s="107" t="str">
        <f t="shared" si="0"/>
        <v/>
      </c>
      <c r="I105" s="134" t="str">
        <f>IF(G105="","",LOOKUP(C105,'Emission Factors'!$A$5:$A$10,'Emission Factors'!$D$5:$D$10))</f>
        <v/>
      </c>
      <c r="J105" s="137" t="str">
        <f>IF(G105="","",G105*E105)</f>
        <v/>
      </c>
      <c r="K105" s="137"/>
      <c r="L105" s="106"/>
      <c r="M105" s="148"/>
      <c r="N105" s="59" t="str">
        <f>IF(G105="","",IF('Facility Information'!$C$30&gt;0,'Facility Information'!$C$30*G105/2000,IF('Facility Information'!$C$31&gt;0,'Facility Information'!$C$31*365*G105*E105/2000,E105*G105*8760/2000)))</f>
        <v/>
      </c>
      <c r="O105" s="148" t="str">
        <f>IF(G105="","",'Facility Processes'!$H$6*G105/2000)</f>
        <v/>
      </c>
    </row>
    <row r="106" spans="1:15" ht="15.75" x14ac:dyDescent="0.25">
      <c r="A106" s="105"/>
      <c r="B106" s="296" t="s">
        <v>211</v>
      </c>
      <c r="C106" s="296"/>
      <c r="D106" s="127"/>
      <c r="E106" s="110"/>
      <c r="F106" s="128"/>
      <c r="G106" s="110"/>
      <c r="H106" s="110" t="str">
        <f t="shared" si="0"/>
        <v/>
      </c>
      <c r="I106" s="114" t="str">
        <f>IF(G106="","",LOOKUP(C106,'Emission Factors'!$A$5:$A$10,'Emission Factors'!$D$5:$D$10))</f>
        <v/>
      </c>
      <c r="J106" s="118"/>
      <c r="K106" s="117"/>
      <c r="L106" s="7"/>
      <c r="M106" s="10"/>
      <c r="N106" s="10"/>
      <c r="O106" s="150"/>
    </row>
    <row r="107" spans="1:15" s="105" customFormat="1" x14ac:dyDescent="0.25">
      <c r="A107" s="105" t="str">
        <f>IF('Facility Information'!$B$24="","",IF('Facility Information'!$B$26="yes",LOOKUP('Facility Processes'!C6,'Emission Factors'!$A$12:$A$17,'Emission Factors'!AC$12:AC$17),LOOKUP('Facility Processes'!C6,'Emission Factors'!$A$5:$A$10,'Emission Factors'!AC$5:AC$10)))</f>
        <v/>
      </c>
      <c r="B107" s="106" t="str">
        <f>IF(G107="","",'Facility Processes'!B6)</f>
        <v/>
      </c>
      <c r="C107" s="131" t="str">
        <f>IF(G107="","",'Facility Processes'!C6)</f>
        <v/>
      </c>
      <c r="D107" s="132" t="str">
        <f>IF(G107="","",IF('Facility Information'!$B$26="Yes",LOOKUP('Facility Processes'!C6,'Emission Factors'!A12:A17,'Emission Factors'!C12:C17),IF('Facility Information'!$B$26="No",LOOKUP('Facility Processes'!C6,'Emission Factors'!A5:A10,'Emission Factors'!C5:C10))))</f>
        <v/>
      </c>
      <c r="E107" s="138" t="str">
        <f>IF(G107="","",IF('Facility Processes'!$G$6="","",'Facility Processes'!$G$6))</f>
        <v/>
      </c>
      <c r="F107" s="106" t="str">
        <f>IF(G107="","",IF('Facility Processes'!G6="","","tons/hr"))</f>
        <v/>
      </c>
      <c r="G107" s="138" t="str">
        <f>IF(A107="","",IF(A107&gt;0,A107,""))</f>
        <v/>
      </c>
      <c r="H107" s="138" t="str">
        <f t="shared" si="0"/>
        <v/>
      </c>
      <c r="I107" s="139" t="str">
        <f>IF(G107="","",LOOKUP(C107,'Emission Factors'!$A$5:$A$10,'Emission Factors'!$D$5:$D$10))</f>
        <v/>
      </c>
      <c r="J107" s="140" t="str">
        <f>IF(G107="","",G107*E107)</f>
        <v/>
      </c>
      <c r="K107" s="140"/>
      <c r="L107" s="106"/>
      <c r="M107" s="148"/>
      <c r="N107" s="59" t="str">
        <f>IF(G107="","",IF('Facility Information'!$C$30&gt;0,'Facility Information'!$C$30*G107/2000,IF('Facility Information'!$C$31&gt;0,'Facility Information'!$C$31*365*G107*E107/2000,E107*G107*8760/2000)))</f>
        <v/>
      </c>
      <c r="O107" s="148" t="str">
        <f>IF(G107="","",'Facility Processes'!$H$6*G107/2000)</f>
        <v/>
      </c>
    </row>
    <row r="108" spans="1:15" ht="15.75" x14ac:dyDescent="0.25">
      <c r="A108" s="105"/>
      <c r="B108" s="296" t="s">
        <v>164</v>
      </c>
      <c r="C108" s="296"/>
      <c r="D108" s="127"/>
      <c r="E108" s="110"/>
      <c r="F108" s="128"/>
      <c r="G108" s="110"/>
      <c r="H108" s="110" t="str">
        <f t="shared" si="0"/>
        <v/>
      </c>
      <c r="I108" s="114" t="str">
        <f>IF(G108="","",LOOKUP(C108,'Emission Factors'!$A$5:$A$10,'Emission Factors'!$D$5:$D$10))</f>
        <v/>
      </c>
      <c r="J108" s="118"/>
      <c r="K108" s="117"/>
      <c r="L108" s="7"/>
      <c r="M108" s="10"/>
      <c r="N108" s="10"/>
      <c r="O108" s="150"/>
    </row>
    <row r="109" spans="1:15" s="105" customFormat="1" x14ac:dyDescent="0.25">
      <c r="A109" s="105" t="str">
        <f>IF('Facility Information'!$B$24="","",IF('Facility Information'!$B$26="yes",LOOKUP('Facility Processes'!C6,'Emission Factors'!$A$12:$A$17,'Emission Factors'!AE$12:AE$17),LOOKUP('Facility Processes'!C6,'Emission Factors'!$A$5:$A$10,'Emission Factors'!AE$5:AE$10)))</f>
        <v/>
      </c>
      <c r="B109" s="106" t="str">
        <f>IF(G109="","",'Facility Processes'!B6)</f>
        <v/>
      </c>
      <c r="C109" s="131" t="str">
        <f>IF(G109="","",'Facility Processes'!C6)</f>
        <v/>
      </c>
      <c r="D109" s="132" t="str">
        <f>IF(G109="","",IF('Facility Information'!$B$26="Yes",LOOKUP('Facility Processes'!C6,'Emission Factors'!A12:A17,'Emission Factors'!C12:C17),IF('Facility Information'!$B$26="No",LOOKUP('Facility Processes'!C6,'Emission Factors'!A5:A10,'Emission Factors'!C5:C10))))</f>
        <v/>
      </c>
      <c r="E109" s="138" t="str">
        <f>IF(G109="","",IF('Facility Processes'!$G$6="","",'Facility Processes'!$G$6))</f>
        <v/>
      </c>
      <c r="F109" s="106" t="str">
        <f>IF(G109="","",IF('Facility Processes'!G6="","","tons/hr"))</f>
        <v/>
      </c>
      <c r="G109" s="138" t="str">
        <f>IF(A109="","",IF(A109&gt;0,A109,""))</f>
        <v/>
      </c>
      <c r="H109" s="138" t="str">
        <f t="shared" si="0"/>
        <v/>
      </c>
      <c r="I109" s="139" t="str">
        <f>IF(G109="","",LOOKUP(C109,'Emission Factors'!$A$5:$A$10,'Emission Factors'!$D$5:$D$10))</f>
        <v/>
      </c>
      <c r="J109" s="140" t="str">
        <f>IF(G109="","",G109*E109)</f>
        <v/>
      </c>
      <c r="K109" s="140"/>
      <c r="L109" s="106"/>
      <c r="M109" s="148"/>
      <c r="N109" s="59" t="str">
        <f>IF(G109="","",IF('Facility Information'!$C$30&gt;0,'Facility Information'!$C$30*G109/2000,IF('Facility Information'!$C$31&gt;0,'Facility Information'!$C$31*365*G109*E109/2000,E109*G109*8760/2000)))</f>
        <v/>
      </c>
      <c r="O109" s="148" t="str">
        <f>IF(G109="","",'Facility Processes'!$H$6*G109/2000)</f>
        <v/>
      </c>
    </row>
    <row r="110" spans="1:15" ht="15.75" x14ac:dyDescent="0.25">
      <c r="A110" s="105"/>
      <c r="B110" s="296" t="s">
        <v>182</v>
      </c>
      <c r="C110" s="296"/>
      <c r="D110" s="127"/>
      <c r="E110" s="161"/>
      <c r="F110" s="128"/>
      <c r="G110" s="161"/>
      <c r="H110" s="161" t="str">
        <f t="shared" si="0"/>
        <v/>
      </c>
      <c r="I110" s="162" t="str">
        <f>IF(G110="","",LOOKUP(C110,'Emission Factors'!$A$5:$A$10,'Emission Factors'!$D$5:$D$10))</f>
        <v/>
      </c>
      <c r="J110" s="163"/>
      <c r="K110" s="117"/>
      <c r="L110" s="7"/>
      <c r="M110" s="10"/>
      <c r="N110" s="10"/>
      <c r="O110" s="150"/>
    </row>
    <row r="111" spans="1:15" s="105" customFormat="1" x14ac:dyDescent="0.25">
      <c r="A111" s="105" t="str">
        <f>IF('Facility Information'!$B$24="","",IF('Facility Information'!$B$26="yes",LOOKUP('Facility Processes'!C6,'Emission Factors'!$A$12:$A$17,'Emission Factors'!AG$12:AG$17),LOOKUP('Facility Processes'!C6,'Emission Factors'!$A$5:$A$10,'Emission Factors'!AG$5:AG$10)))</f>
        <v/>
      </c>
      <c r="B111" s="106" t="str">
        <f>IF(G111="","",'Facility Processes'!B6)</f>
        <v/>
      </c>
      <c r="C111" s="131" t="str">
        <f>IF(G111="","",'Facility Processes'!C6)</f>
        <v/>
      </c>
      <c r="D111" s="132" t="str">
        <f>IF(G111="","",IF('Facility Information'!$B$26="Yes",LOOKUP('Facility Processes'!C6,'Emission Factors'!A12:A17,'Emission Factors'!C12:C17),IF('Facility Information'!$B$26="No",LOOKUP('Facility Processes'!C6,'Emission Factors'!A5:A10,'Emission Factors'!C5:C10))))</f>
        <v/>
      </c>
      <c r="E111" s="138" t="str">
        <f>IF(G111="","",IF('Facility Processes'!$G$6="","",'Facility Processes'!$G$6))</f>
        <v/>
      </c>
      <c r="F111" s="106" t="str">
        <f>IF(G111="","",IF('Facility Processes'!G6="","","tons/hr"))</f>
        <v/>
      </c>
      <c r="G111" s="138" t="str">
        <f>IF(A111="","",IF(A111&gt;0,A111,""))</f>
        <v/>
      </c>
      <c r="H111" s="138" t="str">
        <f t="shared" si="0"/>
        <v/>
      </c>
      <c r="I111" s="139" t="str">
        <f>IF(G111="","",LOOKUP(C111,'Emission Factors'!$A$5:$A$10,'Emission Factors'!$D$5:$D$10))</f>
        <v/>
      </c>
      <c r="J111" s="140" t="str">
        <f>IF(G111="","",G111*E111)</f>
        <v/>
      </c>
      <c r="K111" s="140"/>
      <c r="L111" s="106"/>
      <c r="M111" s="148"/>
      <c r="N111" s="59" t="str">
        <f>IF(G111="","",IF('Facility Information'!$C$30&gt;0,'Facility Information'!$C$30*G111/2000,IF('Facility Information'!$C$31&gt;0,'Facility Information'!$C$31*365*G111*E111/2000,E111*G111*8760/2000)))</f>
        <v/>
      </c>
      <c r="O111" s="148" t="str">
        <f>IF(G111="","",'Facility Processes'!$H$6*G111/2000)</f>
        <v/>
      </c>
    </row>
    <row r="112" spans="1:15" ht="15.75" x14ac:dyDescent="0.25">
      <c r="A112" s="105"/>
      <c r="B112" s="296" t="s">
        <v>177</v>
      </c>
      <c r="C112" s="296"/>
      <c r="D112" s="127"/>
      <c r="E112" s="110"/>
      <c r="F112" s="128"/>
      <c r="G112" s="110"/>
      <c r="H112" s="110" t="str">
        <f t="shared" si="0"/>
        <v/>
      </c>
      <c r="I112" s="114" t="str">
        <f>IF(G112="","",LOOKUP(C112,'Emission Factors'!$A$5:$A$10,'Emission Factors'!$D$5:$D$10))</f>
        <v/>
      </c>
      <c r="J112" s="118"/>
      <c r="K112" s="117"/>
      <c r="L112" s="7"/>
      <c r="M112" s="10"/>
      <c r="N112" s="10"/>
      <c r="O112" s="150"/>
    </row>
    <row r="113" spans="1:15" s="105" customFormat="1" x14ac:dyDescent="0.25">
      <c r="A113" s="105" t="str">
        <f>IF('Facility Information'!$B$24="","",IF('Facility Information'!$B$26="yes",LOOKUP('Facility Processes'!C6,'Emission Factors'!$A$12:$A$17,'Emission Factors'!AI$12:AI$17),LOOKUP('Facility Processes'!C6,'Emission Factors'!$A$5:$A$10,'Emission Factors'!AI$5:AI$10)))</f>
        <v/>
      </c>
      <c r="B113" s="106" t="str">
        <f>IF(G113="","",'Facility Processes'!B6)</f>
        <v/>
      </c>
      <c r="C113" s="131" t="str">
        <f>IF(G113="","",'Facility Processes'!C6)</f>
        <v/>
      </c>
      <c r="D113" s="132" t="str">
        <f>IF(G113="","",IF('Facility Information'!$B$26="Yes",LOOKUP('Facility Processes'!C6,'Emission Factors'!A12:A17,'Emission Factors'!C12:C17),IF('Facility Information'!$B$26="No",LOOKUP('Facility Processes'!C6,'Emission Factors'!A5:A10,'Emission Factors'!C5:C10))))</f>
        <v/>
      </c>
      <c r="E113" s="138" t="str">
        <f>IF(G113="","",IF('Facility Processes'!$G$6="","",'Facility Processes'!$G$6))</f>
        <v/>
      </c>
      <c r="F113" s="106" t="str">
        <f>IF(G113="","",IF('Facility Processes'!G6="","","tons/hr"))</f>
        <v/>
      </c>
      <c r="G113" s="138" t="str">
        <f>IF(A113="","",IF(A113&gt;0,A113,""))</f>
        <v/>
      </c>
      <c r="H113" s="138" t="str">
        <f t="shared" si="0"/>
        <v/>
      </c>
      <c r="I113" s="139" t="str">
        <f>IF(G113="","",LOOKUP(C113,'Emission Factors'!$A$5:$A$10,'Emission Factors'!$D$5:$D$10))</f>
        <v/>
      </c>
      <c r="J113" s="140" t="str">
        <f>IF(G113="","",G113*E113)</f>
        <v/>
      </c>
      <c r="K113" s="140"/>
      <c r="L113" s="106"/>
      <c r="M113" s="148"/>
      <c r="N113" s="59" t="str">
        <f>IF(G113="","",IF('Facility Information'!$C$30&gt;0,'Facility Information'!$C$30*G113/2000,IF('Facility Information'!$C$31&gt;0,'Facility Information'!$C$31*365*G113*E113/2000,E113*G113*8760/2000)))</f>
        <v/>
      </c>
      <c r="O113" s="148" t="str">
        <f>IF(G113="","",'Facility Processes'!$H$6*G113/2000)</f>
        <v/>
      </c>
    </row>
    <row r="114" spans="1:15" ht="15.75" x14ac:dyDescent="0.25">
      <c r="A114" s="105"/>
      <c r="B114" s="296" t="s">
        <v>165</v>
      </c>
      <c r="C114" s="296"/>
      <c r="D114" s="127"/>
      <c r="E114" s="110"/>
      <c r="F114" s="128"/>
      <c r="G114" s="110"/>
      <c r="H114" s="110" t="str">
        <f t="shared" si="0"/>
        <v/>
      </c>
      <c r="I114" s="114" t="str">
        <f>IF(G114="","",LOOKUP(C114,'Emission Factors'!$A$5:$A$10,'Emission Factors'!$D$5:$D$10))</f>
        <v/>
      </c>
      <c r="J114" s="118"/>
      <c r="K114" s="117"/>
      <c r="L114" s="7"/>
      <c r="M114" s="10"/>
      <c r="N114" s="10"/>
      <c r="O114" s="150"/>
    </row>
    <row r="115" spans="1:15" s="105" customFormat="1" x14ac:dyDescent="0.25">
      <c r="A115" s="105" t="str">
        <f>IF('Facility Information'!$B$24="","",IF('Facility Information'!$B$26="yes",LOOKUP('Facility Processes'!C6,'Emission Factors'!$A$12:$A$17,'Emission Factors'!AK$12:AK$17),LOOKUP('Facility Processes'!C6,'Emission Factors'!$A$5:$A$10,'Emission Factors'!AK$5:AK$10)))</f>
        <v/>
      </c>
      <c r="B115" s="106" t="str">
        <f>IF(G115="","",'Facility Processes'!B6)</f>
        <v/>
      </c>
      <c r="C115" s="131" t="str">
        <f>IF(G115="","",'Facility Processes'!C6)</f>
        <v/>
      </c>
      <c r="D115" s="132" t="str">
        <f>IF(G115="","",IF('Facility Information'!$B$26="Yes",LOOKUP('Facility Processes'!C6,'Emission Factors'!A12:A17,'Emission Factors'!C12:C17),IF('Facility Information'!$B$26="No",LOOKUP('Facility Processes'!C6,'Emission Factors'!A5:A10,'Emission Factors'!C5:C10))))</f>
        <v/>
      </c>
      <c r="E115" s="138" t="str">
        <f>IF(G115="","",IF('Facility Processes'!$G$6="","",'Facility Processes'!$G$6))</f>
        <v/>
      </c>
      <c r="F115" s="106" t="str">
        <f>IF(G115="","",IF('Facility Processes'!G6="","","tons/hr"))</f>
        <v/>
      </c>
      <c r="G115" s="138" t="str">
        <f>IF(A115="","",IF(A115&gt;0,A115,""))</f>
        <v/>
      </c>
      <c r="H115" s="138" t="str">
        <f t="shared" si="0"/>
        <v/>
      </c>
      <c r="I115" s="139" t="str">
        <f>IF(G115="","",LOOKUP(C115,'Emission Factors'!$A$5:$A$10,'Emission Factors'!$D$5:$D$10))</f>
        <v/>
      </c>
      <c r="J115" s="140" t="str">
        <f>IF(G115="","",G115*E115)</f>
        <v/>
      </c>
      <c r="K115" s="140"/>
      <c r="L115" s="106"/>
      <c r="M115" s="148"/>
      <c r="N115" s="59" t="str">
        <f>IF(G115="","",IF('Facility Information'!$C$30&gt;0,'Facility Information'!$C$30*G115/2000,IF('Facility Information'!$C$31&gt;0,'Facility Information'!$C$31*365*G115*E115/2000,E115*G115*8760/2000)))</f>
        <v/>
      </c>
      <c r="O115" s="148" t="str">
        <f>IF(G115="","",'Facility Processes'!$H$6*G115/2000)</f>
        <v/>
      </c>
    </row>
    <row r="116" spans="1:15" ht="15.75" x14ac:dyDescent="0.25">
      <c r="A116" s="105"/>
      <c r="B116" s="296" t="s">
        <v>166</v>
      </c>
      <c r="C116" s="296"/>
      <c r="D116" s="127"/>
      <c r="E116" s="110"/>
      <c r="F116" s="128"/>
      <c r="G116" s="110"/>
      <c r="H116" s="110" t="str">
        <f t="shared" si="0"/>
        <v/>
      </c>
      <c r="I116" s="114" t="str">
        <f>IF(G116="","",LOOKUP(C116,'Emission Factors'!$A$5:$A$10,'Emission Factors'!$D$5:$D$10))</f>
        <v/>
      </c>
      <c r="J116" s="118"/>
      <c r="K116" s="117"/>
      <c r="L116" s="128"/>
      <c r="M116" s="10"/>
      <c r="N116" s="10"/>
      <c r="O116" s="150"/>
    </row>
    <row r="117" spans="1:15" s="105" customFormat="1" x14ac:dyDescent="0.25">
      <c r="A117" s="105" t="str">
        <f>IF('Facility Information'!$B$24="","",IF('Facility Information'!$B$26="yes",LOOKUP('Facility Processes'!C6,'Emission Factors'!$A$12:$A$17,'Emission Factors'!AM$12:AM$17),LOOKUP('Facility Processes'!C6,'Emission Factors'!$A$5:$A$10,'Emission Factors'!AM$5:AM$10)))</f>
        <v/>
      </c>
      <c r="B117" s="106" t="str">
        <f>IF(G117="","",'Facility Processes'!B6)</f>
        <v/>
      </c>
      <c r="C117" s="131" t="str">
        <f>IF(G117="","",'Facility Processes'!C6)</f>
        <v/>
      </c>
      <c r="D117" s="132" t="str">
        <f>IF(G117="","",IF('Facility Information'!$B$26="Yes",LOOKUP('Facility Processes'!C6,'Emission Factors'!A12:A17,'Emission Factors'!C12:C17),IF('Facility Information'!$B$26="No",LOOKUP('Facility Processes'!C6,'Emission Factors'!A5:A10,'Emission Factors'!C5:C10))))</f>
        <v/>
      </c>
      <c r="E117" s="138" t="str">
        <f>IF(G117="","",IF('Facility Processes'!$G$6="","",'Facility Processes'!$G$6))</f>
        <v/>
      </c>
      <c r="F117" s="106" t="str">
        <f>IF(G117="","",IF('Facility Processes'!G6="","","tons/hr"))</f>
        <v/>
      </c>
      <c r="G117" s="138" t="str">
        <f>IF(A117="","",IF(A117&gt;0,A117,""))</f>
        <v/>
      </c>
      <c r="H117" s="138" t="str">
        <f t="shared" si="0"/>
        <v/>
      </c>
      <c r="I117" s="139" t="str">
        <f>IF(G117="","",LOOKUP(C117,'Emission Factors'!$A$5:$A$10,'Emission Factors'!$D$5:$D$10))</f>
        <v/>
      </c>
      <c r="J117" s="140" t="str">
        <f>IF(G117="","",G117*E117)</f>
        <v/>
      </c>
      <c r="K117" s="140"/>
      <c r="L117" s="106"/>
      <c r="M117" s="148"/>
      <c r="N117" s="59" t="str">
        <f>IF(G117="","",IF('Facility Information'!$C$30&gt;0,'Facility Information'!$C$30*G117/2000,IF('Facility Information'!$C$31&gt;0,'Facility Information'!$C$31*365*G117*E117/2000,E117*G117*8760/2000)))</f>
        <v/>
      </c>
      <c r="O117" s="148" t="str">
        <f>IF(G117="","",'Facility Processes'!$H$6*G117/2000)</f>
        <v/>
      </c>
    </row>
    <row r="118" spans="1:15" ht="15.75" x14ac:dyDescent="0.25">
      <c r="A118" s="105"/>
      <c r="B118" s="296" t="s">
        <v>167</v>
      </c>
      <c r="C118" s="296"/>
      <c r="D118" s="127"/>
      <c r="E118" s="110"/>
      <c r="F118" s="128"/>
      <c r="G118" s="110"/>
      <c r="H118" s="110" t="str">
        <f t="shared" si="0"/>
        <v/>
      </c>
      <c r="I118" s="114" t="str">
        <f>IF(G118="","",LOOKUP(C118,'Emission Factors'!$A$5:$A$10,'Emission Factors'!$D$5:$D$10))</f>
        <v/>
      </c>
      <c r="J118" s="118"/>
      <c r="K118" s="117"/>
      <c r="L118" s="7"/>
      <c r="M118" s="10"/>
      <c r="N118" s="10"/>
      <c r="O118" s="150"/>
    </row>
    <row r="119" spans="1:15" s="105" customFormat="1" x14ac:dyDescent="0.25">
      <c r="A119" s="105" t="str">
        <f>IF('Facility Information'!$B$24="","",IF('Facility Information'!$B$26="yes",LOOKUP('Facility Processes'!C6,'Emission Factors'!$A$12:$A$17,'Emission Factors'!AO$12:AO$17),LOOKUP('Facility Processes'!C6,'Emission Factors'!$A$5:$A$10,'Emission Factors'!AO$5:AO$10)))</f>
        <v/>
      </c>
      <c r="B119" s="106" t="str">
        <f>IF(G119="","",'Facility Processes'!B6)</f>
        <v/>
      </c>
      <c r="C119" s="131" t="str">
        <f>IF(G119="","",'Facility Processes'!C6)</f>
        <v/>
      </c>
      <c r="D119" s="132" t="str">
        <f>IF(G119="","",IF('Facility Information'!$B$26="Yes",LOOKUP('Facility Processes'!C6,'Emission Factors'!A12:A17,'Emission Factors'!C12:C17),IF('Facility Information'!$B$26="No",LOOKUP('Facility Processes'!C6,'Emission Factors'!A5:A10,'Emission Factors'!C5:C10))))</f>
        <v/>
      </c>
      <c r="E119" s="138" t="str">
        <f>IF(G119="","",IF('Facility Processes'!$G$6="","",'Facility Processes'!$G$6))</f>
        <v/>
      </c>
      <c r="F119" s="106" t="str">
        <f>IF(G119="","",IF('Facility Processes'!G6="","","tons/hr"))</f>
        <v/>
      </c>
      <c r="G119" s="138" t="str">
        <f>IF(A119="","",IF(A119&gt;0,A119,""))</f>
        <v/>
      </c>
      <c r="H119" s="138" t="str">
        <f t="shared" si="0"/>
        <v/>
      </c>
      <c r="I119" s="139" t="str">
        <f>IF(G119="","",LOOKUP(C119,'Emission Factors'!$A$5:$A$10,'Emission Factors'!$D$5:$D$10))</f>
        <v/>
      </c>
      <c r="J119" s="140" t="str">
        <f>IF(G119="","",G119*E119)</f>
        <v/>
      </c>
      <c r="K119" s="140"/>
      <c r="L119" s="106"/>
      <c r="M119" s="148"/>
      <c r="N119" s="59" t="str">
        <f>IF(G119="","",IF('Facility Information'!$C$30&gt;0,'Facility Information'!$C$30*G119/2000,IF('Facility Information'!$C$31&gt;0,'Facility Information'!$C$31*365*G119*E119/2000,E119*G119*8760/2000)))</f>
        <v/>
      </c>
      <c r="O119" s="148" t="str">
        <f>IF(G119="","",'Facility Processes'!$H$6*G119/2000)</f>
        <v/>
      </c>
    </row>
    <row r="120" spans="1:15" ht="15.75" x14ac:dyDescent="0.25">
      <c r="A120" s="105"/>
      <c r="B120" s="296" t="s">
        <v>168</v>
      </c>
      <c r="C120" s="296"/>
      <c r="D120" s="127"/>
      <c r="E120" s="110"/>
      <c r="F120" s="128"/>
      <c r="G120" s="110"/>
      <c r="H120" s="110" t="str">
        <f t="shared" si="0"/>
        <v/>
      </c>
      <c r="I120" s="114" t="str">
        <f>IF(G120="","",LOOKUP(C120,'Emission Factors'!$A$5:$A$10,'Emission Factors'!$D$5:$D$10))</f>
        <v/>
      </c>
      <c r="J120" s="118"/>
      <c r="K120" s="117"/>
      <c r="L120" s="7"/>
      <c r="M120" s="10"/>
      <c r="N120" s="10"/>
      <c r="O120" s="150"/>
    </row>
    <row r="121" spans="1:15" s="105" customFormat="1" x14ac:dyDescent="0.25">
      <c r="A121" s="105" t="str">
        <f>IF('Facility Information'!$B$24="","",IF('Facility Information'!$B$26="yes",LOOKUP('Facility Processes'!C6,'Emission Factors'!$A$12:$A$17,'Emission Factors'!AQ$12:AQ$17),LOOKUP('Facility Processes'!C6,'Emission Factors'!$A$5:$A$10,'Emission Factors'!AQ$5:AQ$10)))</f>
        <v/>
      </c>
      <c r="B121" s="106" t="str">
        <f>IF(G121="","",'Facility Processes'!B6)</f>
        <v/>
      </c>
      <c r="C121" s="131" t="str">
        <f>IF(G121="","",'Facility Processes'!C6)</f>
        <v/>
      </c>
      <c r="D121" s="132" t="str">
        <f>IF(G121="","",IF('Facility Information'!$B$26="Yes",LOOKUP('Facility Processes'!C6,'Emission Factors'!A12:A17,'Emission Factors'!C12:C17),IF('Facility Information'!$B$26="No",LOOKUP('Facility Processes'!C6,'Emission Factors'!A5:A10,'Emission Factors'!C5:C10))))</f>
        <v/>
      </c>
      <c r="E121" s="138" t="str">
        <f>IF(G121="","",IF('Facility Processes'!$G$6="","",'Facility Processes'!$G$6))</f>
        <v/>
      </c>
      <c r="F121" s="106" t="str">
        <f>IF(G121="","",IF('Facility Processes'!G6="","","tons/hr"))</f>
        <v/>
      </c>
      <c r="G121" s="138" t="str">
        <f>IF(A121="","",IF(A121&gt;0,A121,""))</f>
        <v/>
      </c>
      <c r="H121" s="138" t="str">
        <f t="shared" si="0"/>
        <v/>
      </c>
      <c r="I121" s="139" t="str">
        <f>IF(G121="","",LOOKUP(C121,'Emission Factors'!$A$5:$A$10,'Emission Factors'!$D$5:$D$10))</f>
        <v/>
      </c>
      <c r="J121" s="140" t="str">
        <f>IF(G121="","",G121*E121)</f>
        <v/>
      </c>
      <c r="K121" s="140"/>
      <c r="L121" s="106"/>
      <c r="M121" s="148"/>
      <c r="N121" s="59" t="str">
        <f>IF(G121="","",IF('Facility Information'!$C$30&gt;0,'Facility Information'!$C$30*G121/2000,IF('Facility Information'!$C$31&gt;0,'Facility Information'!$C$31*365*G121*E121/2000,E121*G121*8760/2000)))</f>
        <v/>
      </c>
      <c r="O121" s="148" t="str">
        <f>IF(G121="","",'Facility Processes'!$H$6*G121/2000)</f>
        <v/>
      </c>
    </row>
    <row r="122" spans="1:15" ht="15.75" x14ac:dyDescent="0.25">
      <c r="A122" s="105"/>
      <c r="B122" s="296" t="s">
        <v>206</v>
      </c>
      <c r="C122" s="296"/>
      <c r="D122" s="127"/>
      <c r="E122" s="110"/>
      <c r="F122" s="128"/>
      <c r="G122" s="110"/>
      <c r="H122" s="110" t="str">
        <f t="shared" si="0"/>
        <v/>
      </c>
      <c r="I122" s="114" t="str">
        <f>IF(G122="","",LOOKUP(C122,'Emission Factors'!$A$5:$A$10,'Emission Factors'!$D$5:$D$10))</f>
        <v/>
      </c>
      <c r="J122" s="118"/>
      <c r="K122" s="117"/>
      <c r="L122" s="7"/>
      <c r="M122" s="150"/>
      <c r="N122" s="150"/>
      <c r="O122" s="150"/>
    </row>
    <row r="123" spans="1:15" s="105" customFormat="1" x14ac:dyDescent="0.25">
      <c r="A123" s="105" t="str">
        <f>IF('Facility Information'!$B$24="","",IF('Facility Information'!$B$26="yes",LOOKUP('Facility Processes'!C6,'Emission Factors'!$A$12:$A$17,'Emission Factors'!AS$12:AS$17),LOOKUP('Facility Processes'!C6,'Emission Factors'!$A$5:$A$10,'Emission Factors'!AS$5:AS$10)))</f>
        <v/>
      </c>
      <c r="B123" s="106" t="str">
        <f>IF(G123="","",'Facility Processes'!B6)</f>
        <v/>
      </c>
      <c r="C123" s="131" t="str">
        <f>IF(G123="","",'Facility Processes'!C6)</f>
        <v/>
      </c>
      <c r="D123" s="132" t="str">
        <f>IF(G123="","",IF('Facility Information'!$B$26="Yes",LOOKUP('Facility Processes'!C6,'Emission Factors'!A12:A17,'Emission Factors'!C12:C17),IF('Facility Information'!$B$26="No",LOOKUP('Facility Processes'!C6,'Emission Factors'!A5:A10,'Emission Factors'!C5:C10))))</f>
        <v/>
      </c>
      <c r="E123" s="138" t="str">
        <f>IF(G123="","",IF('Facility Processes'!$G$6="","",'Facility Processes'!$G$6))</f>
        <v/>
      </c>
      <c r="F123" s="106" t="str">
        <f>IF(G123="","",IF('Facility Processes'!G6="","","tons/hr"))</f>
        <v/>
      </c>
      <c r="G123" s="138" t="str">
        <f>IF(A123="","",IF(A123&gt;0,A123,""))</f>
        <v/>
      </c>
      <c r="H123" s="138" t="str">
        <f t="shared" si="0"/>
        <v/>
      </c>
      <c r="I123" s="139" t="str">
        <f>IF(G123="","",LOOKUP(C123,'Emission Factors'!$A$5:$A$10,'Emission Factors'!$D$5:$D$10))</f>
        <v/>
      </c>
      <c r="J123" s="140" t="str">
        <f>IF(G123="","",G123*E123)</f>
        <v/>
      </c>
      <c r="K123" s="140"/>
      <c r="L123" s="106"/>
      <c r="M123" s="148"/>
      <c r="N123" s="59" t="str">
        <f>IF(G123="","",IF('Facility Information'!$C$30&gt;0,'Facility Information'!$C$30*G123/2000,IF('Facility Information'!$C$31&gt;0,'Facility Information'!$C$31*365*G123*E123/2000,E123*G123*8760/2000)))</f>
        <v/>
      </c>
      <c r="O123" s="148" t="str">
        <f>IF(G123="","",'Facility Processes'!$H$6*G123/2000)</f>
        <v/>
      </c>
    </row>
    <row r="124" spans="1:15" ht="15.75" x14ac:dyDescent="0.25">
      <c r="A124" s="105"/>
      <c r="B124" s="296" t="s">
        <v>207</v>
      </c>
      <c r="C124" s="296"/>
      <c r="D124" s="127"/>
      <c r="E124" s="110"/>
      <c r="F124" s="128"/>
      <c r="G124" s="110"/>
      <c r="H124" s="110" t="str">
        <f t="shared" si="0"/>
        <v/>
      </c>
      <c r="I124" s="114" t="str">
        <f>IF(G124="","",LOOKUP(C124,'Emission Factors'!$A$5:$A$10,'Emission Factors'!$D$5:$D$10))</f>
        <v/>
      </c>
      <c r="J124" s="118"/>
      <c r="K124" s="117"/>
      <c r="L124" s="7"/>
      <c r="M124" s="10"/>
      <c r="N124" s="10"/>
      <c r="O124" s="150"/>
    </row>
    <row r="125" spans="1:15" s="105" customFormat="1" x14ac:dyDescent="0.25">
      <c r="A125" s="105" t="str">
        <f>IF('Facility Information'!$B$24="","",IF('Facility Information'!$B$26="yes",LOOKUP('Facility Processes'!C6,'Emission Factors'!$A$12:$A$17,'Emission Factors'!AU$12:AU$17),LOOKUP('Facility Processes'!C6,'Emission Factors'!$A$5:$A$10,'Emission Factors'!AU$5:AU$10)))</f>
        <v/>
      </c>
      <c r="B125" s="106" t="str">
        <f>IF(G125="","",'Facility Processes'!B6)</f>
        <v/>
      </c>
      <c r="C125" s="131" t="str">
        <f>IF(G125="","",'Facility Processes'!C6)</f>
        <v/>
      </c>
      <c r="D125" s="132" t="str">
        <f>IF(G125="","",IF('Facility Information'!$B$26="Yes",LOOKUP('Facility Processes'!C6,'Emission Factors'!A12:A17,'Emission Factors'!C12:C17),IF('Facility Information'!$B$26="No",LOOKUP('Facility Processes'!C6,'Emission Factors'!A5:A10,'Emission Factors'!C5:C10))))</f>
        <v/>
      </c>
      <c r="E125" s="138" t="str">
        <f>IF(G125="","",IF('Facility Processes'!$G$6="","",'Facility Processes'!$G$6))</f>
        <v/>
      </c>
      <c r="F125" s="106" t="str">
        <f>IF(G125="","",IF('Facility Processes'!G6="","","tons/hr"))</f>
        <v/>
      </c>
      <c r="G125" s="138" t="str">
        <f>IF(A125="","",IF(A125&gt;0,A125,""))</f>
        <v/>
      </c>
      <c r="H125" s="138" t="str">
        <f t="shared" si="0"/>
        <v/>
      </c>
      <c r="I125" s="139" t="str">
        <f>IF(G125="","",LOOKUP(C125,'Emission Factors'!$A$5:$A$10,'Emission Factors'!$D$5:$D$10))</f>
        <v/>
      </c>
      <c r="J125" s="140" t="str">
        <f>IF(G125="","",G125*E125)</f>
        <v/>
      </c>
      <c r="K125" s="140"/>
      <c r="L125" s="106"/>
      <c r="M125" s="148"/>
      <c r="N125" s="59" t="str">
        <f>IF(G125="","",IF('Facility Information'!$C$30&gt;0,'Facility Information'!$C$30*G125/2000,IF('Facility Information'!$C$31&gt;0,'Facility Information'!$C$31*365*G125*E125/2000,E125*G125*8760/2000)))</f>
        <v/>
      </c>
      <c r="O125" s="148" t="str">
        <f>IF(G125="","",'Facility Processes'!$H$6*G125/2000)</f>
        <v/>
      </c>
    </row>
    <row r="126" spans="1:15" ht="15.75" x14ac:dyDescent="0.25">
      <c r="A126" s="105"/>
      <c r="B126" s="296" t="s">
        <v>208</v>
      </c>
      <c r="C126" s="296"/>
      <c r="D126" s="127"/>
      <c r="E126" s="110"/>
      <c r="F126" s="128"/>
      <c r="G126" s="110"/>
      <c r="H126" s="110" t="str">
        <f t="shared" si="0"/>
        <v/>
      </c>
      <c r="I126" s="114" t="str">
        <f>IF(G126="","",LOOKUP(C126,'Emission Factors'!$A$5:$A$10,'Emission Factors'!$D$5:$D$10))</f>
        <v/>
      </c>
      <c r="J126" s="118"/>
      <c r="K126" s="117"/>
      <c r="L126" s="7"/>
      <c r="M126" s="10"/>
      <c r="N126" s="10"/>
      <c r="O126" s="150"/>
    </row>
    <row r="127" spans="1:15" s="105" customFormat="1" x14ac:dyDescent="0.25">
      <c r="A127" s="105" t="str">
        <f>IF('Facility Information'!$B$24="","",IF('Facility Information'!$B$26="yes",LOOKUP('Facility Processes'!C6,'Emission Factors'!$A$12:$A$17,'Emission Factors'!AW$12:AW$17),LOOKUP('Facility Processes'!C6,'Emission Factors'!$A$5:$A$10,'Emission Factors'!AW$5:AW$10)))</f>
        <v/>
      </c>
      <c r="B127" s="106" t="str">
        <f>IF(G127="","",'Facility Processes'!B6)</f>
        <v/>
      </c>
      <c r="C127" s="131" t="str">
        <f>IF(G127="","",'Facility Processes'!C6)</f>
        <v/>
      </c>
      <c r="D127" s="132" t="str">
        <f>IF(G127="","",IF('Facility Information'!$B$26="Yes",LOOKUP('Facility Processes'!C6,'Emission Factors'!A12:A17,'Emission Factors'!C12:C17),IF('Facility Information'!$B$26="No",LOOKUP('Facility Processes'!C6,'Emission Factors'!A5:A10,'Emission Factors'!C5:C10))))</f>
        <v/>
      </c>
      <c r="E127" s="109" t="str">
        <f>IF(G127="","",IF('Facility Processes'!$G$6="","",'Facility Processes'!$G$6))</f>
        <v/>
      </c>
      <c r="F127" s="106" t="str">
        <f>IF(G127="","",IF('Facility Processes'!G6="","","tons/hr"))</f>
        <v/>
      </c>
      <c r="G127" s="109" t="str">
        <f>IF(A127="","",IF(A127&gt;0,A127,""))</f>
        <v/>
      </c>
      <c r="H127" s="109" t="str">
        <f t="shared" si="0"/>
        <v/>
      </c>
      <c r="I127" s="141" t="str">
        <f>IF(G127="","",LOOKUP(C127,'Emission Factors'!$A$5:$A$10,'Emission Factors'!$D$5:$D$10))</f>
        <v/>
      </c>
      <c r="J127" s="142" t="str">
        <f>IF(G127="","",G127*E127)</f>
        <v/>
      </c>
      <c r="K127" s="142"/>
      <c r="L127" s="106"/>
      <c r="M127" s="148"/>
      <c r="N127" s="59" t="str">
        <f>IF(G127="","",IF('Facility Information'!$C$30&gt;0,'Facility Information'!$C$30*G127/2000,IF('Facility Information'!$C$31&gt;0,'Facility Information'!$C$31*365*G127*E127/2000,E127*G127*8760/2000)))</f>
        <v/>
      </c>
      <c r="O127" s="148" t="str">
        <f>IF(G127="","",'Facility Processes'!$H$6*G127/2000)</f>
        <v/>
      </c>
    </row>
    <row r="128" spans="1:15" x14ac:dyDescent="0.25">
      <c r="B128" s="125"/>
      <c r="C128" s="125"/>
      <c r="D128" s="125"/>
      <c r="E128" s="125"/>
      <c r="F128" s="125"/>
      <c r="G128" s="126"/>
      <c r="H128" s="125"/>
      <c r="I128" s="125"/>
      <c r="J128" s="125"/>
      <c r="K128" s="125"/>
    </row>
  </sheetData>
  <sheetProtection algorithmName="SHA-512" hashValue="PwbmPcotDAwiA+kzMbUyVoytWqfbCO+V4WUtVUw4Zy71/mtgG82Twz4D8N12Y9/UggSeipRygNS+0NEVI+mh4Q==" saltValue="PoGgQyLpYPrkZNGZPK7l2Q==" spinCount="100000" sheet="1"/>
  <pageMargins left="0.25" right="0.25" top="0.75" bottom="0.75" header="0.3" footer="0.3"/>
  <pageSetup scale="71" fitToHeight="0" orientation="landscape" r:id="rId1"/>
  <ignoredErrors>
    <ignoredError sqref="G15:G1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55"/>
  <sheetViews>
    <sheetView workbookViewId="0"/>
  </sheetViews>
  <sheetFormatPr defaultRowHeight="15" x14ac:dyDescent="0.25"/>
  <cols>
    <col min="1" max="1" width="9.140625" style="39"/>
    <col min="2" max="2" width="22.28515625" style="39" customWidth="1"/>
    <col min="3" max="3" width="18.42578125" style="39" customWidth="1"/>
    <col min="4" max="4" width="10.42578125" style="39" customWidth="1"/>
    <col min="5" max="5" width="9.140625" style="39"/>
    <col min="6" max="6" width="14" style="39" hidden="1" customWidth="1"/>
    <col min="7" max="8" width="9.140625" style="39"/>
    <col min="9" max="9" width="9.85546875" style="39" customWidth="1"/>
    <col min="10" max="16384" width="9.140625" style="39"/>
  </cols>
  <sheetData>
    <row r="1" spans="1:6" ht="21.75" customHeight="1" x14ac:dyDescent="0.25">
      <c r="A1" s="310" t="s">
        <v>135</v>
      </c>
      <c r="B1" s="310"/>
      <c r="C1" s="310"/>
      <c r="D1" s="310"/>
    </row>
    <row r="2" spans="1:6" ht="15.75" customHeight="1" thickBot="1" x14ac:dyDescent="0.3">
      <c r="A2" s="323" t="s">
        <v>246</v>
      </c>
      <c r="B2" s="187"/>
      <c r="C2" s="187"/>
      <c r="D2" s="187"/>
    </row>
    <row r="3" spans="1:6" ht="15.75" hidden="1" thickBot="1" x14ac:dyDescent="0.3">
      <c r="B3" s="311" t="s">
        <v>258</v>
      </c>
      <c r="C3" s="312"/>
      <c r="D3" s="313"/>
    </row>
    <row r="4" spans="1:6" hidden="1" x14ac:dyDescent="0.25">
      <c r="B4" s="4" t="s">
        <v>26</v>
      </c>
      <c r="C4" s="203" t="s">
        <v>27</v>
      </c>
      <c r="D4" s="5" t="s">
        <v>28</v>
      </c>
    </row>
    <row r="5" spans="1:6" ht="14.25" hidden="1" customHeight="1" x14ac:dyDescent="0.25">
      <c r="B5" s="171" t="s">
        <v>29</v>
      </c>
      <c r="C5" s="205" t="s">
        <v>29</v>
      </c>
      <c r="D5" s="176">
        <f>'Emission Calculations'!N19</f>
        <v>0</v>
      </c>
      <c r="F5" s="1" t="str">
        <f t="shared" ref="F5:F10" si="0">IF(D5&gt;=100,"Potential Emissions are greater than Title V thresholds. Please contact the IAEAP or the Iowa DNR for assistance","")</f>
        <v/>
      </c>
    </row>
    <row r="6" spans="1:6" ht="14.25" hidden="1" customHeight="1" x14ac:dyDescent="0.25">
      <c r="B6" s="172" t="s">
        <v>30</v>
      </c>
      <c r="C6" s="207" t="s">
        <v>30</v>
      </c>
      <c r="D6" s="176">
        <f>'Emission Calculations'!N37</f>
        <v>0</v>
      </c>
      <c r="F6" s="1" t="str">
        <f t="shared" si="0"/>
        <v/>
      </c>
    </row>
    <row r="7" spans="1:6" ht="14.25" hidden="1" customHeight="1" x14ac:dyDescent="0.25">
      <c r="B7" s="172" t="s">
        <v>11</v>
      </c>
      <c r="C7" s="202" t="s">
        <v>31</v>
      </c>
      <c r="D7" s="176">
        <f>'Emission Calculations'!N48</f>
        <v>0</v>
      </c>
      <c r="F7" s="1" t="str">
        <f t="shared" si="0"/>
        <v/>
      </c>
    </row>
    <row r="8" spans="1:6" ht="14.25" hidden="1" customHeight="1" x14ac:dyDescent="0.25">
      <c r="B8" s="172" t="s">
        <v>32</v>
      </c>
      <c r="C8" s="202" t="s">
        <v>32</v>
      </c>
      <c r="D8" s="176">
        <f>'Emission Calculations'!N56</f>
        <v>0</v>
      </c>
      <c r="F8" s="1" t="str">
        <f t="shared" si="0"/>
        <v/>
      </c>
    </row>
    <row r="9" spans="1:6" ht="14.25" hidden="1" customHeight="1" x14ac:dyDescent="0.25">
      <c r="B9" s="172" t="s">
        <v>13</v>
      </c>
      <c r="C9" s="202" t="s">
        <v>13</v>
      </c>
      <c r="D9" s="176">
        <f>'Emission Calculations'!N66</f>
        <v>0</v>
      </c>
      <c r="F9" s="1" t="str">
        <f t="shared" si="0"/>
        <v/>
      </c>
    </row>
    <row r="10" spans="1:6" ht="14.25" hidden="1" customHeight="1" x14ac:dyDescent="0.25">
      <c r="B10" s="172" t="s">
        <v>14</v>
      </c>
      <c r="C10" s="202" t="s">
        <v>33</v>
      </c>
      <c r="D10" s="176">
        <f>'Emission Calculations'!N77</f>
        <v>0</v>
      </c>
      <c r="F10" s="1" t="str">
        <f t="shared" si="0"/>
        <v/>
      </c>
    </row>
    <row r="11" spans="1:6" ht="14.25" hidden="1" customHeight="1" x14ac:dyDescent="0.25">
      <c r="B11" s="172" t="s">
        <v>223</v>
      </c>
      <c r="C11" s="202" t="s">
        <v>224</v>
      </c>
      <c r="D11" s="176">
        <f>IF('Emission Calculations'!N82="",0,'Emission Calculations'!N82)</f>
        <v>0</v>
      </c>
      <c r="F11" s="1" t="str">
        <f>IF(D11&gt;=10,"Potential Emissions are greater than Title V thresholds. Please contact the IAEAP or the Iowa DNR for assistance","")</f>
        <v/>
      </c>
    </row>
    <row r="12" spans="1:6" ht="14.25" hidden="1" customHeight="1" x14ac:dyDescent="0.25">
      <c r="B12" s="172" t="s">
        <v>180</v>
      </c>
      <c r="C12" s="202" t="s">
        <v>225</v>
      </c>
      <c r="D12" s="176">
        <f>IF('Emission Calculations'!N84="",0,'Emission Calculations'!N84)</f>
        <v>0</v>
      </c>
      <c r="F12" s="1" t="str">
        <f>IF(D12&gt;=10,"Potential Emissions are greater than Title V thresholds. Please contact the IAEAP or the Iowa DNR for assistance","")</f>
        <v/>
      </c>
    </row>
    <row r="13" spans="1:6" ht="14.25" hidden="1" customHeight="1" x14ac:dyDescent="0.25">
      <c r="B13" s="173" t="s">
        <v>99</v>
      </c>
      <c r="C13" s="201" t="s">
        <v>134</v>
      </c>
      <c r="D13" s="176">
        <f>IF('Emission Calculations'!N92="",0,'Emission Calculations'!N92)</f>
        <v>0</v>
      </c>
      <c r="F13" s="1" t="str">
        <f t="shared" ref="F13:F27" si="1">IF(D13&gt;=10,"Potential Emissions are greater than Title V thresholds. Please contact the IAEAP or the Iowa DNR for assistance","")</f>
        <v/>
      </c>
    </row>
    <row r="14" spans="1:6" ht="14.25" hidden="1" customHeight="1" x14ac:dyDescent="0.25">
      <c r="B14" s="173" t="s">
        <v>162</v>
      </c>
      <c r="C14" s="201" t="s">
        <v>226</v>
      </c>
      <c r="D14" s="176">
        <f>IF('Emission Calculations'!N94="",0,'Emission Calculations'!N94)</f>
        <v>0</v>
      </c>
      <c r="F14" s="1" t="str">
        <f t="shared" si="1"/>
        <v/>
      </c>
    </row>
    <row r="15" spans="1:6" ht="14.25" hidden="1" customHeight="1" x14ac:dyDescent="0.25">
      <c r="B15" s="173" t="s">
        <v>15</v>
      </c>
      <c r="C15" s="201" t="s">
        <v>34</v>
      </c>
      <c r="D15" s="176">
        <f>IF('Emission Calculations'!N103="",0,'Emission Calculations'!N103)</f>
        <v>0</v>
      </c>
      <c r="F15" s="1" t="str">
        <f t="shared" si="1"/>
        <v/>
      </c>
    </row>
    <row r="16" spans="1:6" ht="14.25" hidden="1" customHeight="1" x14ac:dyDescent="0.25">
      <c r="B16" s="173" t="s">
        <v>163</v>
      </c>
      <c r="C16" s="201" t="s">
        <v>227</v>
      </c>
      <c r="D16" s="176">
        <f>IF('Emission Calculations'!N105="",0,'Emission Calculations'!N105)</f>
        <v>0</v>
      </c>
      <c r="F16" s="1" t="str">
        <f t="shared" si="1"/>
        <v/>
      </c>
    </row>
    <row r="17" spans="2:6" ht="14.25" hidden="1" customHeight="1" x14ac:dyDescent="0.25">
      <c r="B17" s="173" t="s">
        <v>211</v>
      </c>
      <c r="C17" s="201" t="s">
        <v>228</v>
      </c>
      <c r="D17" s="176">
        <f>IF('Emission Calculations'!N107="",0,'Emission Calculations'!N107)</f>
        <v>0</v>
      </c>
      <c r="F17" s="1" t="str">
        <f t="shared" si="1"/>
        <v/>
      </c>
    </row>
    <row r="18" spans="2:6" ht="14.25" hidden="1" customHeight="1" x14ac:dyDescent="0.25">
      <c r="B18" s="173" t="s">
        <v>164</v>
      </c>
      <c r="C18" s="201" t="s">
        <v>229</v>
      </c>
      <c r="D18" s="176">
        <f>IF('Emission Calculations'!N109="",0,'Emission Calculations'!N109)</f>
        <v>0</v>
      </c>
      <c r="F18" s="1" t="str">
        <f t="shared" si="1"/>
        <v/>
      </c>
    </row>
    <row r="19" spans="2:6" ht="14.25" hidden="1" customHeight="1" x14ac:dyDescent="0.25">
      <c r="B19" s="173" t="s">
        <v>182</v>
      </c>
      <c r="C19" s="201" t="s">
        <v>230</v>
      </c>
      <c r="D19" s="176">
        <f>IF('Emission Calculations'!N111="",0,'Emission Calculations'!N111)</f>
        <v>0</v>
      </c>
      <c r="F19" s="1" t="str">
        <f t="shared" si="1"/>
        <v/>
      </c>
    </row>
    <row r="20" spans="2:6" ht="14.25" hidden="1" customHeight="1" x14ac:dyDescent="0.25">
      <c r="B20" s="173" t="s">
        <v>177</v>
      </c>
      <c r="C20" s="201" t="s">
        <v>231</v>
      </c>
      <c r="D20" s="176">
        <f>IF('Emission Calculations'!N113="",0,'Emission Calculations'!N113)</f>
        <v>0</v>
      </c>
      <c r="F20" s="1" t="str">
        <f t="shared" si="1"/>
        <v/>
      </c>
    </row>
    <row r="21" spans="2:6" ht="14.25" hidden="1" customHeight="1" x14ac:dyDescent="0.25">
      <c r="B21" s="173" t="s">
        <v>165</v>
      </c>
      <c r="C21" s="201" t="s">
        <v>232</v>
      </c>
      <c r="D21" s="176">
        <f>IF('Emission Calculations'!N115="",0,'Emission Calculations'!N115)</f>
        <v>0</v>
      </c>
      <c r="F21" s="1" t="str">
        <f t="shared" si="1"/>
        <v/>
      </c>
    </row>
    <row r="22" spans="2:6" ht="14.25" hidden="1" customHeight="1" x14ac:dyDescent="0.25">
      <c r="B22" s="173" t="s">
        <v>166</v>
      </c>
      <c r="C22" s="201" t="s">
        <v>234</v>
      </c>
      <c r="D22" s="176">
        <f>IF('Emission Calculations'!N117="",0,'Emission Calculations'!N117)</f>
        <v>0</v>
      </c>
      <c r="F22" s="1" t="str">
        <f t="shared" si="1"/>
        <v/>
      </c>
    </row>
    <row r="23" spans="2:6" ht="14.25" hidden="1" customHeight="1" x14ac:dyDescent="0.25">
      <c r="B23" s="173" t="s">
        <v>167</v>
      </c>
      <c r="C23" s="201" t="s">
        <v>233</v>
      </c>
      <c r="D23" s="176">
        <f>IF('Emission Calculations'!N119="",0,'Emission Calculations'!N119)</f>
        <v>0</v>
      </c>
      <c r="F23" s="1" t="str">
        <f t="shared" si="1"/>
        <v/>
      </c>
    </row>
    <row r="24" spans="2:6" ht="14.25" hidden="1" customHeight="1" x14ac:dyDescent="0.25">
      <c r="B24" s="173" t="s">
        <v>168</v>
      </c>
      <c r="C24" s="201" t="s">
        <v>237</v>
      </c>
      <c r="D24" s="176">
        <f>IF('Emission Calculations'!N121="",0,'Emission Calculations'!N121)</f>
        <v>0</v>
      </c>
      <c r="F24" s="1" t="str">
        <f t="shared" si="1"/>
        <v/>
      </c>
    </row>
    <row r="25" spans="2:6" ht="14.25" hidden="1" customHeight="1" x14ac:dyDescent="0.25">
      <c r="B25" s="173" t="s">
        <v>206</v>
      </c>
      <c r="C25" s="201" t="s">
        <v>238</v>
      </c>
      <c r="D25" s="176">
        <f>IF('Emission Calculations'!N123="",0,'Emission Calculations'!N123)</f>
        <v>0</v>
      </c>
      <c r="F25" s="1" t="str">
        <f t="shared" si="1"/>
        <v/>
      </c>
    </row>
    <row r="26" spans="2:6" ht="14.25" hidden="1" customHeight="1" x14ac:dyDescent="0.25">
      <c r="B26" s="173" t="s">
        <v>207</v>
      </c>
      <c r="C26" s="201" t="s">
        <v>239</v>
      </c>
      <c r="D26" s="176">
        <f>IF('Emission Calculations'!N125="",0,'Emission Calculations'!N125)</f>
        <v>0</v>
      </c>
      <c r="F26" s="1" t="str">
        <f t="shared" si="1"/>
        <v/>
      </c>
    </row>
    <row r="27" spans="2:6" ht="14.25" hidden="1" customHeight="1" x14ac:dyDescent="0.25">
      <c r="B27" s="173" t="s">
        <v>208</v>
      </c>
      <c r="C27" s="201" t="s">
        <v>240</v>
      </c>
      <c r="D27" s="176">
        <f>IF('Emission Calculations'!N127="",0,'Emission Calculations'!N127)</f>
        <v>0</v>
      </c>
      <c r="F27" s="1" t="str">
        <f t="shared" si="1"/>
        <v/>
      </c>
    </row>
    <row r="28" spans="2:6" ht="15.75" hidden="1" thickBot="1" x14ac:dyDescent="0.3">
      <c r="B28" s="174" t="s">
        <v>35</v>
      </c>
      <c r="C28" s="206"/>
      <c r="D28" s="177">
        <f>SUM(D11:D27)</f>
        <v>0</v>
      </c>
      <c r="F28" s="1" t="str">
        <f>IF(D28&gt;=25,"Potential Emissions are greater than Title V thresholds. Please contact the IAEAP or the Iowa DNR for assistance","")</f>
        <v/>
      </c>
    </row>
    <row r="29" spans="2:6" ht="8.25" hidden="1" customHeight="1" thickBot="1" x14ac:dyDescent="0.3"/>
    <row r="30" spans="2:6" ht="15.75" thickBot="1" x14ac:dyDescent="0.3">
      <c r="B30" s="311" t="s">
        <v>257</v>
      </c>
      <c r="C30" s="312"/>
      <c r="D30" s="313"/>
    </row>
    <row r="31" spans="2:6" x14ac:dyDescent="0.25">
      <c r="B31" s="4" t="s">
        <v>26</v>
      </c>
      <c r="C31" s="204" t="s">
        <v>27</v>
      </c>
      <c r="D31" s="175" t="s">
        <v>28</v>
      </c>
    </row>
    <row r="32" spans="2:6" ht="14.25" customHeight="1" x14ac:dyDescent="0.25">
      <c r="B32" s="2" t="s">
        <v>29</v>
      </c>
      <c r="C32" s="205" t="s">
        <v>29</v>
      </c>
      <c r="D32" s="178">
        <f>'Emission Calculations'!O19</f>
        <v>0</v>
      </c>
      <c r="F32" s="1" t="str">
        <f t="shared" ref="F32:F55" si="2">IF(D32&lt;=D5,"","Actual Emissions are greater than Potential Emissions. Please contact the IAEAP or the Iowa DNR for assistance")</f>
        <v/>
      </c>
    </row>
    <row r="33" spans="2:6" ht="14.25" customHeight="1" x14ac:dyDescent="0.25">
      <c r="B33" s="2" t="s">
        <v>30</v>
      </c>
      <c r="C33" s="207" t="s">
        <v>30</v>
      </c>
      <c r="D33" s="179">
        <f>'Emission Calculations'!O37</f>
        <v>0</v>
      </c>
      <c r="F33" s="1" t="str">
        <f t="shared" si="2"/>
        <v/>
      </c>
    </row>
    <row r="34" spans="2:6" ht="14.25" customHeight="1" x14ac:dyDescent="0.25">
      <c r="B34" s="2" t="s">
        <v>11</v>
      </c>
      <c r="C34" s="202" t="s">
        <v>31</v>
      </c>
      <c r="D34" s="179">
        <f>'Emission Calculations'!O48</f>
        <v>0</v>
      </c>
      <c r="F34" s="1" t="str">
        <f t="shared" si="2"/>
        <v/>
      </c>
    </row>
    <row r="35" spans="2:6" ht="14.25" customHeight="1" x14ac:dyDescent="0.25">
      <c r="B35" s="2" t="s">
        <v>32</v>
      </c>
      <c r="C35" s="202" t="s">
        <v>32</v>
      </c>
      <c r="D35" s="179">
        <f>'Emission Calculations'!O56</f>
        <v>0</v>
      </c>
      <c r="F35" s="1" t="str">
        <f t="shared" si="2"/>
        <v/>
      </c>
    </row>
    <row r="36" spans="2:6" ht="14.25" customHeight="1" x14ac:dyDescent="0.25">
      <c r="B36" s="2" t="s">
        <v>13</v>
      </c>
      <c r="C36" s="202" t="s">
        <v>13</v>
      </c>
      <c r="D36" s="179">
        <f>'Emission Calculations'!O66</f>
        <v>0</v>
      </c>
      <c r="F36" s="1" t="str">
        <f t="shared" si="2"/>
        <v/>
      </c>
    </row>
    <row r="37" spans="2:6" ht="14.25" customHeight="1" x14ac:dyDescent="0.25">
      <c r="B37" s="2" t="s">
        <v>14</v>
      </c>
      <c r="C37" s="202" t="s">
        <v>33</v>
      </c>
      <c r="D37" s="179">
        <f>'Emission Calculations'!O77</f>
        <v>0</v>
      </c>
      <c r="F37" s="1" t="str">
        <f t="shared" si="2"/>
        <v/>
      </c>
    </row>
    <row r="38" spans="2:6" ht="14.25" customHeight="1" x14ac:dyDescent="0.25">
      <c r="B38" s="172" t="s">
        <v>223</v>
      </c>
      <c r="C38" s="202" t="s">
        <v>224</v>
      </c>
      <c r="D38" s="179">
        <f>IF('Emission Calculations'!O82="",0,'Emission Calculations'!O82)</f>
        <v>0</v>
      </c>
      <c r="F38" s="1" t="str">
        <f t="shared" si="2"/>
        <v/>
      </c>
    </row>
    <row r="39" spans="2:6" ht="14.25" customHeight="1" x14ac:dyDescent="0.25">
      <c r="B39" s="172" t="s">
        <v>180</v>
      </c>
      <c r="C39" s="202" t="s">
        <v>225</v>
      </c>
      <c r="D39" s="179">
        <f>IF('Emission Calculations'!O84="",0,'Emission Calculations'!O84)</f>
        <v>0</v>
      </c>
      <c r="F39" s="1" t="str">
        <f t="shared" si="2"/>
        <v/>
      </c>
    </row>
    <row r="40" spans="2:6" ht="14.25" customHeight="1" x14ac:dyDescent="0.25">
      <c r="B40" s="173" t="s">
        <v>99</v>
      </c>
      <c r="C40" s="201" t="s">
        <v>134</v>
      </c>
      <c r="D40" s="179">
        <f>IF('Emission Calculations'!O92="",0,'Emission Calculations'!O92)</f>
        <v>0</v>
      </c>
      <c r="F40" s="1" t="str">
        <f t="shared" si="2"/>
        <v/>
      </c>
    </row>
    <row r="41" spans="2:6" ht="14.25" customHeight="1" x14ac:dyDescent="0.25">
      <c r="B41" s="173" t="s">
        <v>162</v>
      </c>
      <c r="C41" s="201" t="s">
        <v>226</v>
      </c>
      <c r="D41" s="179">
        <f>IF('Emission Calculations'!O94="",0,'Emission Calculations'!O94)</f>
        <v>0</v>
      </c>
      <c r="F41" s="1" t="str">
        <f t="shared" si="2"/>
        <v/>
      </c>
    </row>
    <row r="42" spans="2:6" ht="14.25" customHeight="1" x14ac:dyDescent="0.25">
      <c r="B42" s="173" t="s">
        <v>15</v>
      </c>
      <c r="C42" s="201" t="s">
        <v>34</v>
      </c>
      <c r="D42" s="180">
        <f>IF('Emission Calculations'!O103="",0,'Emission Calculations'!O103)</f>
        <v>0</v>
      </c>
      <c r="F42" s="1" t="str">
        <f t="shared" si="2"/>
        <v/>
      </c>
    </row>
    <row r="43" spans="2:6" ht="14.25" customHeight="1" x14ac:dyDescent="0.25">
      <c r="B43" s="173" t="s">
        <v>163</v>
      </c>
      <c r="C43" s="201" t="s">
        <v>227</v>
      </c>
      <c r="D43" s="180">
        <f>IF('Emission Calculations'!O105="",0,'Emission Calculations'!O105)</f>
        <v>0</v>
      </c>
      <c r="F43" s="1" t="str">
        <f t="shared" si="2"/>
        <v/>
      </c>
    </row>
    <row r="44" spans="2:6" ht="14.25" customHeight="1" x14ac:dyDescent="0.25">
      <c r="B44" s="173" t="s">
        <v>211</v>
      </c>
      <c r="C44" s="201" t="s">
        <v>228</v>
      </c>
      <c r="D44" s="180">
        <f>IF('Emission Calculations'!O107="",0,'Emission Calculations'!O107)</f>
        <v>0</v>
      </c>
      <c r="F44" s="1" t="str">
        <f t="shared" si="2"/>
        <v/>
      </c>
    </row>
    <row r="45" spans="2:6" ht="14.25" customHeight="1" x14ac:dyDescent="0.25">
      <c r="B45" s="173" t="s">
        <v>164</v>
      </c>
      <c r="C45" s="201" t="s">
        <v>229</v>
      </c>
      <c r="D45" s="180">
        <f>IF('Emission Calculations'!O109="",0,'Emission Calculations'!O109)</f>
        <v>0</v>
      </c>
      <c r="F45" s="1" t="str">
        <f t="shared" si="2"/>
        <v/>
      </c>
    </row>
    <row r="46" spans="2:6" ht="14.25" customHeight="1" x14ac:dyDescent="0.25">
      <c r="B46" s="173" t="s">
        <v>182</v>
      </c>
      <c r="C46" s="201" t="s">
        <v>230</v>
      </c>
      <c r="D46" s="180">
        <f>IF('Emission Calculations'!O111="",0,'Emission Calculations'!O111)</f>
        <v>0</v>
      </c>
      <c r="F46" s="1" t="str">
        <f t="shared" si="2"/>
        <v/>
      </c>
    </row>
    <row r="47" spans="2:6" ht="14.25" customHeight="1" x14ac:dyDescent="0.25">
      <c r="B47" s="173" t="s">
        <v>177</v>
      </c>
      <c r="C47" s="201" t="s">
        <v>231</v>
      </c>
      <c r="D47" s="180">
        <f>IF('Emission Calculations'!O113="",0,'Emission Calculations'!O113)</f>
        <v>0</v>
      </c>
      <c r="F47" s="1" t="str">
        <f t="shared" si="2"/>
        <v/>
      </c>
    </row>
    <row r="48" spans="2:6" ht="14.25" customHeight="1" x14ac:dyDescent="0.25">
      <c r="B48" s="173" t="s">
        <v>165</v>
      </c>
      <c r="C48" s="201" t="s">
        <v>232</v>
      </c>
      <c r="D48" s="180">
        <f>IF('Emission Calculations'!O115="",0,'Emission Calculations'!O115)</f>
        <v>0</v>
      </c>
      <c r="F48" s="1" t="str">
        <f t="shared" si="2"/>
        <v/>
      </c>
    </row>
    <row r="49" spans="2:6" ht="14.25" customHeight="1" x14ac:dyDescent="0.25">
      <c r="B49" s="173" t="s">
        <v>166</v>
      </c>
      <c r="C49" s="201" t="s">
        <v>234</v>
      </c>
      <c r="D49" s="180">
        <f>IF('Emission Calculations'!O117="",0,'Emission Calculations'!O117)</f>
        <v>0</v>
      </c>
      <c r="F49" s="1" t="str">
        <f t="shared" si="2"/>
        <v/>
      </c>
    </row>
    <row r="50" spans="2:6" ht="14.25" customHeight="1" x14ac:dyDescent="0.25">
      <c r="B50" s="173" t="s">
        <v>167</v>
      </c>
      <c r="C50" s="201" t="s">
        <v>233</v>
      </c>
      <c r="D50" s="180">
        <f>IF('Emission Calculations'!O119="",0,'Emission Calculations'!O119)</f>
        <v>0</v>
      </c>
      <c r="F50" s="1" t="str">
        <f t="shared" si="2"/>
        <v/>
      </c>
    </row>
    <row r="51" spans="2:6" ht="14.25" customHeight="1" x14ac:dyDescent="0.25">
      <c r="B51" s="173" t="s">
        <v>168</v>
      </c>
      <c r="C51" s="201" t="s">
        <v>237</v>
      </c>
      <c r="D51" s="180">
        <f>IF('Emission Calculations'!O121="",0,'Emission Calculations'!O121)</f>
        <v>0</v>
      </c>
      <c r="F51" s="1" t="str">
        <f t="shared" si="2"/>
        <v/>
      </c>
    </row>
    <row r="52" spans="2:6" ht="14.25" customHeight="1" x14ac:dyDescent="0.25">
      <c r="B52" s="173" t="s">
        <v>206</v>
      </c>
      <c r="C52" s="201" t="s">
        <v>238</v>
      </c>
      <c r="D52" s="180">
        <f>IF('Emission Calculations'!O123="",0,'Emission Calculations'!O123)</f>
        <v>0</v>
      </c>
      <c r="F52" s="1" t="str">
        <f t="shared" si="2"/>
        <v/>
      </c>
    </row>
    <row r="53" spans="2:6" ht="14.25" customHeight="1" x14ac:dyDescent="0.25">
      <c r="B53" s="173" t="s">
        <v>207</v>
      </c>
      <c r="C53" s="201" t="s">
        <v>239</v>
      </c>
      <c r="D53" s="180">
        <f>IF('Emission Calculations'!O125="",0,'Emission Calculations'!O125)</f>
        <v>0</v>
      </c>
      <c r="F53" s="1" t="str">
        <f t="shared" si="2"/>
        <v/>
      </c>
    </row>
    <row r="54" spans="2:6" ht="14.25" customHeight="1" x14ac:dyDescent="0.25">
      <c r="B54" s="173" t="s">
        <v>208</v>
      </c>
      <c r="C54" s="201" t="s">
        <v>240</v>
      </c>
      <c r="D54" s="180">
        <f>IF('Emission Calculations'!O127="",0,'Emission Calculations'!O127)</f>
        <v>0</v>
      </c>
      <c r="F54" s="1" t="str">
        <f t="shared" si="2"/>
        <v/>
      </c>
    </row>
    <row r="55" spans="2:6" ht="15.75" thickBot="1" x14ac:dyDescent="0.3">
      <c r="B55" s="3" t="s">
        <v>35</v>
      </c>
      <c r="C55" s="206"/>
      <c r="D55" s="181">
        <f>SUM(D38:D54)</f>
        <v>0</v>
      </c>
      <c r="F55" s="1" t="str">
        <f t="shared" si="2"/>
        <v/>
      </c>
    </row>
  </sheetData>
  <sheetProtection algorithmName="SHA-512" hashValue="VyZ11KrseRLGwjugX/CqoPD0zb18jPXneXgsGFu+DPvzurjwF13bUtmkAQMBh5VAArcEcYaAEYEW5t7DBZGLAA==" saltValue="GYFj6GWEoccAE5oF82nQVQ==" spinCount="100000" sheet="1"/>
  <pageMargins left="0.7" right="0.7" top="0.75" bottom="0.75" header="0.3" footer="0.3"/>
  <pageSetup scale="8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X46"/>
  <sheetViews>
    <sheetView workbookViewId="0"/>
  </sheetViews>
  <sheetFormatPr defaultRowHeight="15" x14ac:dyDescent="0.25"/>
  <cols>
    <col min="1" max="1" width="33.5703125" style="39" customWidth="1"/>
    <col min="2" max="2" width="33.5703125" style="39" hidden="1" customWidth="1"/>
    <col min="3" max="3" width="9.140625" style="39" customWidth="1"/>
    <col min="4" max="4" width="39.7109375" style="39" customWidth="1"/>
    <col min="5" max="5" width="9.140625" style="39"/>
    <col min="6" max="6" width="16.28515625" style="39" bestFit="1" customWidth="1"/>
    <col min="7" max="7" width="9.140625" style="39"/>
    <col min="8" max="8" width="16.140625" style="39" customWidth="1"/>
    <col min="9" max="9" width="6.85546875" style="39" customWidth="1"/>
    <col min="10" max="10" width="16.42578125" style="39" customWidth="1"/>
    <col min="11" max="11" width="9.140625" style="39"/>
    <col min="12" max="12" width="16.28515625" style="39" bestFit="1" customWidth="1"/>
    <col min="13" max="13" width="9.140625" style="39"/>
    <col min="14" max="14" width="16.28515625" style="39" bestFit="1" customWidth="1"/>
    <col min="15" max="15" width="9.140625" style="39"/>
    <col min="16" max="16" width="16.28515625" style="39" bestFit="1" customWidth="1"/>
    <col min="17" max="17" width="12" style="39" customWidth="1"/>
    <col min="18" max="20" width="9.85546875" style="39" customWidth="1"/>
    <col min="21" max="21" width="14" style="39" bestFit="1" customWidth="1"/>
    <col min="22" max="22" width="16.28515625" style="39" bestFit="1" customWidth="1"/>
    <col min="23" max="23" width="9.140625" style="39"/>
    <col min="24" max="24" width="16.28515625" style="39" bestFit="1" customWidth="1"/>
    <col min="25" max="26" width="10" style="39" bestFit="1" customWidth="1"/>
    <col min="27" max="32" width="9.140625" style="39"/>
    <col min="33" max="34" width="10" style="39" customWidth="1"/>
    <col min="35" max="40" width="9.140625" style="39"/>
    <col min="41" max="41" width="22.28515625" style="39" bestFit="1" customWidth="1"/>
    <col min="42" max="44" width="9.140625" style="39"/>
    <col min="45" max="46" width="10.42578125" style="39" customWidth="1"/>
    <col min="47" max="48" width="9.140625" style="39"/>
    <col min="49" max="49" width="12.140625" style="39" customWidth="1"/>
    <col min="50" max="50" width="9.5703125" style="39" customWidth="1"/>
    <col min="51" max="16384" width="9.140625" style="39"/>
  </cols>
  <sheetData>
    <row r="1" spans="1:50" ht="18.75" x14ac:dyDescent="0.3">
      <c r="A1" s="60" t="s">
        <v>137</v>
      </c>
      <c r="B1" s="60"/>
    </row>
    <row r="2" spans="1:50" x14ac:dyDescent="0.25">
      <c r="C2" s="40"/>
    </row>
    <row r="3" spans="1:50" x14ac:dyDescent="0.25">
      <c r="A3" s="38" t="s">
        <v>8</v>
      </c>
      <c r="B3" s="38"/>
      <c r="C3" s="38" t="s">
        <v>16</v>
      </c>
      <c r="D3" s="38" t="s">
        <v>93</v>
      </c>
      <c r="E3" s="38" t="s">
        <v>84</v>
      </c>
      <c r="F3" s="38" t="s">
        <v>10</v>
      </c>
      <c r="G3" s="38" t="s">
        <v>85</v>
      </c>
      <c r="H3" s="38" t="s">
        <v>10</v>
      </c>
      <c r="I3" s="38" t="s">
        <v>11</v>
      </c>
      <c r="K3" s="38" t="s">
        <v>32</v>
      </c>
      <c r="M3" s="38" t="s">
        <v>13</v>
      </c>
      <c r="O3" s="39" t="s">
        <v>14</v>
      </c>
      <c r="Q3" s="39" t="s">
        <v>176</v>
      </c>
      <c r="S3" s="39" t="s">
        <v>180</v>
      </c>
      <c r="U3" s="39" t="s">
        <v>99</v>
      </c>
      <c r="W3" s="39" t="s">
        <v>162</v>
      </c>
      <c r="Y3" s="39" t="s">
        <v>15</v>
      </c>
      <c r="AA3" s="39" t="s">
        <v>163</v>
      </c>
      <c r="AC3" s="39" t="s">
        <v>181</v>
      </c>
      <c r="AE3" s="39" t="s">
        <v>164</v>
      </c>
      <c r="AG3" s="39" t="s">
        <v>182</v>
      </c>
      <c r="AI3" s="39" t="s">
        <v>177</v>
      </c>
      <c r="AK3" s="39" t="s">
        <v>165</v>
      </c>
      <c r="AM3" s="39" t="s">
        <v>166</v>
      </c>
      <c r="AO3" s="39" t="s">
        <v>167</v>
      </c>
      <c r="AQ3" s="39" t="s">
        <v>168</v>
      </c>
      <c r="AS3" s="319" t="s">
        <v>206</v>
      </c>
      <c r="AT3" s="319"/>
      <c r="AU3" s="319" t="s">
        <v>207</v>
      </c>
      <c r="AV3" s="319"/>
      <c r="AW3" s="319" t="s">
        <v>208</v>
      </c>
      <c r="AX3" s="319"/>
    </row>
    <row r="4" spans="1:50" x14ac:dyDescent="0.25">
      <c r="A4" s="44" t="s">
        <v>179</v>
      </c>
      <c r="B4" s="44"/>
      <c r="C4" s="159"/>
      <c r="D4" s="159"/>
      <c r="E4" s="159"/>
      <c r="F4" s="159"/>
      <c r="G4" s="159"/>
      <c r="H4" s="159"/>
    </row>
    <row r="5" spans="1:50" x14ac:dyDescent="0.25">
      <c r="A5" s="39" t="s">
        <v>215</v>
      </c>
      <c r="C5" s="39">
        <v>30500246</v>
      </c>
      <c r="D5" s="39" t="s">
        <v>193</v>
      </c>
      <c r="E5" s="39">
        <v>0.27</v>
      </c>
      <c r="F5" s="39" t="s">
        <v>170</v>
      </c>
      <c r="G5" s="39">
        <v>4.5</v>
      </c>
      <c r="H5" s="39" t="s">
        <v>170</v>
      </c>
      <c r="I5" s="39">
        <v>8.7999999999999995E-2</v>
      </c>
      <c r="J5" s="39" t="s">
        <v>170</v>
      </c>
      <c r="K5" s="39">
        <v>0.12</v>
      </c>
      <c r="L5" s="39" t="s">
        <v>170</v>
      </c>
      <c r="M5" s="39">
        <v>8.2000000000000007E-3</v>
      </c>
      <c r="N5" s="39" t="s">
        <v>170</v>
      </c>
      <c r="O5" s="39">
        <v>0.4</v>
      </c>
      <c r="P5" s="39" t="s">
        <v>170</v>
      </c>
      <c r="Q5" s="39">
        <v>3.2000000000000003E-4</v>
      </c>
      <c r="R5" s="39" t="s">
        <v>170</v>
      </c>
      <c r="U5" s="39">
        <v>2.7999999999999998E-4</v>
      </c>
      <c r="V5" s="39" t="s">
        <v>170</v>
      </c>
      <c r="W5" s="39">
        <v>2.2000000000000001E-3</v>
      </c>
      <c r="X5" s="39" t="s">
        <v>170</v>
      </c>
      <c r="Y5" s="39">
        <v>7.3999999999999999E-4</v>
      </c>
      <c r="Z5" s="39" t="s">
        <v>170</v>
      </c>
      <c r="AI5" s="39">
        <v>2.7E-4</v>
      </c>
      <c r="AJ5" s="39" t="s">
        <v>170</v>
      </c>
      <c r="AK5" s="39">
        <v>1E-3</v>
      </c>
      <c r="AL5" s="39" t="s">
        <v>170</v>
      </c>
      <c r="AM5" s="39">
        <v>2.7000000000000001E-3</v>
      </c>
      <c r="AN5" s="39" t="s">
        <v>170</v>
      </c>
    </row>
    <row r="6" spans="1:50" x14ac:dyDescent="0.25">
      <c r="A6" s="39" t="s">
        <v>216</v>
      </c>
      <c r="C6" s="39">
        <v>30500245</v>
      </c>
      <c r="D6" s="39" t="s">
        <v>193</v>
      </c>
      <c r="E6" s="39">
        <v>0.27</v>
      </c>
      <c r="F6" s="39" t="s">
        <v>170</v>
      </c>
      <c r="G6" s="39">
        <v>4.5</v>
      </c>
      <c r="H6" s="39" t="s">
        <v>170</v>
      </c>
      <c r="I6" s="39">
        <v>4.5999999999999999E-3</v>
      </c>
      <c r="J6" s="39" t="s">
        <v>170</v>
      </c>
      <c r="K6" s="39">
        <v>2.5000000000000001E-2</v>
      </c>
      <c r="L6" s="39" t="s">
        <v>170</v>
      </c>
      <c r="M6" s="39">
        <v>8.2000000000000007E-3</v>
      </c>
      <c r="N6" s="39" t="s">
        <v>170</v>
      </c>
      <c r="O6" s="39">
        <v>0.4</v>
      </c>
      <c r="P6" s="39" t="s">
        <v>170</v>
      </c>
      <c r="Q6" s="39">
        <v>3.2000000000000003E-4</v>
      </c>
      <c r="R6" s="39" t="s">
        <v>170</v>
      </c>
      <c r="U6" s="39">
        <v>2.7999999999999998E-4</v>
      </c>
      <c r="V6" s="39" t="s">
        <v>170</v>
      </c>
      <c r="W6" s="39">
        <v>2.2000000000000001E-3</v>
      </c>
      <c r="X6" s="39" t="s">
        <v>170</v>
      </c>
      <c r="Y6" s="39">
        <v>7.3999999999999999E-4</v>
      </c>
      <c r="Z6" s="39" t="s">
        <v>170</v>
      </c>
      <c r="AI6" s="39">
        <v>2.7E-4</v>
      </c>
      <c r="AJ6" s="39" t="s">
        <v>170</v>
      </c>
      <c r="AK6" s="39">
        <v>1E-3</v>
      </c>
      <c r="AL6" s="39" t="s">
        <v>170</v>
      </c>
      <c r="AM6" s="39">
        <v>2.7000000000000001E-3</v>
      </c>
      <c r="AN6" s="39" t="s">
        <v>170</v>
      </c>
    </row>
    <row r="7" spans="1:50" x14ac:dyDescent="0.25">
      <c r="A7" s="39" t="s">
        <v>217</v>
      </c>
      <c r="C7" s="39">
        <v>30500247</v>
      </c>
      <c r="D7" s="39" t="s">
        <v>193</v>
      </c>
      <c r="E7" s="39">
        <v>0.27</v>
      </c>
      <c r="F7" s="39" t="s">
        <v>170</v>
      </c>
      <c r="G7" s="39">
        <v>4.5</v>
      </c>
      <c r="H7" s="39" t="s">
        <v>170</v>
      </c>
      <c r="I7" s="39">
        <v>8.7999999999999995E-2</v>
      </c>
      <c r="J7" s="39" t="s">
        <v>170</v>
      </c>
      <c r="K7" s="39">
        <v>0.12</v>
      </c>
      <c r="L7" s="39" t="s">
        <v>170</v>
      </c>
      <c r="M7" s="39">
        <v>3.5999999999999997E-2</v>
      </c>
      <c r="N7" s="39" t="s">
        <v>170</v>
      </c>
      <c r="O7" s="39">
        <v>0.4</v>
      </c>
      <c r="P7" s="39" t="s">
        <v>170</v>
      </c>
      <c r="Q7" s="39">
        <v>3.2000000000000003E-4</v>
      </c>
      <c r="R7" s="39" t="s">
        <v>170</v>
      </c>
      <c r="U7" s="39">
        <v>2.7999999999999998E-4</v>
      </c>
      <c r="V7" s="39" t="s">
        <v>170</v>
      </c>
      <c r="W7" s="39">
        <v>2.2000000000000001E-3</v>
      </c>
      <c r="X7" s="39" t="s">
        <v>170</v>
      </c>
      <c r="Y7" s="39">
        <v>7.3999999999999999E-4</v>
      </c>
      <c r="Z7" s="39" t="s">
        <v>170</v>
      </c>
      <c r="AI7" s="39">
        <v>2.7E-4</v>
      </c>
      <c r="AJ7" s="39" t="s">
        <v>170</v>
      </c>
      <c r="AK7" s="39">
        <v>1E-3</v>
      </c>
      <c r="AL7" s="39" t="s">
        <v>170</v>
      </c>
      <c r="AM7" s="39">
        <v>2.7000000000000001E-3</v>
      </c>
      <c r="AN7" s="39" t="s">
        <v>170</v>
      </c>
    </row>
    <row r="8" spans="1:50" x14ac:dyDescent="0.25">
      <c r="A8" s="39" t="s">
        <v>218</v>
      </c>
      <c r="C8" s="39">
        <v>30500258</v>
      </c>
      <c r="D8" s="39" t="s">
        <v>194</v>
      </c>
      <c r="E8" s="39">
        <v>1.54</v>
      </c>
      <c r="F8" s="39" t="s">
        <v>170</v>
      </c>
      <c r="G8" s="39">
        <v>6.5</v>
      </c>
      <c r="H8" s="39" t="s">
        <v>170</v>
      </c>
      <c r="I8" s="39">
        <v>1.0999999999999999E-2</v>
      </c>
      <c r="J8" s="39" t="s">
        <v>170</v>
      </c>
      <c r="K8" s="39">
        <v>5.5E-2</v>
      </c>
      <c r="L8" s="39" t="s">
        <v>170</v>
      </c>
      <c r="M8" s="39">
        <v>3.2000000000000001E-2</v>
      </c>
      <c r="N8" s="39" t="s">
        <v>170</v>
      </c>
      <c r="O8" s="39">
        <v>0.13</v>
      </c>
      <c r="P8" s="39" t="s">
        <v>170</v>
      </c>
      <c r="U8" s="39">
        <v>3.8999999999999999E-4</v>
      </c>
      <c r="V8" s="39" t="s">
        <v>170</v>
      </c>
      <c r="W8" s="39">
        <v>2.4000000000000001E-4</v>
      </c>
      <c r="X8" s="39" t="s">
        <v>170</v>
      </c>
      <c r="Y8" s="39">
        <v>3.0999999999999999E-3</v>
      </c>
      <c r="Z8" s="39" t="s">
        <v>170</v>
      </c>
      <c r="AA8" s="39">
        <v>9.2000000000000003E-4</v>
      </c>
      <c r="AB8" s="39" t="s">
        <v>170</v>
      </c>
      <c r="AE8" s="39">
        <v>4.8000000000000001E-5</v>
      </c>
      <c r="AF8" s="39" t="s">
        <v>170</v>
      </c>
      <c r="AK8" s="39">
        <v>2.8999999999999998E-3</v>
      </c>
      <c r="AL8" s="39" t="s">
        <v>170</v>
      </c>
      <c r="AM8" s="39">
        <v>2.0000000000000001E-4</v>
      </c>
      <c r="AN8" s="39" t="s">
        <v>170</v>
      </c>
      <c r="AO8" s="39">
        <v>4.0000000000000003E-5</v>
      </c>
      <c r="AP8" s="39" t="s">
        <v>170</v>
      </c>
      <c r="AQ8" s="39">
        <v>1.2999999999999999E-3</v>
      </c>
      <c r="AR8" s="39" t="s">
        <v>170</v>
      </c>
      <c r="AS8" s="39">
        <v>2.4000000000000001E-5</v>
      </c>
      <c r="AT8" s="39" t="s">
        <v>170</v>
      </c>
      <c r="AU8" s="39">
        <v>5.4000000000000001E-4</v>
      </c>
      <c r="AV8" s="39" t="s">
        <v>170</v>
      </c>
      <c r="AW8" s="39">
        <v>6.4999999999999997E-4</v>
      </c>
      <c r="AX8" s="39" t="s">
        <v>170</v>
      </c>
    </row>
    <row r="9" spans="1:50" x14ac:dyDescent="0.25">
      <c r="A9" s="39" t="s">
        <v>219</v>
      </c>
      <c r="C9" s="39">
        <v>30500255</v>
      </c>
      <c r="D9" s="39" t="s">
        <v>195</v>
      </c>
      <c r="E9" s="39">
        <v>1.54</v>
      </c>
      <c r="F9" s="39" t="s">
        <v>170</v>
      </c>
      <c r="G9" s="39">
        <v>6.5</v>
      </c>
      <c r="H9" s="39" t="s">
        <v>170</v>
      </c>
      <c r="I9" s="39">
        <v>3.3999999999999998E-3</v>
      </c>
      <c r="J9" s="39" t="s">
        <v>170</v>
      </c>
      <c r="K9" s="39">
        <v>2.5999999999999999E-2</v>
      </c>
      <c r="L9" s="39" t="s">
        <v>170</v>
      </c>
      <c r="M9" s="39">
        <v>3.2000000000000001E-2</v>
      </c>
      <c r="N9" s="39" t="s">
        <v>170</v>
      </c>
      <c r="O9" s="39">
        <v>0.13</v>
      </c>
      <c r="P9" s="39" t="s">
        <v>170</v>
      </c>
      <c r="U9" s="39">
        <v>3.8999999999999999E-4</v>
      </c>
      <c r="V9" s="39" t="s">
        <v>170</v>
      </c>
      <c r="W9" s="39">
        <v>2.4000000000000001E-4</v>
      </c>
      <c r="X9" s="39" t="s">
        <v>170</v>
      </c>
      <c r="Y9" s="39">
        <v>3.0999999999999999E-3</v>
      </c>
      <c r="Z9" s="39" t="s">
        <v>170</v>
      </c>
      <c r="AA9" s="39">
        <v>9.2000000000000003E-4</v>
      </c>
      <c r="AB9" s="39" t="s">
        <v>170</v>
      </c>
      <c r="AE9" s="39">
        <v>4.8000000000000001E-5</v>
      </c>
      <c r="AF9" s="39" t="s">
        <v>170</v>
      </c>
      <c r="AK9" s="39">
        <v>1.4999999999999999E-4</v>
      </c>
      <c r="AL9" s="39" t="s">
        <v>170</v>
      </c>
      <c r="AM9" s="39">
        <v>2.0000000000000001E-4</v>
      </c>
      <c r="AN9" s="39" t="s">
        <v>170</v>
      </c>
      <c r="AO9" s="39">
        <v>4.0000000000000003E-5</v>
      </c>
      <c r="AP9" s="39" t="s">
        <v>170</v>
      </c>
      <c r="AQ9" s="39">
        <v>6.3E-5</v>
      </c>
      <c r="AR9" s="39" t="s">
        <v>170</v>
      </c>
    </row>
    <row r="10" spans="1:50" x14ac:dyDescent="0.25">
      <c r="A10" s="39" t="s">
        <v>220</v>
      </c>
      <c r="C10" s="39">
        <v>30500261</v>
      </c>
      <c r="D10" s="39" t="s">
        <v>194</v>
      </c>
      <c r="E10" s="39">
        <v>1.54</v>
      </c>
      <c r="F10" s="39" t="s">
        <v>170</v>
      </c>
      <c r="G10" s="39">
        <v>6.5</v>
      </c>
      <c r="H10" s="39" t="s">
        <v>170</v>
      </c>
      <c r="I10" s="39">
        <v>5.8000000000000003E-2</v>
      </c>
      <c r="J10" s="39" t="s">
        <v>170</v>
      </c>
      <c r="K10" s="39">
        <v>5.5E-2</v>
      </c>
      <c r="L10" s="39" t="s">
        <v>170</v>
      </c>
      <c r="M10" s="39">
        <v>3.2000000000000001E-2</v>
      </c>
      <c r="N10" s="39" t="s">
        <v>170</v>
      </c>
      <c r="O10" s="39">
        <v>0.13</v>
      </c>
      <c r="P10" s="39" t="s">
        <v>170</v>
      </c>
      <c r="Q10" s="39">
        <v>1.2999999999999999E-3</v>
      </c>
      <c r="R10" s="39" t="s">
        <v>170</v>
      </c>
      <c r="S10" s="39">
        <v>2.5999999999999998E-5</v>
      </c>
      <c r="T10" s="39" t="s">
        <v>170</v>
      </c>
      <c r="U10" s="39">
        <v>3.8999999999999999E-4</v>
      </c>
      <c r="V10" s="39" t="s">
        <v>170</v>
      </c>
      <c r="W10" s="39">
        <v>2.4000000000000001E-4</v>
      </c>
      <c r="X10" s="39" t="s">
        <v>170</v>
      </c>
      <c r="Y10" s="39">
        <v>3.0999999999999999E-3</v>
      </c>
      <c r="Z10" s="39" t="s">
        <v>170</v>
      </c>
      <c r="AA10" s="39">
        <v>9.2000000000000003E-4</v>
      </c>
      <c r="AB10" s="39" t="s">
        <v>170</v>
      </c>
      <c r="AC10" s="39">
        <v>2.1000000000000001E-4</v>
      </c>
      <c r="AD10" s="39" t="s">
        <v>170</v>
      </c>
      <c r="AE10" s="39">
        <v>4.8000000000000001E-5</v>
      </c>
      <c r="AF10" s="39" t="s">
        <v>170</v>
      </c>
      <c r="AG10" s="39">
        <v>1.2999999999999999E-4</v>
      </c>
      <c r="AH10" s="39" t="s">
        <v>170</v>
      </c>
      <c r="AI10" s="39">
        <v>1.6000000000000001E-4</v>
      </c>
      <c r="AJ10" s="39" t="s">
        <v>170</v>
      </c>
      <c r="AK10" s="39">
        <v>2.8999999999999998E-3</v>
      </c>
      <c r="AL10" s="39" t="s">
        <v>170</v>
      </c>
      <c r="AM10" s="39">
        <v>2.0000000000000001E-4</v>
      </c>
      <c r="AN10" s="39" t="s">
        <v>170</v>
      </c>
      <c r="AO10" s="39">
        <v>4.0000000000000003E-5</v>
      </c>
      <c r="AP10" s="39" t="s">
        <v>170</v>
      </c>
    </row>
    <row r="11" spans="1:50" x14ac:dyDescent="0.25">
      <c r="A11" s="40" t="s">
        <v>178</v>
      </c>
      <c r="B11" s="40"/>
    </row>
    <row r="12" spans="1:50" x14ac:dyDescent="0.25">
      <c r="A12" s="39" t="s">
        <v>215</v>
      </c>
      <c r="C12" s="39">
        <v>30500246</v>
      </c>
      <c r="D12" s="39" t="s">
        <v>193</v>
      </c>
      <c r="E12" s="39">
        <v>8.3000000000000001E-3</v>
      </c>
      <c r="F12" s="39" t="s">
        <v>170</v>
      </c>
      <c r="G12" s="39">
        <v>9.7999999999999997E-3</v>
      </c>
      <c r="H12" s="39" t="s">
        <v>170</v>
      </c>
      <c r="I12" s="39">
        <v>8.7999999999999995E-2</v>
      </c>
      <c r="J12" s="39" t="s">
        <v>170</v>
      </c>
      <c r="K12" s="39">
        <v>0.12</v>
      </c>
      <c r="L12" s="39" t="s">
        <v>170</v>
      </c>
      <c r="M12" s="39">
        <v>8.2000000000000007E-3</v>
      </c>
      <c r="N12" s="39" t="s">
        <v>170</v>
      </c>
      <c r="O12" s="39">
        <v>0.4</v>
      </c>
      <c r="P12" s="39" t="s">
        <v>170</v>
      </c>
      <c r="Q12" s="39">
        <v>3.2000000000000003E-4</v>
      </c>
      <c r="R12" s="39" t="s">
        <v>170</v>
      </c>
      <c r="U12" s="39">
        <v>2.7999999999999998E-4</v>
      </c>
      <c r="V12" s="39" t="s">
        <v>170</v>
      </c>
      <c r="W12" s="39">
        <v>2.2000000000000001E-3</v>
      </c>
      <c r="X12" s="39" t="s">
        <v>170</v>
      </c>
      <c r="Y12" s="39">
        <v>7.3999999999999999E-4</v>
      </c>
      <c r="Z12" s="39" t="s">
        <v>170</v>
      </c>
      <c r="AI12" s="39">
        <v>2.7E-4</v>
      </c>
      <c r="AJ12" s="39" t="s">
        <v>170</v>
      </c>
      <c r="AK12" s="39">
        <v>1E-3</v>
      </c>
      <c r="AL12" s="39" t="s">
        <v>170</v>
      </c>
      <c r="AM12" s="39">
        <v>2.7000000000000001E-3</v>
      </c>
      <c r="AN12" s="39" t="s">
        <v>170</v>
      </c>
    </row>
    <row r="13" spans="1:50" x14ac:dyDescent="0.25">
      <c r="A13" s="39" t="s">
        <v>216</v>
      </c>
      <c r="C13" s="39">
        <v>30500245</v>
      </c>
      <c r="D13" s="39" t="s">
        <v>193</v>
      </c>
      <c r="E13" s="39">
        <v>8.3000000000000001E-3</v>
      </c>
      <c r="F13" s="39" t="s">
        <v>170</v>
      </c>
      <c r="G13" s="39">
        <v>9.7999999999999997E-3</v>
      </c>
      <c r="H13" s="39" t="s">
        <v>170</v>
      </c>
      <c r="I13" s="39">
        <v>4.5999999999999999E-3</v>
      </c>
      <c r="J13" s="39" t="s">
        <v>170</v>
      </c>
      <c r="K13" s="39">
        <v>2.5000000000000001E-2</v>
      </c>
      <c r="L13" s="39" t="s">
        <v>170</v>
      </c>
      <c r="M13" s="39">
        <v>8.2000000000000007E-3</v>
      </c>
      <c r="N13" s="39" t="s">
        <v>170</v>
      </c>
      <c r="O13" s="39">
        <v>0.4</v>
      </c>
      <c r="P13" s="39" t="s">
        <v>170</v>
      </c>
      <c r="Q13" s="39">
        <v>3.2000000000000003E-4</v>
      </c>
      <c r="R13" s="39" t="s">
        <v>170</v>
      </c>
      <c r="U13" s="39">
        <v>2.7999999999999998E-4</v>
      </c>
      <c r="V13" s="39" t="s">
        <v>170</v>
      </c>
      <c r="W13" s="39">
        <v>2.2000000000000001E-3</v>
      </c>
      <c r="X13" s="39" t="s">
        <v>170</v>
      </c>
      <c r="Y13" s="39">
        <v>7.3999999999999999E-4</v>
      </c>
      <c r="Z13" s="39" t="s">
        <v>170</v>
      </c>
      <c r="AI13" s="39">
        <v>2.7E-4</v>
      </c>
      <c r="AJ13" s="39" t="s">
        <v>170</v>
      </c>
      <c r="AK13" s="39">
        <v>1E-3</v>
      </c>
      <c r="AL13" s="39" t="s">
        <v>170</v>
      </c>
      <c r="AM13" s="39">
        <v>2.7000000000000001E-3</v>
      </c>
      <c r="AN13" s="39" t="s">
        <v>170</v>
      </c>
    </row>
    <row r="14" spans="1:50" x14ac:dyDescent="0.25">
      <c r="A14" s="39" t="s">
        <v>217</v>
      </c>
      <c r="C14" s="39">
        <v>30500246</v>
      </c>
      <c r="D14" s="39" t="s">
        <v>193</v>
      </c>
      <c r="E14" s="39">
        <v>8.3000000000000001E-3</v>
      </c>
      <c r="F14" s="39" t="s">
        <v>170</v>
      </c>
      <c r="G14" s="39">
        <v>9.7999999999999997E-3</v>
      </c>
      <c r="H14" s="39" t="s">
        <v>170</v>
      </c>
      <c r="I14" s="39">
        <v>8.7999999999999995E-2</v>
      </c>
      <c r="J14" s="39" t="s">
        <v>170</v>
      </c>
      <c r="K14" s="39">
        <v>0.12</v>
      </c>
      <c r="L14" s="39" t="s">
        <v>170</v>
      </c>
      <c r="M14" s="39">
        <v>3.5999999999999997E-2</v>
      </c>
      <c r="N14" s="39" t="s">
        <v>170</v>
      </c>
      <c r="O14" s="39">
        <v>0.4</v>
      </c>
      <c r="P14" s="39" t="s">
        <v>170</v>
      </c>
      <c r="Q14" s="39">
        <v>3.2000000000000003E-4</v>
      </c>
      <c r="R14" s="39" t="s">
        <v>170</v>
      </c>
      <c r="U14" s="39">
        <v>2.7999999999999998E-4</v>
      </c>
      <c r="V14" s="39" t="s">
        <v>170</v>
      </c>
      <c r="W14" s="39">
        <v>2.2000000000000001E-3</v>
      </c>
      <c r="X14" s="39" t="s">
        <v>170</v>
      </c>
      <c r="Y14" s="39">
        <v>7.3999999999999999E-4</v>
      </c>
      <c r="Z14" s="39" t="s">
        <v>170</v>
      </c>
      <c r="AI14" s="39">
        <v>2.7E-4</v>
      </c>
      <c r="AJ14" s="39" t="s">
        <v>170</v>
      </c>
      <c r="AK14" s="39">
        <v>1E-3</v>
      </c>
      <c r="AL14" s="39" t="s">
        <v>170</v>
      </c>
      <c r="AM14" s="39">
        <v>2.7000000000000001E-3</v>
      </c>
      <c r="AN14" s="39" t="s">
        <v>170</v>
      </c>
    </row>
    <row r="15" spans="1:50" x14ac:dyDescent="0.25">
      <c r="A15" s="39" t="s">
        <v>221</v>
      </c>
      <c r="C15" s="39">
        <v>30500258</v>
      </c>
      <c r="D15" s="39" t="s">
        <v>194</v>
      </c>
      <c r="E15" s="39">
        <v>7.0000000000000001E-3</v>
      </c>
      <c r="F15" s="39" t="s">
        <v>170</v>
      </c>
      <c r="G15" s="39">
        <v>2.3E-2</v>
      </c>
      <c r="H15" s="39" t="s">
        <v>170</v>
      </c>
      <c r="I15" s="39">
        <v>1.0999999999999999E-2</v>
      </c>
      <c r="J15" s="39" t="s">
        <v>170</v>
      </c>
      <c r="K15" s="39">
        <v>5.5E-2</v>
      </c>
      <c r="L15" s="39" t="s">
        <v>170</v>
      </c>
      <c r="M15" s="39">
        <v>3.2000000000000001E-2</v>
      </c>
      <c r="N15" s="39" t="s">
        <v>170</v>
      </c>
      <c r="O15" s="39">
        <v>0.13</v>
      </c>
      <c r="P15" s="39" t="s">
        <v>170</v>
      </c>
      <c r="U15" s="39">
        <v>3.8999999999999999E-4</v>
      </c>
      <c r="V15" s="39" t="s">
        <v>170</v>
      </c>
      <c r="W15" s="39">
        <v>2.4000000000000001E-4</v>
      </c>
      <c r="X15" s="39" t="s">
        <v>170</v>
      </c>
      <c r="Y15" s="39">
        <v>3.0999999999999999E-3</v>
      </c>
      <c r="Z15" s="39" t="s">
        <v>170</v>
      </c>
      <c r="AA15" s="39">
        <v>9.2000000000000003E-4</v>
      </c>
      <c r="AB15" s="39" t="s">
        <v>170</v>
      </c>
      <c r="AE15" s="39">
        <v>4.8000000000000001E-5</v>
      </c>
      <c r="AF15" s="39" t="s">
        <v>170</v>
      </c>
      <c r="AK15" s="39">
        <v>2.8999999999999998E-3</v>
      </c>
      <c r="AL15" s="39" t="s">
        <v>170</v>
      </c>
      <c r="AM15" s="39">
        <v>2.0000000000000001E-4</v>
      </c>
      <c r="AN15" s="39" t="s">
        <v>170</v>
      </c>
      <c r="AO15" s="39">
        <v>4.0000000000000003E-5</v>
      </c>
      <c r="AP15" s="39" t="s">
        <v>170</v>
      </c>
      <c r="AU15" s="39">
        <v>1.5E-5</v>
      </c>
      <c r="AV15" s="39" t="s">
        <v>170</v>
      </c>
    </row>
    <row r="16" spans="1:50" x14ac:dyDescent="0.25">
      <c r="A16" s="39" t="s">
        <v>219</v>
      </c>
      <c r="C16" s="39">
        <v>30500255</v>
      </c>
      <c r="D16" s="39" t="s">
        <v>195</v>
      </c>
      <c r="E16" s="39">
        <v>7.0000000000000001E-3</v>
      </c>
      <c r="F16" s="39" t="s">
        <v>170</v>
      </c>
      <c r="G16" s="39">
        <v>2.3E-2</v>
      </c>
      <c r="H16" s="39" t="s">
        <v>170</v>
      </c>
      <c r="I16" s="39">
        <v>3.3999999999999998E-3</v>
      </c>
      <c r="J16" s="39" t="s">
        <v>170</v>
      </c>
      <c r="K16" s="39">
        <v>2.5999999999999999E-2</v>
      </c>
      <c r="L16" s="39" t="s">
        <v>170</v>
      </c>
      <c r="M16" s="39">
        <v>3.2000000000000001E-2</v>
      </c>
      <c r="N16" s="39" t="s">
        <v>170</v>
      </c>
      <c r="O16" s="39">
        <v>0.13</v>
      </c>
      <c r="P16" s="39" t="s">
        <v>170</v>
      </c>
      <c r="U16" s="39">
        <v>3.8999999999999999E-4</v>
      </c>
      <c r="V16" s="39" t="s">
        <v>170</v>
      </c>
      <c r="W16" s="39">
        <v>2.4000000000000001E-4</v>
      </c>
      <c r="X16" s="39" t="s">
        <v>170</v>
      </c>
      <c r="Y16" s="39">
        <v>3.0999999999999999E-3</v>
      </c>
      <c r="Z16" s="39" t="s">
        <v>170</v>
      </c>
      <c r="AA16" s="39">
        <v>9.2000000000000003E-4</v>
      </c>
      <c r="AB16" s="39" t="s">
        <v>170</v>
      </c>
      <c r="AE16" s="39">
        <v>4.8000000000000001E-5</v>
      </c>
      <c r="AF16" s="39" t="s">
        <v>170</v>
      </c>
      <c r="AK16" s="39">
        <v>1.4999999999999999E-4</v>
      </c>
      <c r="AL16" s="39" t="s">
        <v>170</v>
      </c>
      <c r="AM16" s="39">
        <v>2.0000000000000001E-4</v>
      </c>
      <c r="AN16" s="39" t="s">
        <v>170</v>
      </c>
      <c r="AO16" s="39">
        <v>4.0000000000000003E-5</v>
      </c>
      <c r="AP16" s="39" t="s">
        <v>170</v>
      </c>
      <c r="AQ16" s="39">
        <v>6.3E-5</v>
      </c>
      <c r="AR16" s="39" t="s">
        <v>170</v>
      </c>
    </row>
    <row r="17" spans="1:48" x14ac:dyDescent="0.25">
      <c r="A17" s="39" t="s">
        <v>222</v>
      </c>
      <c r="C17" s="39">
        <v>30500261</v>
      </c>
      <c r="D17" s="39" t="s">
        <v>194</v>
      </c>
      <c r="E17" s="39">
        <v>7.0000000000000001E-3</v>
      </c>
      <c r="F17" s="39" t="s">
        <v>170</v>
      </c>
      <c r="G17" s="39">
        <v>2.3E-2</v>
      </c>
      <c r="H17" s="39" t="s">
        <v>170</v>
      </c>
      <c r="I17" s="39">
        <v>5.8000000000000003E-2</v>
      </c>
      <c r="J17" s="39" t="s">
        <v>170</v>
      </c>
      <c r="K17" s="39">
        <v>5.5E-2</v>
      </c>
      <c r="L17" s="39" t="s">
        <v>170</v>
      </c>
      <c r="M17" s="39">
        <v>3.2000000000000001E-2</v>
      </c>
      <c r="N17" s="39" t="s">
        <v>170</v>
      </c>
      <c r="O17" s="39">
        <v>0.13</v>
      </c>
      <c r="P17" s="39" t="s">
        <v>170</v>
      </c>
      <c r="Q17" s="39">
        <v>1.2999999999999999E-3</v>
      </c>
      <c r="R17" s="39" t="s">
        <v>170</v>
      </c>
      <c r="S17" s="39">
        <v>2.5999999999999998E-5</v>
      </c>
      <c r="T17" s="39" t="s">
        <v>170</v>
      </c>
      <c r="U17" s="39">
        <v>3.8999999999999999E-4</v>
      </c>
      <c r="V17" s="39" t="s">
        <v>170</v>
      </c>
      <c r="W17" s="39">
        <v>2.4000000000000001E-4</v>
      </c>
      <c r="X17" s="39" t="s">
        <v>170</v>
      </c>
      <c r="Y17" s="39">
        <v>3.0999999999999999E-3</v>
      </c>
      <c r="Z17" s="39" t="s">
        <v>170</v>
      </c>
      <c r="AA17" s="39">
        <v>9.2000000000000003E-4</v>
      </c>
      <c r="AB17" s="39" t="s">
        <v>170</v>
      </c>
      <c r="AC17" s="39">
        <v>2.1000000000000001E-4</v>
      </c>
      <c r="AD17" s="39" t="s">
        <v>170</v>
      </c>
      <c r="AE17" s="39">
        <v>4.8000000000000001E-5</v>
      </c>
      <c r="AF17" s="39" t="s">
        <v>170</v>
      </c>
      <c r="AG17" s="39">
        <v>1.2999999999999999E-4</v>
      </c>
      <c r="AH17" s="39" t="s">
        <v>170</v>
      </c>
      <c r="AI17" s="39">
        <v>1.6000000000000001E-4</v>
      </c>
      <c r="AJ17" s="39" t="s">
        <v>170</v>
      </c>
      <c r="AK17" s="39">
        <v>2.8999999999999998E-3</v>
      </c>
      <c r="AL17" s="39" t="s">
        <v>170</v>
      </c>
      <c r="AM17" s="39">
        <v>2.0000000000000001E-4</v>
      </c>
      <c r="AN17" s="39" t="s">
        <v>170</v>
      </c>
      <c r="AO17" s="39">
        <v>4.0000000000000003E-5</v>
      </c>
      <c r="AP17" s="39" t="s">
        <v>170</v>
      </c>
      <c r="AU17" s="39">
        <v>1.5E-5</v>
      </c>
      <c r="AV17" s="39" t="s">
        <v>170</v>
      </c>
    </row>
    <row r="18" spans="1:48" x14ac:dyDescent="0.25">
      <c r="A18" s="40" t="s">
        <v>184</v>
      </c>
      <c r="B18" s="40"/>
    </row>
    <row r="19" spans="1:48" x14ac:dyDescent="0.25">
      <c r="A19" s="39" t="s">
        <v>210</v>
      </c>
      <c r="B19" s="39" t="s">
        <v>213</v>
      </c>
      <c r="C19" s="39">
        <v>30500208</v>
      </c>
      <c r="D19" s="39" t="s">
        <v>196</v>
      </c>
      <c r="O19" s="39">
        <v>1.1999999999999999E-3</v>
      </c>
      <c r="P19" s="39" t="s">
        <v>209</v>
      </c>
    </row>
    <row r="20" spans="1:48" x14ac:dyDescent="0.25">
      <c r="A20" s="39" t="s">
        <v>183</v>
      </c>
      <c r="B20" s="39" t="s">
        <v>214</v>
      </c>
      <c r="C20" s="39">
        <v>30500206</v>
      </c>
      <c r="D20" s="39" t="s">
        <v>196</v>
      </c>
      <c r="O20" s="39">
        <v>8.9</v>
      </c>
      <c r="P20" s="39" t="s">
        <v>173</v>
      </c>
      <c r="Y20" s="39">
        <v>2.5999999999999999E-2</v>
      </c>
      <c r="Z20" s="39" t="s">
        <v>173</v>
      </c>
    </row>
    <row r="21" spans="1:48" x14ac:dyDescent="0.25">
      <c r="A21" s="39" t="s">
        <v>245</v>
      </c>
      <c r="B21" s="39" t="s">
        <v>213</v>
      </c>
      <c r="C21" s="39">
        <v>30500208</v>
      </c>
      <c r="D21" s="39" t="s">
        <v>196</v>
      </c>
      <c r="O21" s="39">
        <v>1.1999999999999999E-3</v>
      </c>
      <c r="P21" s="39" t="s">
        <v>209</v>
      </c>
    </row>
    <row r="23" spans="1:48" x14ac:dyDescent="0.25">
      <c r="A23" s="39" t="s">
        <v>172</v>
      </c>
      <c r="C23" s="39">
        <v>30500213</v>
      </c>
      <c r="D23" s="39" t="s">
        <v>197</v>
      </c>
      <c r="E23" s="39">
        <v>5.8600000000000004E-4</v>
      </c>
      <c r="F23" s="39" t="s">
        <v>170</v>
      </c>
      <c r="G23" s="39">
        <v>5.8600000000000004E-4</v>
      </c>
      <c r="H23" s="39" t="s">
        <v>170</v>
      </c>
      <c r="M23" s="39">
        <v>1.2200000000000001E-2</v>
      </c>
      <c r="N23" s="39" t="s">
        <v>170</v>
      </c>
      <c r="O23" s="39">
        <v>1.1800000000000001E-3</v>
      </c>
      <c r="P23" s="39" t="s">
        <v>170</v>
      </c>
    </row>
    <row r="24" spans="1:48" x14ac:dyDescent="0.25">
      <c r="A24" s="39" t="s">
        <v>171</v>
      </c>
      <c r="C24" s="39">
        <v>30500214</v>
      </c>
      <c r="D24" s="39" t="s">
        <v>197</v>
      </c>
      <c r="E24" s="39">
        <v>5.22E-4</v>
      </c>
      <c r="F24" s="39" t="s">
        <v>170</v>
      </c>
      <c r="G24" s="39">
        <v>5.22E-4</v>
      </c>
      <c r="H24" s="39" t="s">
        <v>170</v>
      </c>
      <c r="M24" s="39">
        <v>4.1599999999999996E-3</v>
      </c>
      <c r="N24" s="39" t="s">
        <v>170</v>
      </c>
      <c r="O24" s="39">
        <v>1.3500000000000001E-3</v>
      </c>
      <c r="P24" s="39" t="s">
        <v>170</v>
      </c>
    </row>
    <row r="25" spans="1:48" x14ac:dyDescent="0.25">
      <c r="A25" s="39" t="s">
        <v>169</v>
      </c>
      <c r="C25" s="39">
        <v>30500204</v>
      </c>
      <c r="D25" s="39" t="s">
        <v>198</v>
      </c>
      <c r="E25" s="39">
        <v>4.4999999999999999E-4</v>
      </c>
      <c r="F25" s="39" t="s">
        <v>170</v>
      </c>
      <c r="G25" s="39">
        <v>1.1000000000000001E-3</v>
      </c>
      <c r="H25" s="39" t="s">
        <v>170</v>
      </c>
    </row>
    <row r="26" spans="1:48" x14ac:dyDescent="0.25">
      <c r="A26" s="39" t="s">
        <v>82</v>
      </c>
      <c r="C26" s="39">
        <v>30500203</v>
      </c>
      <c r="D26" s="39" t="s">
        <v>199</v>
      </c>
      <c r="E26" s="39">
        <v>3.64</v>
      </c>
      <c r="F26" s="39" t="s">
        <v>86</v>
      </c>
      <c r="G26" s="39">
        <v>3.64</v>
      </c>
      <c r="H26" s="39" t="s">
        <v>86</v>
      </c>
    </row>
    <row r="28" spans="1:48" x14ac:dyDescent="0.25">
      <c r="A28" s="45" t="s">
        <v>111</v>
      </c>
      <c r="B28" s="45"/>
    </row>
    <row r="29" spans="1:48" x14ac:dyDescent="0.25">
      <c r="A29" s="41" t="s">
        <v>53</v>
      </c>
      <c r="B29" s="41"/>
      <c r="C29" s="39">
        <v>30500290</v>
      </c>
      <c r="O29" s="42"/>
      <c r="P29" s="43"/>
      <c r="Q29" s="43"/>
      <c r="R29" s="43"/>
      <c r="S29" s="43"/>
      <c r="T29" s="43"/>
      <c r="U29" s="42"/>
      <c r="V29" s="43"/>
      <c r="W29" s="42"/>
      <c r="X29" s="43"/>
    </row>
    <row r="30" spans="1:48" x14ac:dyDescent="0.25">
      <c r="A30" s="103" t="s">
        <v>205</v>
      </c>
      <c r="B30" s="103"/>
      <c r="C30" s="18" t="s">
        <v>149</v>
      </c>
      <c r="D30" s="18"/>
      <c r="E30" s="18"/>
      <c r="F30" s="18"/>
      <c r="G30" s="19"/>
      <c r="H30" s="43"/>
      <c r="I30" s="42"/>
      <c r="J30" s="43"/>
      <c r="K30" s="42"/>
      <c r="L30" s="43"/>
      <c r="O30" s="42"/>
      <c r="P30" s="43"/>
      <c r="Q30" s="43"/>
      <c r="R30" s="43"/>
      <c r="S30" s="43"/>
      <c r="T30" s="43"/>
      <c r="U30" s="42"/>
      <c r="V30" s="43"/>
      <c r="W30" s="42"/>
      <c r="X30" s="43"/>
    </row>
    <row r="31" spans="1:48" x14ac:dyDescent="0.25">
      <c r="A31" s="18"/>
      <c r="B31" s="18"/>
      <c r="C31" s="18"/>
      <c r="D31" s="18"/>
      <c r="E31" s="18" t="s">
        <v>71</v>
      </c>
      <c r="F31" s="18"/>
      <c r="I31" s="42"/>
      <c r="J31" s="43"/>
      <c r="K31" s="42"/>
      <c r="L31" s="43"/>
      <c r="O31" s="42"/>
      <c r="P31" s="43"/>
      <c r="Q31" s="43"/>
      <c r="R31" s="43"/>
      <c r="S31" s="43"/>
      <c r="T31" s="43"/>
      <c r="U31" s="42"/>
      <c r="V31" s="43"/>
      <c r="W31" s="42"/>
      <c r="X31" s="43"/>
    </row>
    <row r="32" spans="1:48" x14ac:dyDescent="0.25">
      <c r="A32" s="18"/>
      <c r="B32" s="18"/>
      <c r="C32" s="18"/>
      <c r="D32" s="18"/>
      <c r="E32" s="18" t="s">
        <v>72</v>
      </c>
      <c r="F32" s="18"/>
      <c r="I32" s="42"/>
      <c r="J32" s="43"/>
      <c r="K32" s="42"/>
      <c r="L32" s="43"/>
    </row>
    <row r="33" spans="1:24" x14ac:dyDescent="0.25">
      <c r="A33" s="18"/>
      <c r="B33" s="18"/>
      <c r="C33" s="18"/>
      <c r="D33" s="18"/>
      <c r="E33" s="18" t="s">
        <v>73</v>
      </c>
      <c r="F33" s="18"/>
    </row>
    <row r="34" spans="1:24" x14ac:dyDescent="0.25">
      <c r="A34" s="18"/>
      <c r="B34" s="18"/>
      <c r="C34" s="18"/>
      <c r="D34" s="18"/>
      <c r="E34" s="23" t="s">
        <v>125</v>
      </c>
      <c r="F34" s="18"/>
    </row>
    <row r="35" spans="1:24" x14ac:dyDescent="0.25">
      <c r="A35" s="18" t="s">
        <v>147</v>
      </c>
      <c r="B35" s="18"/>
      <c r="C35" s="18">
        <v>30500290</v>
      </c>
      <c r="D35" s="18"/>
      <c r="F35" s="18"/>
      <c r="H35" s="23"/>
    </row>
    <row r="36" spans="1:24" x14ac:dyDescent="0.25">
      <c r="A36" s="103" t="s">
        <v>205</v>
      </c>
      <c r="B36" s="103"/>
      <c r="C36" s="18" t="s">
        <v>150</v>
      </c>
      <c r="D36" s="18"/>
      <c r="F36" s="18"/>
      <c r="H36" s="23"/>
    </row>
    <row r="37" spans="1:24" x14ac:dyDescent="0.25">
      <c r="A37" s="18"/>
      <c r="B37" s="18"/>
      <c r="C37" s="18"/>
      <c r="D37" s="18"/>
      <c r="E37" s="18" t="s">
        <v>151</v>
      </c>
      <c r="F37" s="18"/>
    </row>
    <row r="38" spans="1:24" x14ac:dyDescent="0.25">
      <c r="A38" s="18"/>
      <c r="B38" s="18"/>
      <c r="C38" s="18"/>
      <c r="D38" s="18"/>
      <c r="E38" s="18" t="s">
        <v>152</v>
      </c>
      <c r="F38" s="18"/>
    </row>
    <row r="39" spans="1:24" x14ac:dyDescent="0.25">
      <c r="A39" s="18"/>
      <c r="B39" s="18"/>
      <c r="C39" s="18"/>
      <c r="D39" s="18"/>
      <c r="E39" s="18" t="s">
        <v>73</v>
      </c>
      <c r="F39" s="18"/>
    </row>
    <row r="40" spans="1:24" x14ac:dyDescent="0.25">
      <c r="A40" s="18"/>
      <c r="B40" s="18"/>
      <c r="C40" s="18"/>
      <c r="D40" s="18"/>
      <c r="E40" s="23" t="s">
        <v>125</v>
      </c>
      <c r="F40" s="18"/>
    </row>
    <row r="41" spans="1:24" x14ac:dyDescent="0.25">
      <c r="A41" s="18"/>
      <c r="B41" s="18"/>
      <c r="C41" s="18"/>
      <c r="D41" s="18"/>
      <c r="F41" s="18"/>
      <c r="H41" s="23"/>
    </row>
    <row r="42" spans="1:24" x14ac:dyDescent="0.25">
      <c r="A42" s="40" t="s">
        <v>88</v>
      </c>
      <c r="B42" s="40"/>
    </row>
    <row r="43" spans="1:24" x14ac:dyDescent="0.25">
      <c r="A43" s="38" t="s">
        <v>8</v>
      </c>
      <c r="B43" s="38"/>
      <c r="C43" s="38" t="s">
        <v>16</v>
      </c>
      <c r="D43" s="38" t="s">
        <v>10</v>
      </c>
      <c r="E43" s="38" t="s">
        <v>84</v>
      </c>
      <c r="F43" s="38" t="s">
        <v>93</v>
      </c>
      <c r="G43" s="38" t="s">
        <v>85</v>
      </c>
      <c r="H43" s="38" t="s">
        <v>93</v>
      </c>
      <c r="I43" s="38" t="s">
        <v>11</v>
      </c>
      <c r="J43" s="38" t="s">
        <v>95</v>
      </c>
      <c r="K43" s="38" t="s">
        <v>12</v>
      </c>
      <c r="L43" s="38" t="s">
        <v>93</v>
      </c>
      <c r="M43" s="38" t="s">
        <v>13</v>
      </c>
      <c r="N43" s="38" t="s">
        <v>93</v>
      </c>
      <c r="O43" s="38" t="s">
        <v>14</v>
      </c>
      <c r="P43" s="38" t="s">
        <v>93</v>
      </c>
      <c r="Q43" s="38"/>
      <c r="R43" s="38"/>
      <c r="S43" s="38"/>
      <c r="T43" s="38"/>
      <c r="U43" s="38" t="s">
        <v>15</v>
      </c>
      <c r="V43" s="38" t="s">
        <v>93</v>
      </c>
      <c r="W43" s="38" t="s">
        <v>99</v>
      </c>
      <c r="X43" s="38" t="s">
        <v>93</v>
      </c>
    </row>
    <row r="44" spans="1:24" x14ac:dyDescent="0.25">
      <c r="A44" s="39" t="s">
        <v>128</v>
      </c>
      <c r="C44" s="39">
        <v>20200102</v>
      </c>
      <c r="D44" s="39" t="s">
        <v>91</v>
      </c>
      <c r="E44" s="39">
        <v>0.31</v>
      </c>
      <c r="F44" s="39" t="s">
        <v>94</v>
      </c>
      <c r="G44" s="39">
        <v>0.31</v>
      </c>
      <c r="H44" s="39" t="s">
        <v>94</v>
      </c>
      <c r="I44" s="39">
        <v>0.28999999999999998</v>
      </c>
      <c r="J44" s="39" t="s">
        <v>94</v>
      </c>
      <c r="K44" s="39">
        <v>4.41</v>
      </c>
      <c r="L44" s="39" t="s">
        <v>94</v>
      </c>
      <c r="M44" s="39">
        <v>0.35</v>
      </c>
      <c r="N44" s="39" t="s">
        <v>94</v>
      </c>
      <c r="O44" s="39">
        <v>0.95</v>
      </c>
      <c r="P44" s="39" t="s">
        <v>94</v>
      </c>
      <c r="U44" s="39">
        <v>1.1800000000000001E-3</v>
      </c>
      <c r="V44" s="39" t="s">
        <v>96</v>
      </c>
      <c r="W44" s="39">
        <v>9.3300000000000002E-4</v>
      </c>
      <c r="X44" s="39" t="s">
        <v>96</v>
      </c>
    </row>
    <row r="45" spans="1:24" x14ac:dyDescent="0.25">
      <c r="A45" s="39" t="s">
        <v>129</v>
      </c>
      <c r="C45" s="39">
        <v>20200401</v>
      </c>
      <c r="D45" s="39" t="s">
        <v>91</v>
      </c>
      <c r="E45" s="39">
        <v>5.3900000000000003E-2</v>
      </c>
      <c r="F45" s="39" t="s">
        <v>100</v>
      </c>
      <c r="G45" s="39">
        <v>0.14000000000000001</v>
      </c>
      <c r="H45" s="39" t="s">
        <v>92</v>
      </c>
      <c r="I45" s="39">
        <v>1.01</v>
      </c>
      <c r="J45" s="39" t="s">
        <v>97</v>
      </c>
      <c r="K45" s="39">
        <v>3.2</v>
      </c>
      <c r="L45" s="39" t="s">
        <v>97</v>
      </c>
      <c r="M45" s="39">
        <v>8.2000000000000003E-2</v>
      </c>
      <c r="N45" s="39" t="s">
        <v>97</v>
      </c>
      <c r="O45" s="39">
        <v>0.85</v>
      </c>
      <c r="P45" s="39" t="s">
        <v>97</v>
      </c>
      <c r="U45" s="39">
        <v>7.8899999999999993E-5</v>
      </c>
      <c r="V45" s="39" t="s">
        <v>98</v>
      </c>
      <c r="W45" s="39">
        <v>7.76E-4</v>
      </c>
      <c r="X45" s="39" t="s">
        <v>98</v>
      </c>
    </row>
    <row r="46" spans="1:24" x14ac:dyDescent="0.25">
      <c r="N46" s="50" t="s">
        <v>126</v>
      </c>
    </row>
  </sheetData>
  <sheetProtection algorithmName="SHA-512" hashValue="Wr8U6TUbfuuJxqr4ELVzo07MZLMGZph/G9j8lnHKfECB2hw4V41acgCNb3tpA2j/9/QCrk8tktyJLS4OR8dYlA==" saltValue="RsPFv/FM3GOOCF8hJ1Sb2g==" spinCount="100000" sheet="1"/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24</vt:i4>
      </vt:variant>
    </vt:vector>
  </HeadingPairs>
  <TitlesOfParts>
    <vt:vector size="30" baseType="lpstr">
      <vt:lpstr>Facility Information</vt:lpstr>
      <vt:lpstr>Facility Processes</vt:lpstr>
      <vt:lpstr>Permitted Diesel Engines</vt:lpstr>
      <vt:lpstr>Emission Calculations</vt:lpstr>
      <vt:lpstr>Facility Wide Emissions</vt:lpstr>
      <vt:lpstr>Emission Factors</vt:lpstr>
      <vt:lpstr>apptype</vt:lpstr>
      <vt:lpstr>aptype</vt:lpstr>
      <vt:lpstr>CHS</vt:lpstr>
      <vt:lpstr>Crushing</vt:lpstr>
      <vt:lpstr>Dryer</vt:lpstr>
      <vt:lpstr>Employ</vt:lpstr>
      <vt:lpstr>Fuel</vt:lpstr>
      <vt:lpstr>FuelTypes</vt:lpstr>
      <vt:lpstr>Gen</vt:lpstr>
      <vt:lpstr>Generator</vt:lpstr>
      <vt:lpstr>Load</vt:lpstr>
      <vt:lpstr>Loading</vt:lpstr>
      <vt:lpstr>NoEmploy</vt:lpstr>
      <vt:lpstr>Plant</vt:lpstr>
      <vt:lpstr>Plants</vt:lpstr>
      <vt:lpstr>'Facility Processes'!Print_Area</vt:lpstr>
      <vt:lpstr>Processes</vt:lpstr>
      <vt:lpstr>Receive</vt:lpstr>
      <vt:lpstr>RoadCon</vt:lpstr>
      <vt:lpstr>Submit</vt:lpstr>
      <vt:lpstr>Type</vt:lpstr>
      <vt:lpstr>yesnno</vt:lpstr>
      <vt:lpstr>YesNO</vt:lpstr>
      <vt:lpstr>yn</vt:lpstr>
    </vt:vector>
  </TitlesOfParts>
  <Company>IWRC University of Northern Iowa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Wittenburg</dc:creator>
  <cp:lastModifiedBy>Page, Nick [DNR]</cp:lastModifiedBy>
  <cp:lastPrinted>2016-02-02T18:36:35Z</cp:lastPrinted>
  <dcterms:created xsi:type="dcterms:W3CDTF">2011-11-02T19:41:52Z</dcterms:created>
  <dcterms:modified xsi:type="dcterms:W3CDTF">2025-01-21T20:07:06Z</dcterms:modified>
</cp:coreProperties>
</file>