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codeName="{3D1A710C-6663-3D7B-7F91-EC182F24A4BC}"/>
  <workbookPr codeName="ThisWorkbook"/>
  <mc:AlternateContent xmlns:mc="http://schemas.openxmlformats.org/markup-compatibility/2006">
    <mc:Choice Requires="x15">
      <x15ac:absPath xmlns:x15ac="http://schemas.microsoft.com/office/spreadsheetml/2010/11/ac" url="G:\My Drive\IAEAP\MSEI\Calculators\2022 Calculators\"/>
    </mc:Choice>
  </mc:AlternateContent>
  <xr:revisionPtr revIDLastSave="0" documentId="13_ncr:1_{10205E16-6AF2-4BC6-BFEE-7CCC106E588D}" xr6:coauthVersionLast="36" xr6:coauthVersionMax="36" xr10:uidLastSave="{00000000-0000-0000-0000-000000000000}"/>
  <bookViews>
    <workbookView xWindow="0" yWindow="0" windowWidth="28800" windowHeight="9960" tabRatio="804" xr2:uid="{00000000-000D-0000-FFFF-FFFF00000000}"/>
  </bookViews>
  <sheets>
    <sheet name="Facility Information" sheetId="1" r:id="rId1"/>
    <sheet name="Limestone Plant (LP-1)" sheetId="8" r:id="rId2"/>
    <sheet name="Limestone Plant (LP-2)" sheetId="10" state="hidden" r:id="rId3"/>
    <sheet name="Limestone Plant (LP-3)" sheetId="11" state="hidden" r:id="rId4"/>
    <sheet name="Limestone Plant (LP-4)" sheetId="12" state="hidden" r:id="rId5"/>
    <sheet name="Limestone Plant (LP-5)" sheetId="13" state="hidden" r:id="rId6"/>
    <sheet name="Limestone Plant (LP-6)" sheetId="14" state="hidden" r:id="rId7"/>
    <sheet name="Limestone Plant (LP-7)" sheetId="15" state="hidden" r:id="rId8"/>
    <sheet name="Limestone Plant (LP-8)" sheetId="16" state="hidden" r:id="rId9"/>
    <sheet name="Limestone Plant (LP-9)" sheetId="17" state="hidden" r:id="rId10"/>
    <sheet name="Limestone Plant (LP-10)" sheetId="18" state="hidden" r:id="rId11"/>
    <sheet name="Haul Roads" sheetId="9" r:id="rId12"/>
    <sheet name="Permitted Diesel Engines" sheetId="7" r:id="rId13"/>
    <sheet name="Emission Calculations" sheetId="4" r:id="rId14"/>
    <sheet name="Facility Wide Emissions" sheetId="5" r:id="rId15"/>
    <sheet name="Emission Factors" sheetId="6" r:id="rId16"/>
  </sheets>
  <externalReferences>
    <externalReference r:id="rId17"/>
  </externalReferences>
  <definedNames>
    <definedName name="apptype">'Facility Information'!#REF!</definedName>
    <definedName name="aptype">'Facility Information'!#REF!</definedName>
    <definedName name="CHECK" localSheetId="10">'Limestone Plant (LP-10)'!$A$21:$A$22</definedName>
    <definedName name="CHECK" localSheetId="2">'Limestone Plant (LP-2)'!$A$20:$A$21</definedName>
    <definedName name="CHECK" localSheetId="3">'Limestone Plant (LP-3)'!$A$21:$A$22</definedName>
    <definedName name="CHECK" localSheetId="4">'Limestone Plant (LP-4)'!$A$21:$A$22</definedName>
    <definedName name="CHECK" localSheetId="5">'Limestone Plant (LP-5)'!$A$21:$A$22</definedName>
    <definedName name="CHECK" localSheetId="6">'Limestone Plant (LP-6)'!$A$21:$A$22</definedName>
    <definedName name="CHECK" localSheetId="7">'Limestone Plant (LP-7)'!$A$21:$A$22</definedName>
    <definedName name="CHECK" localSheetId="8">'Limestone Plant (LP-8)'!$A$21:$A$22</definedName>
    <definedName name="CHECK" localSheetId="9">'Limestone Plant (LP-9)'!$A$21:$A$22</definedName>
    <definedName name="CHECK">'Limestone Plant (LP-1)'!$A$21:$A$22</definedName>
    <definedName name="CHS">#REF!</definedName>
    <definedName name="CHSCon" localSheetId="10">#REF!</definedName>
    <definedName name="CHSCon" localSheetId="2">#REF!</definedName>
    <definedName name="CHSCon" localSheetId="3">#REF!</definedName>
    <definedName name="CHSCon" localSheetId="4">#REF!</definedName>
    <definedName name="CHSCon" localSheetId="5">#REF!</definedName>
    <definedName name="CHSCon" localSheetId="6">#REF!</definedName>
    <definedName name="CHSCon" localSheetId="7">#REF!</definedName>
    <definedName name="CHSCon" localSheetId="8">#REF!</definedName>
    <definedName name="CHSCon" localSheetId="9">#REF!</definedName>
    <definedName name="CHSCon">#REF!</definedName>
    <definedName name="CHSControl">#REF!</definedName>
    <definedName name="CleanHandleStore">#REF!</definedName>
    <definedName name="Combust" localSheetId="10">#REF!</definedName>
    <definedName name="Combust" localSheetId="2">#REF!</definedName>
    <definedName name="Combust" localSheetId="3">#REF!</definedName>
    <definedName name="Combust" localSheetId="4">#REF!</definedName>
    <definedName name="Combust" localSheetId="5">#REF!</definedName>
    <definedName name="Combust" localSheetId="6">#REF!</definedName>
    <definedName name="Combust" localSheetId="7">#REF!</definedName>
    <definedName name="Combust" localSheetId="8">#REF!</definedName>
    <definedName name="Combust" localSheetId="9">#REF!</definedName>
    <definedName name="Combust">#REF!</definedName>
    <definedName name="Combustion">#REF!</definedName>
    <definedName name="control">'Haul Roads'!$A$12:$A$13</definedName>
    <definedName name="Crushing">#REF!</definedName>
    <definedName name="Dryer">#REF!</definedName>
    <definedName name="Drying">#REF!</definedName>
    <definedName name="DynPrint1" localSheetId="1">OFFSET('Limestone Plant (LP-1)'!$B$1,0,0,SUM('Limestone Plant (LP-1)'!$E$4:$E$4*15)+18,9)</definedName>
    <definedName name="DynPrint10" localSheetId="10">OFFSET('Limestone Plant (LP-10)'!$B$1,0,0,SUM('Limestone Plant (LP-10)'!$E$4:$E$4*15,18),9)</definedName>
    <definedName name="DynPrint2" localSheetId="2">OFFSET('Limestone Plant (LP-2)'!$B$1,0,0,SUM('Limestone Plant (LP-2)'!$E$4:$E$4*15)+18,9)</definedName>
    <definedName name="DynPrint3" localSheetId="3">OFFSET('Limestone Plant (LP-3)'!$B$1,0,0,SUM('Limestone Plant (LP-3)'!$E$4:$E$4*15)+18,9)</definedName>
    <definedName name="DynPrint4" localSheetId="4">OFFSET('Limestone Plant (LP-4)'!$B$1,0,0,SUM('Limestone Plant (LP-4)'!$E$4:$E$4*15)+18,9)</definedName>
    <definedName name="DynPrint5" localSheetId="5">OFFSET('Limestone Plant (LP-5)'!$B$1,0,0,SUM('Limestone Plant (LP-5)'!$E$4:$E$4*15)+18,9)</definedName>
    <definedName name="DynPrint6" localSheetId="6">OFFSET('Limestone Plant (LP-6)'!$B$1,0,0,SUM('Limestone Plant (LP-6)'!$E$4:$E$4*15)+18,9)</definedName>
    <definedName name="DynPrint7" localSheetId="7">OFFSET('Limestone Plant (LP-7)'!$B$1,0,0,SUM('Limestone Plant (LP-7)'!$E$4:$E$4*15)+18,9)</definedName>
    <definedName name="DynPrint8" localSheetId="8">OFFSET('Limestone Plant (LP-8)'!$B$1,0,0,SUM('Limestone Plant (LP-8)'!$E$4:$E$4*15,18),9)</definedName>
    <definedName name="DynPrint9" localSheetId="9">OFFSET('Limestone Plant (LP-9)'!$B$1,0,0,SUM('Limestone Plant (LP-9)'!$E$4:$E$4*15,18),9)</definedName>
    <definedName name="Employ" localSheetId="10">'Facility Information'!#REF!</definedName>
    <definedName name="Employ" localSheetId="2">'Facility Information'!#REF!</definedName>
    <definedName name="Employ" localSheetId="3">'Facility Information'!#REF!</definedName>
    <definedName name="Employ" localSheetId="4">'Facility Information'!#REF!</definedName>
    <definedName name="Employ" localSheetId="5">'Facility Information'!#REF!</definedName>
    <definedName name="Employ" localSheetId="6">'Facility Information'!#REF!</definedName>
    <definedName name="Employ" localSheetId="7">'Facility Information'!#REF!</definedName>
    <definedName name="Employ" localSheetId="8">'Facility Information'!#REF!</definedName>
    <definedName name="Employ" localSheetId="9">'Facility Information'!#REF!</definedName>
    <definedName name="Employ">'Facility Information'!#REF!</definedName>
    <definedName name="Gen">'Permitted Diesel Engines'!$U$6:$U$7</definedName>
    <definedName name="Generator">#REF!</definedName>
    <definedName name="Load">#REF!</definedName>
    <definedName name="LoadCon" localSheetId="10">#REF!</definedName>
    <definedName name="LoadCon" localSheetId="2">#REF!</definedName>
    <definedName name="LoadCon" localSheetId="3">#REF!</definedName>
    <definedName name="LoadCon" localSheetId="4">#REF!</definedName>
    <definedName name="LoadCon" localSheetId="5">#REF!</definedName>
    <definedName name="LoadCon" localSheetId="6">#REF!</definedName>
    <definedName name="LoadCon" localSheetId="7">#REF!</definedName>
    <definedName name="LoadCon" localSheetId="8">#REF!</definedName>
    <definedName name="LoadCon" localSheetId="9">#REF!</definedName>
    <definedName name="LoadCon">#REF!</definedName>
    <definedName name="Loading">#REF!</definedName>
    <definedName name="Loadout">#REF!</definedName>
    <definedName name="LoadoutControl">#REF!</definedName>
    <definedName name="LP_1">OFFSET('Haul Roads'!$A$15,0,0,MATCH("x",'Haul Roads'!$A$15:$A$24,-1),1)</definedName>
    <definedName name="NoEmploy">'Facility Information'!$K$13:$K$14</definedName>
    <definedName name="plantnames1">OFFSET('Permitted Diesel Engines'!$A$10,0,0,MATCH("*",'Permitted Diesel Engines'!$A$10:$A$19,-1),1)</definedName>
    <definedName name="PlantNumber">OFFSET('Haul Roads'!$A$15,0,0,MATCH("*",'Haul Roads'!$A$15:$A$24,-1),1)</definedName>
    <definedName name="plantnumbers">OFFSET('Haul Roads'!$A$15,0,0,MATCH("*",'Haul Roads'!$A$15:$A$24,-1),1)</definedName>
    <definedName name="_xlnm.Print_Area" localSheetId="13">'Emission Calculations'!$A$1:$M$35,'Emission Calculations'!$A$39:$M$62</definedName>
    <definedName name="_xlnm.Print_Area" localSheetId="0">'Facility Information'!$B$1:$H$21</definedName>
    <definedName name="_xlnm.Print_Area" localSheetId="14">'Facility Wide Emissions'!$A$1:$L$69,'Facility Wide Emissions'!$A$84:$L$147</definedName>
    <definedName name="_xlnm.Print_Area" localSheetId="11">'Haul Roads'!$B$1:$O$50,'Haul Roads'!$P$1:$AO$38</definedName>
    <definedName name="_xlnm.Print_Area" localSheetId="1">'Limestone Plant (LP-1)'!DynPrint1,'Limestone Plant (LP-1)'!$M$1:$S$40</definedName>
    <definedName name="_xlnm.Print_Area" localSheetId="10">'Limestone Plant (LP-10)'!DynPrint10,'Limestone Plant (LP-10)'!$M$1:$S$39</definedName>
    <definedName name="_xlnm.Print_Area" localSheetId="2">'Limestone Plant (LP-2)'!DynPrint2,'Limestone Plant (LP-2)'!$M$1:$S$40</definedName>
    <definedName name="_xlnm.Print_Area" localSheetId="3">'Limestone Plant (LP-3)'!DynPrint3,'Limestone Plant (LP-3)'!$M$1:$S$40</definedName>
    <definedName name="_xlnm.Print_Area" localSheetId="4">'Limestone Plant (LP-4)'!DynPrint4,'Limestone Plant (LP-4)'!$M$1:$S$40</definedName>
    <definedName name="_xlnm.Print_Area" localSheetId="5">'Limestone Plant (LP-5)'!DynPrint5,'Limestone Plant (LP-5)'!$M$1:$S$40</definedName>
    <definedName name="_xlnm.Print_Area" localSheetId="6">'Limestone Plant (LP-6)'!DynPrint6,'Limestone Plant (LP-6)'!$M$1:$S$39</definedName>
    <definedName name="_xlnm.Print_Area" localSheetId="7">'Limestone Plant (LP-7)'!DynPrint7,'Limestone Plant (LP-7)'!$M$1:$S$39</definedName>
    <definedName name="_xlnm.Print_Area" localSheetId="8">'Limestone Plant (LP-8)'!DynPrint8,'Limestone Plant (LP-8)'!$M$1:$S$39</definedName>
    <definedName name="_xlnm.Print_Area" localSheetId="9">'Limestone Plant (LP-9)'!DynPrint9,'Limestone Plant (LP-9)'!$M$1:$S$39</definedName>
    <definedName name="_xlnm.Print_Area" localSheetId="12">'Permitted Diesel Engines'!$C$1:$T$51,'Permitted Diesel Engines'!$X$4:$BC$63</definedName>
    <definedName name="process" localSheetId="10">'Limestone Plant (LP-10)'!$A$24:$A$31</definedName>
    <definedName name="process" localSheetId="2">'Limestone Plant (LP-2)'!$A$23:$A$30</definedName>
    <definedName name="process" localSheetId="3">'Limestone Plant (LP-3)'!$A$24:$A$31</definedName>
    <definedName name="process" localSheetId="4">'Limestone Plant (LP-4)'!$A$24:$A$31</definedName>
    <definedName name="process" localSheetId="5">'Limestone Plant (LP-5)'!$A$24:$A$31</definedName>
    <definedName name="process" localSheetId="6">'Limestone Plant (LP-6)'!$A$24:$A$31</definedName>
    <definedName name="process" localSheetId="7">'Limestone Plant (LP-7)'!$A$24:$A$31</definedName>
    <definedName name="process" localSheetId="8">'Limestone Plant (LP-8)'!$A$24:$A$31</definedName>
    <definedName name="process" localSheetId="9">'Limestone Plant (LP-9)'!$A$24:$A$31</definedName>
    <definedName name="process">'Limestone Plant (LP-1)'!$A$24:$A$31</definedName>
    <definedName name="Receive">#REF!</definedName>
    <definedName name="ReceiveCon" localSheetId="10">#REF!</definedName>
    <definedName name="ReceiveCon" localSheetId="2">#REF!</definedName>
    <definedName name="ReceiveCon" localSheetId="3">#REF!</definedName>
    <definedName name="ReceiveCon" localSheetId="4">#REF!</definedName>
    <definedName name="ReceiveCon" localSheetId="5">#REF!</definedName>
    <definedName name="ReceiveCon" localSheetId="6">#REF!</definedName>
    <definedName name="ReceiveCon" localSheetId="7">#REF!</definedName>
    <definedName name="ReceiveCon" localSheetId="8">#REF!</definedName>
    <definedName name="ReceiveCon" localSheetId="9">#REF!</definedName>
    <definedName name="ReceiveCon">#REF!</definedName>
    <definedName name="ReceiveControl">#REF!</definedName>
    <definedName name="Receiving">#REF!</definedName>
    <definedName name="RoadCon">#REF!</definedName>
    <definedName name="RoadType">'Haul Roads'!$A$9:$A$10</definedName>
    <definedName name="stack">'Permitted Diesel Engines'!$A$62:$A$65</definedName>
    <definedName name="Submit">'Facility Information'!$K$9:$K$10</definedName>
    <definedName name="YesNO">#REF!</definedName>
    <definedName name="yn" localSheetId="10">'Facility Information'!#REF!</definedName>
    <definedName name="yn" localSheetId="2">'Facility Information'!#REF!</definedName>
    <definedName name="yn" localSheetId="3">'Facility Information'!#REF!</definedName>
    <definedName name="yn" localSheetId="4">'Facility Information'!#REF!</definedName>
    <definedName name="yn" localSheetId="5">'Facility Information'!#REF!</definedName>
    <definedName name="yn" localSheetId="6">'Facility Information'!#REF!</definedName>
    <definedName name="yn" localSheetId="7">'Facility Information'!#REF!</definedName>
    <definedName name="yn" localSheetId="8">'Facility Information'!#REF!</definedName>
    <definedName name="yn" localSheetId="9">'Facility Information'!#REF!</definedName>
    <definedName name="yn">'Facility Information'!#REF!</definedName>
  </definedNames>
  <calcPr calcId="191029"/>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K158" i="18" l="1"/>
  <c r="K159" i="18"/>
  <c r="K160" i="18"/>
  <c r="K161" i="18"/>
  <c r="K162" i="18"/>
  <c r="K163" i="18"/>
  <c r="K164" i="18"/>
  <c r="K157" i="18"/>
  <c r="J158" i="18"/>
  <c r="J159" i="18"/>
  <c r="J160" i="18"/>
  <c r="J161" i="18"/>
  <c r="J162" i="18"/>
  <c r="J163" i="18"/>
  <c r="J164" i="18"/>
  <c r="K158" i="17"/>
  <c r="K159" i="17"/>
  <c r="K160" i="17"/>
  <c r="K161" i="17"/>
  <c r="K162" i="17"/>
  <c r="K163" i="17"/>
  <c r="K164" i="17"/>
  <c r="K157" i="17"/>
  <c r="J158" i="17"/>
  <c r="J159" i="17"/>
  <c r="J160" i="17"/>
  <c r="J161" i="17"/>
  <c r="J162" i="17"/>
  <c r="J163" i="17"/>
  <c r="J164" i="17"/>
  <c r="K158" i="16"/>
  <c r="K159" i="16"/>
  <c r="K160" i="16"/>
  <c r="K161" i="16"/>
  <c r="K162" i="16"/>
  <c r="K163" i="16"/>
  <c r="K164" i="16"/>
  <c r="K157" i="16"/>
  <c r="J158" i="16"/>
  <c r="J159" i="16"/>
  <c r="J160" i="16"/>
  <c r="J161" i="16"/>
  <c r="J162" i="16"/>
  <c r="J163" i="16"/>
  <c r="J164" i="16"/>
  <c r="K158" i="15"/>
  <c r="K159" i="15"/>
  <c r="K160" i="15"/>
  <c r="K161" i="15"/>
  <c r="K162" i="15"/>
  <c r="K163" i="15"/>
  <c r="K164" i="15"/>
  <c r="K157" i="15"/>
  <c r="J158" i="15"/>
  <c r="J159" i="15"/>
  <c r="J160" i="15"/>
  <c r="J161" i="15"/>
  <c r="J162" i="15"/>
  <c r="J163" i="15"/>
  <c r="J164" i="15"/>
  <c r="K158" i="14"/>
  <c r="K159" i="14"/>
  <c r="K160" i="14"/>
  <c r="K161" i="14"/>
  <c r="K162" i="14"/>
  <c r="K163" i="14"/>
  <c r="K164" i="14"/>
  <c r="K157" i="14"/>
  <c r="J158" i="14"/>
  <c r="J159" i="14"/>
  <c r="J160" i="14"/>
  <c r="J161" i="14"/>
  <c r="J162" i="14"/>
  <c r="J163" i="14"/>
  <c r="J164" i="14"/>
  <c r="K158" i="13"/>
  <c r="K159" i="13"/>
  <c r="K160" i="13"/>
  <c r="K161" i="13"/>
  <c r="K162" i="13"/>
  <c r="K163" i="13"/>
  <c r="K164" i="13"/>
  <c r="K157" i="13"/>
  <c r="J157" i="13"/>
  <c r="J158" i="13"/>
  <c r="J159" i="13"/>
  <c r="J160" i="13"/>
  <c r="J161" i="13"/>
  <c r="J162" i="13"/>
  <c r="J163" i="13"/>
  <c r="J164" i="13"/>
  <c r="K158" i="12"/>
  <c r="K159" i="12"/>
  <c r="K160" i="12"/>
  <c r="K161" i="12"/>
  <c r="K162" i="12"/>
  <c r="K163" i="12"/>
  <c r="K164" i="12"/>
  <c r="K157" i="12"/>
  <c r="J158" i="12"/>
  <c r="J159" i="12"/>
  <c r="J160" i="12"/>
  <c r="J161" i="12"/>
  <c r="J162" i="12"/>
  <c r="J163" i="12"/>
  <c r="J164" i="12"/>
  <c r="K158" i="11"/>
  <c r="K159" i="11"/>
  <c r="K160" i="11"/>
  <c r="K161" i="11"/>
  <c r="K162" i="11"/>
  <c r="K163" i="11"/>
  <c r="K164" i="11"/>
  <c r="K157" i="11"/>
  <c r="J158" i="11"/>
  <c r="J159" i="11"/>
  <c r="J160" i="11"/>
  <c r="J161" i="11"/>
  <c r="J162" i="11"/>
  <c r="J163" i="11"/>
  <c r="J164" i="11"/>
  <c r="K158" i="10"/>
  <c r="K159" i="10"/>
  <c r="K160" i="10"/>
  <c r="K161" i="10"/>
  <c r="K162" i="10"/>
  <c r="K163" i="10"/>
  <c r="K164" i="10"/>
  <c r="K157" i="10"/>
  <c r="J158" i="10"/>
  <c r="J159" i="10"/>
  <c r="J160" i="10"/>
  <c r="J161" i="10"/>
  <c r="J162" i="10"/>
  <c r="J163" i="10"/>
  <c r="J164" i="10"/>
  <c r="S12" i="8" l="1"/>
  <c r="S11" i="8"/>
  <c r="S10" i="8"/>
  <c r="S9" i="8"/>
  <c r="S8" i="8"/>
  <c r="S7" i="8"/>
  <c r="S6" i="8"/>
  <c r="S5" i="8"/>
  <c r="O12" i="8"/>
  <c r="O11" i="8"/>
  <c r="O10" i="8"/>
  <c r="O9" i="8"/>
  <c r="O8" i="8"/>
  <c r="O7" i="8"/>
  <c r="O6" i="8"/>
  <c r="O5" i="8"/>
  <c r="N12" i="8"/>
  <c r="N11" i="8"/>
  <c r="N10" i="8"/>
  <c r="N9" i="8"/>
  <c r="N8" i="8"/>
  <c r="N7" i="8"/>
  <c r="M10" i="9" l="1"/>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9" i="9"/>
  <c r="B141" i="17" l="1"/>
  <c r="C141" i="17"/>
  <c r="E141" i="17"/>
  <c r="F141" i="17"/>
  <c r="G141" i="17"/>
  <c r="H141" i="17"/>
  <c r="I141" i="17"/>
  <c r="O5" i="18"/>
  <c r="S10" i="18" l="1"/>
  <c r="S12" i="18"/>
  <c r="O12" i="18"/>
  <c r="N12" i="18"/>
  <c r="S11" i="18"/>
  <c r="O11" i="18"/>
  <c r="N11" i="18"/>
  <c r="O10" i="18"/>
  <c r="N10" i="18"/>
  <c r="S9" i="18"/>
  <c r="O9" i="18"/>
  <c r="N9" i="18"/>
  <c r="S8" i="18"/>
  <c r="O8" i="18"/>
  <c r="N8" i="18"/>
  <c r="S7" i="18"/>
  <c r="O7" i="18"/>
  <c r="N7" i="18"/>
  <c r="S6" i="18"/>
  <c r="O6" i="18"/>
  <c r="N6" i="18"/>
  <c r="S5" i="18"/>
  <c r="N5" i="18"/>
  <c r="N7" i="17"/>
  <c r="S12" i="17"/>
  <c r="O12" i="17"/>
  <c r="N12" i="17"/>
  <c r="S11" i="17"/>
  <c r="O11" i="17"/>
  <c r="N11" i="17"/>
  <c r="S10" i="17"/>
  <c r="O10" i="17"/>
  <c r="N10" i="17"/>
  <c r="S9" i="17"/>
  <c r="O9" i="17"/>
  <c r="N9" i="17"/>
  <c r="S8" i="17"/>
  <c r="O8" i="17"/>
  <c r="N8" i="17"/>
  <c r="S7" i="17"/>
  <c r="O7" i="17"/>
  <c r="S6" i="17"/>
  <c r="O6" i="17"/>
  <c r="N6" i="17"/>
  <c r="S5" i="17"/>
  <c r="O5" i="17"/>
  <c r="N5" i="17"/>
  <c r="O8" i="16"/>
  <c r="S12" i="16"/>
  <c r="O12" i="16"/>
  <c r="N12" i="16"/>
  <c r="S11" i="16"/>
  <c r="O11" i="16"/>
  <c r="N11" i="16"/>
  <c r="S10" i="16"/>
  <c r="O10" i="16"/>
  <c r="N10" i="16"/>
  <c r="S9" i="16"/>
  <c r="O9" i="16"/>
  <c r="N9" i="16"/>
  <c r="S8" i="16"/>
  <c r="N8" i="16"/>
  <c r="S7" i="16"/>
  <c r="O7" i="16"/>
  <c r="N7" i="16"/>
  <c r="S6" i="16"/>
  <c r="O6" i="16"/>
  <c r="N6" i="16"/>
  <c r="S5" i="16"/>
  <c r="O5" i="16"/>
  <c r="N5" i="16"/>
  <c r="O8" i="15"/>
  <c r="O9" i="15"/>
  <c r="S12" i="15"/>
  <c r="O12" i="15"/>
  <c r="N12" i="15"/>
  <c r="S11" i="15"/>
  <c r="O11" i="15"/>
  <c r="N11" i="15"/>
  <c r="S10" i="15"/>
  <c r="O10" i="15"/>
  <c r="N10" i="15"/>
  <c r="S9" i="15"/>
  <c r="N9" i="15"/>
  <c r="S8" i="15"/>
  <c r="N8" i="15"/>
  <c r="S7" i="15"/>
  <c r="O7" i="15"/>
  <c r="N7" i="15"/>
  <c r="S6" i="15"/>
  <c r="O6" i="15"/>
  <c r="N6" i="15"/>
  <c r="S5" i="15"/>
  <c r="O5" i="15"/>
  <c r="N5" i="15"/>
  <c r="N5" i="14"/>
  <c r="O9" i="14"/>
  <c r="S12" i="14"/>
  <c r="O12" i="14"/>
  <c r="N12" i="14"/>
  <c r="S11" i="14"/>
  <c r="O11" i="14"/>
  <c r="N11" i="14"/>
  <c r="S10" i="14"/>
  <c r="O10" i="14"/>
  <c r="N10" i="14"/>
  <c r="S9" i="14"/>
  <c r="N9" i="14"/>
  <c r="S8" i="14"/>
  <c r="O8" i="14"/>
  <c r="N8" i="14"/>
  <c r="S7" i="14"/>
  <c r="O7" i="14"/>
  <c r="N7" i="14"/>
  <c r="S6" i="14"/>
  <c r="O6" i="14"/>
  <c r="N6" i="14"/>
  <c r="S5" i="14"/>
  <c r="O5" i="14"/>
  <c r="O5" i="13"/>
  <c r="S5" i="13"/>
  <c r="S12" i="13"/>
  <c r="O12" i="13"/>
  <c r="N12" i="13"/>
  <c r="S10" i="13"/>
  <c r="O10" i="13"/>
  <c r="N10" i="13"/>
  <c r="S9" i="13"/>
  <c r="O9" i="13"/>
  <c r="N9" i="13"/>
  <c r="S8" i="13"/>
  <c r="O8" i="13"/>
  <c r="N8" i="13"/>
  <c r="S7" i="13"/>
  <c r="O7" i="13"/>
  <c r="N7" i="13"/>
  <c r="S6" i="13"/>
  <c r="O6" i="13"/>
  <c r="N6" i="13"/>
  <c r="S11" i="13"/>
  <c r="O11" i="13"/>
  <c r="N11" i="13"/>
  <c r="N5" i="13"/>
  <c r="S11" i="12"/>
  <c r="O11" i="12"/>
  <c r="N11" i="12"/>
  <c r="S10" i="12"/>
  <c r="O10" i="12"/>
  <c r="N10" i="12"/>
  <c r="S9" i="12"/>
  <c r="O9" i="12"/>
  <c r="N9" i="12"/>
  <c r="S8" i="12"/>
  <c r="O8" i="12"/>
  <c r="N8" i="12"/>
  <c r="S7" i="12"/>
  <c r="O7" i="12"/>
  <c r="N7" i="12"/>
  <c r="S6" i="12"/>
  <c r="O6" i="12"/>
  <c r="N6" i="12"/>
  <c r="S12" i="12"/>
  <c r="O12" i="12"/>
  <c r="N12" i="12"/>
  <c r="S5" i="12"/>
  <c r="O5" i="12"/>
  <c r="N5" i="12"/>
  <c r="S12" i="11"/>
  <c r="O12" i="11"/>
  <c r="S11" i="11"/>
  <c r="O11" i="11"/>
  <c r="S10" i="11"/>
  <c r="O10" i="11"/>
  <c r="S9" i="11"/>
  <c r="O9" i="11"/>
  <c r="S8" i="11"/>
  <c r="O8" i="11"/>
  <c r="S7" i="11"/>
  <c r="O7" i="11"/>
  <c r="S6" i="11"/>
  <c r="O6" i="11"/>
  <c r="S5" i="11"/>
  <c r="O5" i="11"/>
  <c r="N12" i="11"/>
  <c r="N11" i="11"/>
  <c r="N10" i="11"/>
  <c r="N9" i="11"/>
  <c r="N8" i="11"/>
  <c r="N7" i="11"/>
  <c r="N6" i="11"/>
  <c r="N5" i="11"/>
  <c r="S10" i="10"/>
  <c r="S9" i="10"/>
  <c r="S8" i="10"/>
  <c r="S7" i="10"/>
  <c r="S6" i="10"/>
  <c r="S11" i="10"/>
  <c r="S12" i="10"/>
  <c r="S5" i="10"/>
  <c r="O12" i="10"/>
  <c r="O11" i="10"/>
  <c r="O10" i="10"/>
  <c r="O9" i="10"/>
  <c r="O8" i="10"/>
  <c r="O7" i="10"/>
  <c r="O6" i="10"/>
  <c r="O5" i="10"/>
  <c r="N12" i="10"/>
  <c r="N11" i="10"/>
  <c r="N10" i="10"/>
  <c r="N9" i="10"/>
  <c r="N8" i="10"/>
  <c r="N7" i="10"/>
  <c r="N6" i="10"/>
  <c r="N5" i="10"/>
  <c r="P20" i="10"/>
  <c r="N6" i="8"/>
  <c r="N5" i="8"/>
  <c r="B56" i="18" l="1"/>
  <c r="B55" i="18"/>
  <c r="B54" i="18"/>
  <c r="B72" i="18"/>
  <c r="B71" i="18"/>
  <c r="B70" i="18"/>
  <c r="B87" i="18"/>
  <c r="B86" i="18"/>
  <c r="B85" i="18"/>
  <c r="B102" i="18"/>
  <c r="B101" i="18"/>
  <c r="B100" i="18"/>
  <c r="B117" i="18"/>
  <c r="B116" i="18"/>
  <c r="B115" i="18"/>
  <c r="B132" i="18"/>
  <c r="B131" i="18"/>
  <c r="B130" i="18"/>
  <c r="B148" i="18"/>
  <c r="B147" i="18"/>
  <c r="B146" i="18"/>
  <c r="B162" i="18"/>
  <c r="B161" i="18"/>
  <c r="B160" i="18"/>
  <c r="B57" i="17"/>
  <c r="B56" i="17"/>
  <c r="B55" i="17"/>
  <c r="B72" i="17"/>
  <c r="B71" i="17"/>
  <c r="B70" i="17"/>
  <c r="B87" i="17"/>
  <c r="B86" i="17"/>
  <c r="B85" i="17"/>
  <c r="B102" i="17"/>
  <c r="B101" i="17"/>
  <c r="B100" i="17"/>
  <c r="B117" i="17"/>
  <c r="B116" i="17"/>
  <c r="B115" i="17"/>
  <c r="B132" i="17"/>
  <c r="B131" i="17"/>
  <c r="B130" i="17"/>
  <c r="B147" i="17"/>
  <c r="B146" i="17"/>
  <c r="B145" i="17"/>
  <c r="B162" i="17"/>
  <c r="B161" i="17"/>
  <c r="B160" i="17"/>
  <c r="B57" i="16"/>
  <c r="B56" i="16"/>
  <c r="B55" i="16"/>
  <c r="B72" i="16"/>
  <c r="B71" i="16"/>
  <c r="B70" i="16"/>
  <c r="B87" i="16"/>
  <c r="B86" i="16"/>
  <c r="B85" i="16"/>
  <c r="B102" i="16"/>
  <c r="B101" i="16"/>
  <c r="B100" i="16"/>
  <c r="B117" i="16"/>
  <c r="B116" i="16"/>
  <c r="B115" i="16"/>
  <c r="B132" i="16"/>
  <c r="B131" i="16"/>
  <c r="B130" i="16"/>
  <c r="B147" i="16"/>
  <c r="B146" i="16"/>
  <c r="B145" i="16"/>
  <c r="B162" i="16"/>
  <c r="B161" i="16"/>
  <c r="B160" i="16"/>
  <c r="B57" i="15"/>
  <c r="B56" i="15"/>
  <c r="B55" i="15"/>
  <c r="B72" i="15"/>
  <c r="B71" i="15"/>
  <c r="B70" i="15"/>
  <c r="B87" i="15"/>
  <c r="B86" i="15"/>
  <c r="B85" i="15"/>
  <c r="B102" i="15"/>
  <c r="B101" i="15"/>
  <c r="B100" i="15"/>
  <c r="B117" i="15"/>
  <c r="B116" i="15"/>
  <c r="B115" i="15"/>
  <c r="B132" i="15"/>
  <c r="B131" i="15"/>
  <c r="B130" i="15"/>
  <c r="B147" i="15"/>
  <c r="B146" i="15"/>
  <c r="B145" i="15"/>
  <c r="B162" i="15"/>
  <c r="B161" i="15"/>
  <c r="B160" i="15"/>
  <c r="B57" i="14"/>
  <c r="B56" i="14"/>
  <c r="B55" i="14"/>
  <c r="B72" i="14"/>
  <c r="B71" i="14"/>
  <c r="B70" i="14"/>
  <c r="B87" i="14"/>
  <c r="B86" i="14"/>
  <c r="B85" i="14"/>
  <c r="B102" i="14"/>
  <c r="B101" i="14"/>
  <c r="B100" i="14"/>
  <c r="B117" i="14"/>
  <c r="B116" i="14"/>
  <c r="B115" i="14"/>
  <c r="B132" i="14"/>
  <c r="B131" i="14"/>
  <c r="B130" i="14"/>
  <c r="B147" i="14"/>
  <c r="B146" i="14"/>
  <c r="B145" i="14"/>
  <c r="B162" i="14"/>
  <c r="B161" i="14"/>
  <c r="B160" i="14"/>
  <c r="E66" i="13"/>
  <c r="B57" i="13"/>
  <c r="B56" i="13"/>
  <c r="B55" i="13"/>
  <c r="B72" i="13"/>
  <c r="B71" i="13"/>
  <c r="B70" i="13"/>
  <c r="B87" i="13"/>
  <c r="B86" i="13"/>
  <c r="B85" i="13"/>
  <c r="B102" i="13"/>
  <c r="B101" i="13"/>
  <c r="B100" i="13"/>
  <c r="B117" i="13"/>
  <c r="B116" i="13"/>
  <c r="B115" i="13"/>
  <c r="B132" i="13"/>
  <c r="B131" i="13"/>
  <c r="B130" i="13"/>
  <c r="B146" i="13"/>
  <c r="B145" i="13"/>
  <c r="B147" i="13"/>
  <c r="B162" i="13"/>
  <c r="B161" i="13"/>
  <c r="B160" i="13"/>
  <c r="B41" i="14"/>
  <c r="B40" i="14"/>
  <c r="B39" i="14"/>
  <c r="B39" i="15"/>
  <c r="B41" i="15"/>
  <c r="B40" i="15"/>
  <c r="B41" i="16"/>
  <c r="B40" i="16"/>
  <c r="B39" i="16"/>
  <c r="B41" i="17"/>
  <c r="B40" i="17"/>
  <c r="B39" i="17"/>
  <c r="B41" i="18"/>
  <c r="B40" i="18"/>
  <c r="B39" i="18"/>
  <c r="B42" i="13"/>
  <c r="B41" i="13"/>
  <c r="B40" i="13"/>
  <c r="B162" i="12"/>
  <c r="B161" i="12"/>
  <c r="B160" i="12"/>
  <c r="B147" i="12"/>
  <c r="B146" i="12"/>
  <c r="B145" i="12"/>
  <c r="B132" i="12"/>
  <c r="B131" i="12"/>
  <c r="B130" i="12"/>
  <c r="B117" i="12"/>
  <c r="B116" i="12"/>
  <c r="B115" i="12"/>
  <c r="B102" i="12"/>
  <c r="B101" i="12"/>
  <c r="B100" i="12"/>
  <c r="B87" i="12"/>
  <c r="B86" i="12"/>
  <c r="B85" i="12"/>
  <c r="B72" i="12"/>
  <c r="B71" i="12"/>
  <c r="B70" i="12"/>
  <c r="B41" i="12"/>
  <c r="B40" i="12"/>
  <c r="B39" i="12"/>
  <c r="B57" i="12"/>
  <c r="B56" i="12"/>
  <c r="B55" i="12"/>
  <c r="A35" i="10"/>
  <c r="P36" i="10"/>
  <c r="I111" i="8" l="1"/>
  <c r="E35" i="8"/>
  <c r="F35" i="8"/>
  <c r="G35" i="8"/>
  <c r="H35" i="8"/>
  <c r="E50" i="8"/>
  <c r="F50" i="8"/>
  <c r="G50" i="8"/>
  <c r="H50" i="8"/>
  <c r="E65" i="8"/>
  <c r="F65" i="8"/>
  <c r="G65" i="8"/>
  <c r="H65" i="8"/>
  <c r="E96" i="8"/>
  <c r="F96" i="8"/>
  <c r="G96" i="8"/>
  <c r="H96" i="8"/>
  <c r="E126" i="8"/>
  <c r="F126" i="8"/>
  <c r="G126" i="8"/>
  <c r="H126" i="8"/>
  <c r="E156" i="8"/>
  <c r="F156" i="8"/>
  <c r="G156" i="8"/>
  <c r="H156" i="8"/>
  <c r="E34" i="10"/>
  <c r="F34" i="10"/>
  <c r="G34" i="10"/>
  <c r="H34" i="10"/>
  <c r="E50" i="10"/>
  <c r="F50" i="10"/>
  <c r="G50" i="10"/>
  <c r="H50" i="10"/>
  <c r="E65" i="10"/>
  <c r="F65" i="10"/>
  <c r="G65" i="10"/>
  <c r="H65" i="10"/>
  <c r="E96" i="10"/>
  <c r="F96" i="10"/>
  <c r="G96" i="10"/>
  <c r="H96" i="10"/>
  <c r="E126" i="10"/>
  <c r="F126" i="10"/>
  <c r="G126" i="10"/>
  <c r="H126" i="10"/>
  <c r="E156" i="10"/>
  <c r="F156" i="10"/>
  <c r="G156" i="10"/>
  <c r="H156" i="10"/>
  <c r="E35" i="11"/>
  <c r="F35" i="11"/>
  <c r="G35" i="11"/>
  <c r="H35" i="11"/>
  <c r="S6" i="7"/>
  <c r="B40" i="10"/>
  <c r="B39" i="10"/>
  <c r="B38" i="10"/>
  <c r="B37" i="10"/>
  <c r="B56" i="10"/>
  <c r="B55" i="10"/>
  <c r="B54" i="10"/>
  <c r="B53" i="10"/>
  <c r="B71" i="10"/>
  <c r="B70" i="10"/>
  <c r="B69" i="10"/>
  <c r="B68" i="10"/>
  <c r="B87" i="10"/>
  <c r="B86" i="10"/>
  <c r="B84" i="10"/>
  <c r="B85" i="10"/>
  <c r="B102" i="10"/>
  <c r="B101" i="10"/>
  <c r="B100" i="10"/>
  <c r="B99" i="10"/>
  <c r="B117" i="10"/>
  <c r="B116" i="10"/>
  <c r="B115" i="10"/>
  <c r="B114" i="10"/>
  <c r="B132" i="10"/>
  <c r="B131" i="10"/>
  <c r="B130" i="10"/>
  <c r="B129" i="10"/>
  <c r="B147" i="10"/>
  <c r="B146" i="10"/>
  <c r="B145" i="10"/>
  <c r="B144" i="10"/>
  <c r="B162" i="10"/>
  <c r="B161" i="10"/>
  <c r="B160" i="10"/>
  <c r="B159" i="10"/>
  <c r="B163" i="8"/>
  <c r="B162" i="8"/>
  <c r="B161" i="8"/>
  <c r="B160" i="8"/>
  <c r="B148" i="8"/>
  <c r="B147" i="8"/>
  <c r="B146" i="8"/>
  <c r="B145" i="8"/>
  <c r="B133" i="8"/>
  <c r="B132" i="8"/>
  <c r="B131" i="8"/>
  <c r="B130" i="8"/>
  <c r="B118" i="8"/>
  <c r="B117" i="8"/>
  <c r="B116" i="8"/>
  <c r="B115" i="8"/>
  <c r="B103" i="8"/>
  <c r="B102" i="8"/>
  <c r="B101" i="8"/>
  <c r="B100" i="8"/>
  <c r="B87" i="8"/>
  <c r="B86" i="8"/>
  <c r="B85" i="8"/>
  <c r="B84" i="8"/>
  <c r="B72" i="8"/>
  <c r="B71" i="8"/>
  <c r="B70" i="8"/>
  <c r="B69" i="8"/>
  <c r="B57" i="8"/>
  <c r="B56" i="8"/>
  <c r="B55" i="8"/>
  <c r="B54" i="8"/>
  <c r="B42" i="8"/>
  <c r="B41" i="8"/>
  <c r="B40" i="8"/>
  <c r="B39" i="8"/>
  <c r="B41" i="11"/>
  <c r="B40" i="11"/>
  <c r="B39" i="11"/>
  <c r="B162" i="11"/>
  <c r="B161" i="11"/>
  <c r="B160" i="11"/>
  <c r="B159" i="11"/>
  <c r="B147" i="11"/>
  <c r="B146" i="11"/>
  <c r="B145" i="11"/>
  <c r="B144" i="11"/>
  <c r="B132" i="11"/>
  <c r="B131" i="11"/>
  <c r="B130" i="11"/>
  <c r="B129" i="11"/>
  <c r="B117" i="11"/>
  <c r="B116" i="11"/>
  <c r="B115" i="11"/>
  <c r="B114" i="11"/>
  <c r="B57" i="11"/>
  <c r="B56" i="11"/>
  <c r="B55" i="11"/>
  <c r="B71" i="11"/>
  <c r="B70" i="11"/>
  <c r="B72" i="11"/>
  <c r="B102" i="11"/>
  <c r="B86" i="11"/>
  <c r="B85" i="11"/>
  <c r="B87" i="11"/>
  <c r="B101" i="11"/>
  <c r="B100" i="11"/>
  <c r="B99" i="11"/>
  <c r="B84" i="11"/>
  <c r="B54" i="11"/>
  <c r="B36" i="11"/>
  <c r="B38" i="11"/>
  <c r="X39" i="9" l="1"/>
  <c r="AE10" i="9"/>
  <c r="AE11" i="9"/>
  <c r="L47" i="9" s="1"/>
  <c r="AE12" i="9"/>
  <c r="AE13" i="9"/>
  <c r="V39" i="9" s="1"/>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9" i="9"/>
  <c r="AE39" i="9"/>
  <c r="AE40" i="9"/>
  <c r="Z39" i="9"/>
  <c r="M131" i="5"/>
  <c r="F131" i="5"/>
  <c r="M105" i="5"/>
  <c r="F105" i="5"/>
  <c r="M79" i="5"/>
  <c r="F79" i="5"/>
  <c r="M53" i="5"/>
  <c r="F53" i="5"/>
  <c r="M27" i="5"/>
  <c r="F27" i="5"/>
  <c r="K53" i="4"/>
  <c r="K52" i="4"/>
  <c r="K49" i="4"/>
  <c r="K48" i="4"/>
  <c r="K45" i="4"/>
  <c r="K44" i="4"/>
  <c r="F42" i="4"/>
  <c r="K41" i="4"/>
  <c r="K40" i="4"/>
  <c r="AN63" i="7"/>
  <c r="L146" i="5" s="1"/>
  <c r="AM63" i="7"/>
  <c r="L145" i="5" s="1"/>
  <c r="AJ63" i="7"/>
  <c r="L143" i="5" s="1"/>
  <c r="AI63" i="7"/>
  <c r="L142" i="5" s="1"/>
  <c r="AF63" i="7"/>
  <c r="L141" i="5" s="1"/>
  <c r="AE63" i="7"/>
  <c r="L140" i="5" s="1"/>
  <c r="AB63" i="7"/>
  <c r="AA63" i="7"/>
  <c r="AN62" i="7"/>
  <c r="E146" i="5" s="1"/>
  <c r="AM62" i="7"/>
  <c r="E145" i="5" s="1"/>
  <c r="AJ62" i="7"/>
  <c r="E143" i="5" s="1"/>
  <c r="AI62" i="7"/>
  <c r="E142" i="5" s="1"/>
  <c r="AF62" i="7"/>
  <c r="E141" i="5" s="1"/>
  <c r="AE62" i="7"/>
  <c r="E140" i="5" s="1"/>
  <c r="AB62" i="7"/>
  <c r="AA62" i="7"/>
  <c r="AN61" i="7"/>
  <c r="L120" i="5" s="1"/>
  <c r="AM61" i="7"/>
  <c r="L119" i="5" s="1"/>
  <c r="AJ61" i="7"/>
  <c r="L117" i="5" s="1"/>
  <c r="AI61" i="7"/>
  <c r="L116" i="5" s="1"/>
  <c r="AF61" i="7"/>
  <c r="L115" i="5" s="1"/>
  <c r="AE61" i="7"/>
  <c r="L114" i="5" s="1"/>
  <c r="AB61" i="7"/>
  <c r="AA61" i="7"/>
  <c r="AN60" i="7"/>
  <c r="E120" i="5" s="1"/>
  <c r="AM60" i="7"/>
  <c r="E119" i="5"/>
  <c r="AJ60" i="7"/>
  <c r="E117" i="5" s="1"/>
  <c r="AI60" i="7"/>
  <c r="E116" i="5" s="1"/>
  <c r="AF60" i="7"/>
  <c r="E115" i="5" s="1"/>
  <c r="AE60" i="7"/>
  <c r="E114" i="5" s="1"/>
  <c r="AB60" i="7"/>
  <c r="AA60" i="7"/>
  <c r="B60" i="7" a="1"/>
  <c r="B60" i="7" s="1"/>
  <c r="AN59" i="7"/>
  <c r="L94" i="5" s="1"/>
  <c r="AM59" i="7"/>
  <c r="L93" i="5" s="1"/>
  <c r="AJ59" i="7"/>
  <c r="L91" i="5" s="1"/>
  <c r="AI59" i="7"/>
  <c r="L90" i="5" s="1"/>
  <c r="AF59" i="7"/>
  <c r="L89" i="5"/>
  <c r="AE59" i="7"/>
  <c r="L88" i="5" s="1"/>
  <c r="AB59" i="7"/>
  <c r="AA59" i="7"/>
  <c r="B59" i="7" a="1"/>
  <c r="B59" i="7" s="1"/>
  <c r="AN58" i="7"/>
  <c r="E94" i="5" s="1"/>
  <c r="AM58" i="7"/>
  <c r="E93" i="5" s="1"/>
  <c r="E95" i="5" s="1"/>
  <c r="AJ58" i="7"/>
  <c r="E91" i="5" s="1"/>
  <c r="AI58" i="7"/>
  <c r="E90" i="5" s="1"/>
  <c r="AF58" i="7"/>
  <c r="E89" i="5" s="1"/>
  <c r="AE58" i="7"/>
  <c r="E88" i="5" s="1"/>
  <c r="AB58" i="7"/>
  <c r="AA58" i="7"/>
  <c r="B58" i="7" a="1"/>
  <c r="B58" i="7" s="1"/>
  <c r="AN57" i="7"/>
  <c r="L68" i="5" s="1"/>
  <c r="AM57" i="7"/>
  <c r="L67" i="5" s="1"/>
  <c r="AJ57" i="7"/>
  <c r="L65" i="5" s="1"/>
  <c r="AI57" i="7"/>
  <c r="L64" i="5" s="1"/>
  <c r="AF57" i="7"/>
  <c r="L63" i="5" s="1"/>
  <c r="AE57" i="7"/>
  <c r="L62" i="5" s="1"/>
  <c r="AB57" i="7"/>
  <c r="AA57" i="7"/>
  <c r="B57" i="7" a="1"/>
  <c r="B57" i="7" s="1"/>
  <c r="AN56" i="7"/>
  <c r="E68" i="5" s="1"/>
  <c r="AM56" i="7"/>
  <c r="E67" i="5" s="1"/>
  <c r="AJ56" i="7"/>
  <c r="E65" i="5" s="1"/>
  <c r="AI56" i="7"/>
  <c r="E64" i="5" s="1"/>
  <c r="AF56" i="7"/>
  <c r="E63" i="5" s="1"/>
  <c r="AE56" i="7"/>
  <c r="E62" i="5" s="1"/>
  <c r="AB56" i="7"/>
  <c r="AA56" i="7"/>
  <c r="B56" i="7" a="1"/>
  <c r="B56" i="7"/>
  <c r="AN55" i="7"/>
  <c r="L42" i="5" s="1"/>
  <c r="AM55" i="7"/>
  <c r="L41" i="5" s="1"/>
  <c r="AJ55" i="7"/>
  <c r="L39" i="5" s="1"/>
  <c r="AI55" i="7"/>
  <c r="L38" i="5" s="1"/>
  <c r="AF55" i="7"/>
  <c r="L37" i="5" s="1"/>
  <c r="AE55" i="7"/>
  <c r="L36" i="5" s="1"/>
  <c r="AB55" i="7"/>
  <c r="AA55" i="7"/>
  <c r="B55" i="7" a="1"/>
  <c r="B55" i="7" s="1"/>
  <c r="AN54" i="7"/>
  <c r="E42" i="5" s="1"/>
  <c r="AM54" i="7"/>
  <c r="E41" i="5" s="1"/>
  <c r="AJ54" i="7"/>
  <c r="E39" i="5" s="1"/>
  <c r="AI54" i="7"/>
  <c r="E38" i="5" s="1"/>
  <c r="AF54" i="7"/>
  <c r="E37" i="5" s="1"/>
  <c r="AE54" i="7"/>
  <c r="E36" i="5" s="1"/>
  <c r="AB54" i="7"/>
  <c r="AA54" i="7"/>
  <c r="B54" i="7" a="1"/>
  <c r="B54" i="7" s="1"/>
  <c r="B53" i="7" a="1"/>
  <c r="B53" i="7"/>
  <c r="B52" i="7" a="1"/>
  <c r="B52" i="7" s="1"/>
  <c r="B51" i="7" a="1"/>
  <c r="B51" i="7" s="1"/>
  <c r="BC49" i="7"/>
  <c r="BB49" i="7"/>
  <c r="BA49" i="7"/>
  <c r="AZ49" i="7"/>
  <c r="AY49" i="7"/>
  <c r="AX49" i="7"/>
  <c r="AW49" i="7"/>
  <c r="AV49" i="7"/>
  <c r="AT49" i="7"/>
  <c r="AS49" i="7"/>
  <c r="AR49" i="7"/>
  <c r="AQ49" i="7"/>
  <c r="AP49" i="7"/>
  <c r="AO49" i="7"/>
  <c r="AN49" i="7"/>
  <c r="AM49" i="7"/>
  <c r="AL49" i="7"/>
  <c r="AK49" i="7"/>
  <c r="AJ49" i="7"/>
  <c r="AI49" i="7"/>
  <c r="AH49" i="7"/>
  <c r="AG49" i="7"/>
  <c r="AF49" i="7"/>
  <c r="AE49" i="7"/>
  <c r="AD49" i="7"/>
  <c r="AC49" i="7"/>
  <c r="AB49" i="7"/>
  <c r="AA49" i="7"/>
  <c r="Z49" i="7"/>
  <c r="Y49" i="7"/>
  <c r="X49" i="7"/>
  <c r="W49" i="7"/>
  <c r="T49" i="7"/>
  <c r="R49" i="7"/>
  <c r="K49" i="7"/>
  <c r="B49" i="7"/>
  <c r="V49" i="7" s="1"/>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V48" i="7"/>
  <c r="T48" i="7"/>
  <c r="R48" i="7"/>
  <c r="B48"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T47" i="7"/>
  <c r="R47" i="7"/>
  <c r="B47" i="7"/>
  <c r="W47" i="7" s="1"/>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T46" i="7"/>
  <c r="R46" i="7"/>
  <c r="B46"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T45" i="7"/>
  <c r="R45" i="7"/>
  <c r="B45" i="7"/>
  <c r="W45" i="7" s="1"/>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T44" i="7"/>
  <c r="R44" i="7"/>
  <c r="B44" i="7"/>
  <c r="V44" i="7" s="1"/>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T43" i="7"/>
  <c r="R43" i="7"/>
  <c r="B43" i="7"/>
  <c r="W43" i="7" s="1"/>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T42" i="7"/>
  <c r="R42" i="7"/>
  <c r="B42"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T41" i="7"/>
  <c r="R41" i="7"/>
  <c r="B41" i="7"/>
  <c r="W41" i="7" s="1"/>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V40" i="7"/>
  <c r="T40" i="7"/>
  <c r="R40" i="7"/>
  <c r="B40" i="7"/>
  <c r="A40"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T39" i="7"/>
  <c r="R39" i="7"/>
  <c r="B39" i="7"/>
  <c r="V39" i="7" s="1"/>
  <c r="A39"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T38" i="7"/>
  <c r="R38" i="7"/>
  <c r="B38" i="7"/>
  <c r="W38" i="7" s="1"/>
  <c r="A38"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T37" i="7"/>
  <c r="R37" i="7"/>
  <c r="B37" i="7"/>
  <c r="W37" i="7" s="1"/>
  <c r="A37"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T36" i="7"/>
  <c r="R36" i="7"/>
  <c r="B36" i="7"/>
  <c r="V36" i="7" s="1"/>
  <c r="A36"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T35" i="7"/>
  <c r="R35" i="7"/>
  <c r="K35" i="7"/>
  <c r="B35" i="7"/>
  <c r="V35" i="7" s="1"/>
  <c r="A35"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T34" i="7"/>
  <c r="R34" i="7"/>
  <c r="B34" i="7"/>
  <c r="W34" i="7" s="1"/>
  <c r="A34"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T33" i="7"/>
  <c r="R33" i="7"/>
  <c r="B33" i="7"/>
  <c r="W33" i="7" s="1"/>
  <c r="A33"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T32" i="7"/>
  <c r="R32" i="7"/>
  <c r="B32" i="7"/>
  <c r="A32"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T31" i="7"/>
  <c r="R31" i="7"/>
  <c r="B31" i="7"/>
  <c r="V31" i="7" s="1"/>
  <c r="A31"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T30" i="7"/>
  <c r="R30" i="7"/>
  <c r="B30" i="7"/>
  <c r="V30" i="7" s="1"/>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T29" i="7"/>
  <c r="R29" i="7"/>
  <c r="B29" i="7"/>
  <c r="V29" i="7" s="1"/>
  <c r="BC28" i="7"/>
  <c r="BB28" i="7"/>
  <c r="BA28" i="7"/>
  <c r="AZ28" i="7"/>
  <c r="AY28" i="7"/>
  <c r="AX28" i="7"/>
  <c r="AW28" i="7"/>
  <c r="AV28" i="7"/>
  <c r="AT28" i="7"/>
  <c r="AS28" i="7"/>
  <c r="AR28" i="7"/>
  <c r="AQ28" i="7"/>
  <c r="AP28" i="7"/>
  <c r="AO28" i="7"/>
  <c r="AN28" i="7"/>
  <c r="AM28" i="7"/>
  <c r="AL28" i="7"/>
  <c r="AK28" i="7"/>
  <c r="AJ28" i="7"/>
  <c r="AI28" i="7"/>
  <c r="AH28" i="7"/>
  <c r="AG28" i="7"/>
  <c r="AF28" i="7"/>
  <c r="AE28" i="7"/>
  <c r="AD28" i="7"/>
  <c r="AC28" i="7"/>
  <c r="AB28" i="7"/>
  <c r="AA28" i="7"/>
  <c r="Z28" i="7"/>
  <c r="Y28" i="7"/>
  <c r="X28" i="7"/>
  <c r="T28" i="7"/>
  <c r="R28" i="7"/>
  <c r="B28" i="7"/>
  <c r="W28" i="7" s="1"/>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T27" i="7"/>
  <c r="R27" i="7"/>
  <c r="B27" i="7"/>
  <c r="V27" i="7" s="1"/>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T26" i="7"/>
  <c r="R26" i="7"/>
  <c r="B26" i="7"/>
  <c r="V26" i="7" s="1"/>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T25" i="7"/>
  <c r="R25" i="7"/>
  <c r="B25" i="7"/>
  <c r="V25" i="7" s="1"/>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T24" i="7"/>
  <c r="R24" i="7"/>
  <c r="B24" i="7"/>
  <c r="W24" i="7" s="1"/>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T23" i="7"/>
  <c r="R23" i="7"/>
  <c r="B23" i="7"/>
  <c r="V23" i="7" s="1"/>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T22" i="7"/>
  <c r="R22" i="7"/>
  <c r="B22" i="7"/>
  <c r="W22" i="7" s="1"/>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T21" i="7"/>
  <c r="R21" i="7"/>
  <c r="B21" i="7"/>
  <c r="V21" i="7" s="1"/>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T20" i="7"/>
  <c r="R20" i="7"/>
  <c r="B20" i="7"/>
  <c r="W20" i="7" s="1"/>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T19" i="7"/>
  <c r="R19" i="7"/>
  <c r="B19" i="7"/>
  <c r="W19" i="7" s="1"/>
  <c r="A19"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T18" i="7"/>
  <c r="R18" i="7"/>
  <c r="B18" i="7"/>
  <c r="W18" i="7" s="1"/>
  <c r="A18"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T17" i="7"/>
  <c r="R17" i="7"/>
  <c r="B17" i="7"/>
  <c r="W17" i="7" s="1"/>
  <c r="A17"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T16" i="7"/>
  <c r="R16" i="7"/>
  <c r="B16" i="7"/>
  <c r="V16" i="7" s="1"/>
  <c r="A16"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T15" i="7"/>
  <c r="R15" i="7"/>
  <c r="B15" i="7"/>
  <c r="W15" i="7" s="1"/>
  <c r="A15"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T14" i="7"/>
  <c r="R14" i="7"/>
  <c r="B14" i="7"/>
  <c r="W14" i="7" s="1"/>
  <c r="A14"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T13" i="7"/>
  <c r="R13" i="7"/>
  <c r="B13" i="7"/>
  <c r="W13" i="7" s="1"/>
  <c r="A13"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T12" i="7"/>
  <c r="R12" i="7"/>
  <c r="B12" i="7"/>
  <c r="V12" i="7" s="1"/>
  <c r="A12"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T11" i="7"/>
  <c r="R11" i="7"/>
  <c r="B11" i="7"/>
  <c r="W11" i="7" s="1"/>
  <c r="A11"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T10" i="7"/>
  <c r="R10" i="7"/>
  <c r="B10" i="7"/>
  <c r="W10" i="7" s="1"/>
  <c r="A10"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T9" i="7"/>
  <c r="R9" i="7"/>
  <c r="B9" i="7"/>
  <c r="W9" i="7" s="1"/>
  <c r="AS8" i="7"/>
  <c r="AT8" i="7" s="1"/>
  <c r="AO8" i="7"/>
  <c r="AP8" i="7" s="1"/>
  <c r="AK8" i="7"/>
  <c r="AL8" i="7" s="1"/>
  <c r="AG8" i="7"/>
  <c r="AF8" i="7"/>
  <c r="AI8" i="7" s="1"/>
  <c r="AB8" i="7"/>
  <c r="AE8" i="7" s="1"/>
  <c r="X8" i="7"/>
  <c r="AA8" i="7" s="1"/>
  <c r="T8" i="7"/>
  <c r="R8" i="7"/>
  <c r="B8" i="7"/>
  <c r="AZ8" i="7" s="1"/>
  <c r="AC39" i="9"/>
  <c r="AA39" i="9"/>
  <c r="AD38" i="9"/>
  <c r="AC38" i="9"/>
  <c r="AB38" i="9"/>
  <c r="AA38" i="9"/>
  <c r="Z38" i="9"/>
  <c r="Y38" i="9"/>
  <c r="X38" i="9"/>
  <c r="W38" i="9"/>
  <c r="V38" i="9"/>
  <c r="U38" i="9"/>
  <c r="S38" i="9"/>
  <c r="R38" i="9"/>
  <c r="Q38" i="9"/>
  <c r="P38" i="9"/>
  <c r="K38" i="9"/>
  <c r="J38" i="9"/>
  <c r="AD37" i="9"/>
  <c r="AC37" i="9"/>
  <c r="AB37" i="9"/>
  <c r="AA37" i="9"/>
  <c r="Z37" i="9"/>
  <c r="Y37" i="9"/>
  <c r="X37" i="9"/>
  <c r="W37" i="9"/>
  <c r="V37" i="9"/>
  <c r="U37" i="9"/>
  <c r="S37" i="9"/>
  <c r="R37" i="9"/>
  <c r="Q37" i="9"/>
  <c r="P37" i="9"/>
  <c r="K37" i="9"/>
  <c r="J37" i="9"/>
  <c r="AD36" i="9"/>
  <c r="AC36" i="9"/>
  <c r="AB36" i="9"/>
  <c r="AA36" i="9"/>
  <c r="Z36" i="9"/>
  <c r="Y36" i="9"/>
  <c r="X36" i="9"/>
  <c r="W36" i="9"/>
  <c r="V36" i="9"/>
  <c r="U36" i="9"/>
  <c r="S36" i="9"/>
  <c r="R36" i="9"/>
  <c r="Q36" i="9"/>
  <c r="P36" i="9"/>
  <c r="K36" i="9"/>
  <c r="J36" i="9"/>
  <c r="AD35" i="9"/>
  <c r="AC35" i="9"/>
  <c r="AB35" i="9"/>
  <c r="AA35" i="9"/>
  <c r="Z35" i="9"/>
  <c r="Y35" i="9"/>
  <c r="X35" i="9"/>
  <c r="W35" i="9"/>
  <c r="V35" i="9"/>
  <c r="U35" i="9"/>
  <c r="S35" i="9"/>
  <c r="R35" i="9"/>
  <c r="Q35" i="9"/>
  <c r="P35" i="9"/>
  <c r="K35" i="9"/>
  <c r="J35" i="9"/>
  <c r="AD34" i="9"/>
  <c r="AC34" i="9"/>
  <c r="AB34" i="9"/>
  <c r="AA34" i="9"/>
  <c r="Z34" i="9"/>
  <c r="Y34" i="9"/>
  <c r="X34" i="9"/>
  <c r="W34" i="9"/>
  <c r="V34" i="9"/>
  <c r="U34" i="9"/>
  <c r="S34" i="9"/>
  <c r="R34" i="9"/>
  <c r="Q34" i="9"/>
  <c r="P34" i="9"/>
  <c r="K34" i="9"/>
  <c r="J34" i="9"/>
  <c r="AD33" i="9"/>
  <c r="AC33" i="9"/>
  <c r="AB33" i="9"/>
  <c r="AA33" i="9"/>
  <c r="Z33" i="9"/>
  <c r="Y33" i="9"/>
  <c r="X33" i="9"/>
  <c r="W33" i="9"/>
  <c r="V33" i="9"/>
  <c r="U33" i="9"/>
  <c r="S33" i="9"/>
  <c r="R33" i="9"/>
  <c r="Q33" i="9"/>
  <c r="P33" i="9"/>
  <c r="K33" i="9"/>
  <c r="J33" i="9"/>
  <c r="AD32" i="9"/>
  <c r="AC32" i="9"/>
  <c r="AB32" i="9"/>
  <c r="AA32" i="9"/>
  <c r="Z32" i="9"/>
  <c r="Y32" i="9"/>
  <c r="X32" i="9"/>
  <c r="W32" i="9"/>
  <c r="V32" i="9"/>
  <c r="U32" i="9"/>
  <c r="S32" i="9"/>
  <c r="R32" i="9"/>
  <c r="Q32" i="9"/>
  <c r="P32" i="9"/>
  <c r="K32" i="9"/>
  <c r="J32" i="9"/>
  <c r="AD31" i="9"/>
  <c r="AC31" i="9"/>
  <c r="AB31" i="9"/>
  <c r="AA31" i="9"/>
  <c r="Z31" i="9"/>
  <c r="Y31" i="9"/>
  <c r="X31" i="9"/>
  <c r="W31" i="9"/>
  <c r="V31" i="9"/>
  <c r="U31" i="9"/>
  <c r="S31" i="9"/>
  <c r="R31" i="9"/>
  <c r="Q31" i="9"/>
  <c r="P31" i="9"/>
  <c r="K31" i="9"/>
  <c r="J31" i="9"/>
  <c r="AD30" i="9"/>
  <c r="AC30" i="9"/>
  <c r="AB30" i="9"/>
  <c r="AA30" i="9"/>
  <c r="Z30" i="9"/>
  <c r="Y30" i="9"/>
  <c r="X30" i="9"/>
  <c r="W30" i="9"/>
  <c r="V30" i="9"/>
  <c r="U30" i="9"/>
  <c r="S30" i="9"/>
  <c r="R30" i="9"/>
  <c r="Q30" i="9"/>
  <c r="P30" i="9"/>
  <c r="K30" i="9"/>
  <c r="J30" i="9"/>
  <c r="AG29" i="9"/>
  <c r="AD29" i="9"/>
  <c r="AC29" i="9"/>
  <c r="AB29" i="9"/>
  <c r="AA29" i="9"/>
  <c r="Z29" i="9"/>
  <c r="Y29" i="9"/>
  <c r="X29" i="9"/>
  <c r="W29" i="9"/>
  <c r="V29" i="9"/>
  <c r="U29" i="9"/>
  <c r="S29" i="9"/>
  <c r="R29" i="9"/>
  <c r="Q29" i="9"/>
  <c r="P29" i="9"/>
  <c r="K29" i="9"/>
  <c r="J29" i="9"/>
  <c r="AG28" i="9"/>
  <c r="AD28" i="9"/>
  <c r="AC28" i="9"/>
  <c r="AB28" i="9"/>
  <c r="AA28" i="9"/>
  <c r="Z28" i="9"/>
  <c r="Y28" i="9"/>
  <c r="X28" i="9"/>
  <c r="W28" i="9"/>
  <c r="V28" i="9"/>
  <c r="U28" i="9"/>
  <c r="S28" i="9"/>
  <c r="R28" i="9"/>
  <c r="Q28" i="9"/>
  <c r="P28" i="9"/>
  <c r="K28" i="9"/>
  <c r="J28" i="9"/>
  <c r="AG27" i="9"/>
  <c r="AD27" i="9"/>
  <c r="AC27" i="9"/>
  <c r="AB27" i="9"/>
  <c r="AA27" i="9"/>
  <c r="Z27" i="9"/>
  <c r="Y27" i="9"/>
  <c r="X27" i="9"/>
  <c r="W27" i="9"/>
  <c r="V27" i="9"/>
  <c r="U27" i="9"/>
  <c r="S27" i="9"/>
  <c r="R27" i="9"/>
  <c r="Q27" i="9"/>
  <c r="P27" i="9"/>
  <c r="K27" i="9"/>
  <c r="J27" i="9"/>
  <c r="AG26" i="9"/>
  <c r="AD26" i="9"/>
  <c r="AC26" i="9"/>
  <c r="AB26" i="9"/>
  <c r="AA26" i="9"/>
  <c r="Z26" i="9"/>
  <c r="Y26" i="9"/>
  <c r="X26" i="9"/>
  <c r="W26" i="9"/>
  <c r="V26" i="9"/>
  <c r="U26" i="9"/>
  <c r="S26" i="9"/>
  <c r="R26" i="9"/>
  <c r="Q26" i="9"/>
  <c r="P26" i="9"/>
  <c r="K26" i="9"/>
  <c r="J26" i="9"/>
  <c r="AG25" i="9"/>
  <c r="AD25" i="9"/>
  <c r="AC25" i="9"/>
  <c r="AB25" i="9"/>
  <c r="AA25" i="9"/>
  <c r="Z25" i="9"/>
  <c r="Y25" i="9"/>
  <c r="X25" i="9"/>
  <c r="W25" i="9"/>
  <c r="V25" i="9"/>
  <c r="U25" i="9"/>
  <c r="S25" i="9"/>
  <c r="R25" i="9"/>
  <c r="Q25" i="9"/>
  <c r="P25" i="9"/>
  <c r="K25" i="9"/>
  <c r="J25" i="9"/>
  <c r="AG24" i="9"/>
  <c r="AD24" i="9"/>
  <c r="AC24" i="9"/>
  <c r="AB24" i="9"/>
  <c r="AA24" i="9"/>
  <c r="Z24" i="9"/>
  <c r="Y24" i="9"/>
  <c r="X24" i="9"/>
  <c r="W24" i="9"/>
  <c r="V24" i="9"/>
  <c r="U24" i="9"/>
  <c r="S24" i="9"/>
  <c r="R24" i="9"/>
  <c r="Q24" i="9"/>
  <c r="P24" i="9"/>
  <c r="K24" i="9"/>
  <c r="J24" i="9"/>
  <c r="A24" i="9"/>
  <c r="AG23" i="9"/>
  <c r="AD23" i="9"/>
  <c r="AC23" i="9"/>
  <c r="AB23" i="9"/>
  <c r="AA23" i="9"/>
  <c r="Z23" i="9"/>
  <c r="Y23" i="9"/>
  <c r="X23" i="9"/>
  <c r="W23" i="9"/>
  <c r="V23" i="9"/>
  <c r="U23" i="9"/>
  <c r="S23" i="9"/>
  <c r="R23" i="9"/>
  <c r="Q23" i="9"/>
  <c r="P23" i="9"/>
  <c r="K23" i="9"/>
  <c r="J23" i="9"/>
  <c r="A23" i="9"/>
  <c r="AG22" i="9"/>
  <c r="AD22" i="9"/>
  <c r="AC22" i="9"/>
  <c r="AB22" i="9"/>
  <c r="AA22" i="9"/>
  <c r="Z22" i="9"/>
  <c r="Y22" i="9"/>
  <c r="X22" i="9"/>
  <c r="W22" i="9"/>
  <c r="V22" i="9"/>
  <c r="U22" i="9"/>
  <c r="S22" i="9"/>
  <c r="R22" i="9"/>
  <c r="Q22" i="9"/>
  <c r="P22" i="9"/>
  <c r="K22" i="9"/>
  <c r="J22" i="9"/>
  <c r="A22" i="9"/>
  <c r="AG21" i="9"/>
  <c r="AD21" i="9"/>
  <c r="AC21" i="9"/>
  <c r="AB21" i="9"/>
  <c r="AA21" i="9"/>
  <c r="Z21" i="9"/>
  <c r="Y21" i="9"/>
  <c r="X21" i="9"/>
  <c r="W21" i="9"/>
  <c r="V21" i="9"/>
  <c r="U21" i="9"/>
  <c r="S21" i="9"/>
  <c r="R21" i="9"/>
  <c r="Q21" i="9"/>
  <c r="P21" i="9"/>
  <c r="K21" i="9"/>
  <c r="J21" i="9"/>
  <c r="A21" i="9"/>
  <c r="AG20" i="9"/>
  <c r="AD20" i="9"/>
  <c r="AC20" i="9"/>
  <c r="AB20" i="9"/>
  <c r="AA20" i="9"/>
  <c r="Z20" i="9"/>
  <c r="Y20" i="9"/>
  <c r="X20" i="9"/>
  <c r="W20" i="9"/>
  <c r="V20" i="9"/>
  <c r="U20" i="9"/>
  <c r="S20" i="9"/>
  <c r="R20" i="9"/>
  <c r="Q20" i="9"/>
  <c r="P20" i="9"/>
  <c r="K20" i="9"/>
  <c r="J20" i="9"/>
  <c r="A20" i="9"/>
  <c r="AD19" i="9"/>
  <c r="AC19" i="9"/>
  <c r="AB19" i="9"/>
  <c r="AA19" i="9"/>
  <c r="Z19" i="9"/>
  <c r="Y19" i="9"/>
  <c r="X19" i="9"/>
  <c r="W19" i="9"/>
  <c r="V19" i="9"/>
  <c r="U19" i="9"/>
  <c r="S19" i="9"/>
  <c r="R19" i="9"/>
  <c r="Q19" i="9"/>
  <c r="P19" i="9"/>
  <c r="K19" i="9"/>
  <c r="J19" i="9"/>
  <c r="A19" i="9"/>
  <c r="AO18" i="9"/>
  <c r="AN18" i="9" a="1"/>
  <c r="AN18" i="9" s="1"/>
  <c r="AM18" i="9"/>
  <c r="AL18" i="9" a="1"/>
  <c r="AL18" i="9" s="1"/>
  <c r="AI18" i="9" a="1"/>
  <c r="AI18" i="9" s="1"/>
  <c r="AH18" i="9" a="1"/>
  <c r="AH18" i="9" s="1"/>
  <c r="AG18" i="9" a="1"/>
  <c r="AG18" i="9" s="1"/>
  <c r="AF18" i="9" a="1"/>
  <c r="AF18" i="9" s="1"/>
  <c r="AD18" i="9"/>
  <c r="AC18" i="9"/>
  <c r="AB18" i="9"/>
  <c r="AA18" i="9"/>
  <c r="Z18" i="9"/>
  <c r="Y18" i="9"/>
  <c r="X18" i="9"/>
  <c r="W18" i="9"/>
  <c r="V18" i="9"/>
  <c r="U18" i="9"/>
  <c r="S18" i="9"/>
  <c r="R18" i="9"/>
  <c r="Q18" i="9"/>
  <c r="P18" i="9"/>
  <c r="K18" i="9"/>
  <c r="J18" i="9"/>
  <c r="A18" i="9"/>
  <c r="AO17" i="9"/>
  <c r="AN17" i="9" a="1"/>
  <c r="AN17" i="9" s="1"/>
  <c r="AM17" i="9"/>
  <c r="AL17" i="9" a="1"/>
  <c r="AL17" i="9" s="1"/>
  <c r="AI17" i="9" a="1"/>
  <c r="AI17" i="9" s="1"/>
  <c r="AH17" i="9" a="1"/>
  <c r="AH17" i="9" s="1"/>
  <c r="AG17" i="9" a="1"/>
  <c r="AG17" i="9" s="1"/>
  <c r="AF17" i="9" a="1"/>
  <c r="AF17" i="9" s="1"/>
  <c r="AD17" i="9"/>
  <c r="AC17" i="9"/>
  <c r="AB17" i="9"/>
  <c r="AA17" i="9"/>
  <c r="Z17" i="9"/>
  <c r="Y17" i="9"/>
  <c r="X17" i="9"/>
  <c r="W17" i="9"/>
  <c r="V17" i="9"/>
  <c r="U17" i="9"/>
  <c r="S17" i="9"/>
  <c r="R17" i="9"/>
  <c r="Q17" i="9"/>
  <c r="P17" i="9"/>
  <c r="K17" i="9"/>
  <c r="J17" i="9"/>
  <c r="A17" i="9"/>
  <c r="AO16" i="9"/>
  <c r="AN16" i="9" a="1"/>
  <c r="AN16" i="9" s="1"/>
  <c r="AM16" i="9"/>
  <c r="AL16" i="9" a="1"/>
  <c r="AL16" i="9" s="1"/>
  <c r="AI16" i="9" a="1"/>
  <c r="AI16" i="9" s="1"/>
  <c r="AH16" i="9" a="1"/>
  <c r="AH16" i="9" s="1"/>
  <c r="AG16" i="9" a="1"/>
  <c r="AG16" i="9" s="1"/>
  <c r="AF16" i="9" a="1"/>
  <c r="AF16" i="9" s="1"/>
  <c r="AD16" i="9"/>
  <c r="AC16" i="9"/>
  <c r="AB16" i="9"/>
  <c r="AA16" i="9"/>
  <c r="Z16" i="9"/>
  <c r="Y16" i="9"/>
  <c r="X16" i="9"/>
  <c r="W16" i="9"/>
  <c r="V16" i="9"/>
  <c r="U16" i="9"/>
  <c r="S16" i="9"/>
  <c r="R16" i="9"/>
  <c r="Q16" i="9"/>
  <c r="P16" i="9"/>
  <c r="K16" i="9"/>
  <c r="J16" i="9"/>
  <c r="A16" i="9"/>
  <c r="AO15" i="9"/>
  <c r="AN15" i="9" a="1"/>
  <c r="AN15" i="9" s="1"/>
  <c r="AM15" i="9"/>
  <c r="AL15" i="9" a="1"/>
  <c r="AL15" i="9" s="1"/>
  <c r="AI15" i="9" a="1"/>
  <c r="AI15" i="9" s="1"/>
  <c r="AH15" i="9" a="1"/>
  <c r="AH15" i="9" s="1"/>
  <c r="AG15" i="9" a="1"/>
  <c r="AG15" i="9" s="1"/>
  <c r="AF15" i="9" a="1"/>
  <c r="AF15" i="9" s="1"/>
  <c r="AD15" i="9"/>
  <c r="AC15" i="9"/>
  <c r="AB15" i="9"/>
  <c r="AA15" i="9"/>
  <c r="Z15" i="9"/>
  <c r="Y15" i="9"/>
  <c r="X15" i="9"/>
  <c r="W15" i="9"/>
  <c r="V15" i="9"/>
  <c r="U15" i="9"/>
  <c r="S15" i="9"/>
  <c r="R15" i="9"/>
  <c r="Q15" i="9"/>
  <c r="P15" i="9"/>
  <c r="K15" i="9"/>
  <c r="J15" i="9"/>
  <c r="A15" i="9"/>
  <c r="AO14" i="9"/>
  <c r="AN14" i="9" a="1"/>
  <c r="AN14" i="9" s="1"/>
  <c r="AM14" i="9"/>
  <c r="AL14" i="9" a="1"/>
  <c r="AL14" i="9" s="1"/>
  <c r="AI14" i="9" a="1"/>
  <c r="AI14" i="9" s="1"/>
  <c r="AH14" i="9" a="1"/>
  <c r="AH14" i="9" s="1"/>
  <c r="AG14" i="9" a="1"/>
  <c r="AG14" i="9" s="1"/>
  <c r="AF14" i="9" a="1"/>
  <c r="AF14" i="9" s="1"/>
  <c r="AD14" i="9"/>
  <c r="AC14" i="9"/>
  <c r="AB14" i="9"/>
  <c r="AA14" i="9"/>
  <c r="Z14" i="9"/>
  <c r="Y14" i="9"/>
  <c r="X14" i="9"/>
  <c r="W14" i="9"/>
  <c r="V14" i="9"/>
  <c r="U14" i="9"/>
  <c r="S14" i="9"/>
  <c r="R14" i="9"/>
  <c r="Q14" i="9"/>
  <c r="P14" i="9"/>
  <c r="K14" i="9"/>
  <c r="J14" i="9"/>
  <c r="AO13" i="9"/>
  <c r="AN13" i="9" a="1"/>
  <c r="AN13" i="9" s="1"/>
  <c r="AM13" i="9"/>
  <c r="AL13" i="9" a="1"/>
  <c r="AL13" i="9" s="1"/>
  <c r="AI13" i="9" a="1"/>
  <c r="AI13" i="9" s="1"/>
  <c r="AH13" i="9" a="1"/>
  <c r="AH13" i="9" s="1"/>
  <c r="AG13" i="9" a="1"/>
  <c r="AG13" i="9" s="1"/>
  <c r="AF13" i="9" a="1"/>
  <c r="AF13" i="9" s="1"/>
  <c r="AD13" i="9"/>
  <c r="AC13" i="9"/>
  <c r="AB13" i="9"/>
  <c r="AA13" i="9"/>
  <c r="Z13" i="9"/>
  <c r="Y13" i="9"/>
  <c r="X13" i="9"/>
  <c r="W13" i="9"/>
  <c r="V13" i="9"/>
  <c r="U13" i="9"/>
  <c r="S13" i="9"/>
  <c r="R13" i="9"/>
  <c r="Q13" i="9"/>
  <c r="P13" i="9"/>
  <c r="K13" i="9"/>
  <c r="J13" i="9"/>
  <c r="AO12" i="9"/>
  <c r="AN12" i="9" a="1"/>
  <c r="AN12" i="9" s="1"/>
  <c r="AM12" i="9"/>
  <c r="AL12" i="9" a="1"/>
  <c r="AL12" i="9" s="1"/>
  <c r="AI12" i="9" a="1"/>
  <c r="AI12" i="9" s="1"/>
  <c r="AH12" i="9" a="1"/>
  <c r="AH12" i="9" s="1"/>
  <c r="AG12" i="9" a="1"/>
  <c r="AG12" i="9" s="1"/>
  <c r="AF12" i="9" a="1"/>
  <c r="AF12" i="9" s="1"/>
  <c r="AD12" i="9"/>
  <c r="AC12" i="9"/>
  <c r="AB12" i="9"/>
  <c r="AA12" i="9"/>
  <c r="Z12" i="9"/>
  <c r="Y12" i="9"/>
  <c r="X12" i="9"/>
  <c r="W12" i="9"/>
  <c r="V12" i="9"/>
  <c r="U12" i="9"/>
  <c r="S12" i="9"/>
  <c r="R12" i="9"/>
  <c r="Q12" i="9"/>
  <c r="P12" i="9"/>
  <c r="K12" i="9"/>
  <c r="J12" i="9"/>
  <c r="AO11" i="9"/>
  <c r="AN11" i="9" a="1"/>
  <c r="AN11" i="9" s="1"/>
  <c r="AM11" i="9"/>
  <c r="AL11" i="9" a="1"/>
  <c r="AL11" i="9" s="1"/>
  <c r="AI11" i="9" a="1"/>
  <c r="AI11" i="9" s="1"/>
  <c r="AH11" i="9" a="1"/>
  <c r="AH11" i="9" s="1"/>
  <c r="AG11" i="9"/>
  <c r="AF11" i="9" a="1"/>
  <c r="AF11" i="9" s="1"/>
  <c r="AD11" i="9"/>
  <c r="AC11" i="9"/>
  <c r="AB11" i="9"/>
  <c r="AA11" i="9"/>
  <c r="Z11" i="9"/>
  <c r="Y11" i="9"/>
  <c r="X11" i="9"/>
  <c r="W11" i="9"/>
  <c r="V11" i="9"/>
  <c r="U11" i="9"/>
  <c r="S11" i="9"/>
  <c r="R11" i="9"/>
  <c r="Q11" i="9"/>
  <c r="P11" i="9"/>
  <c r="K11" i="9"/>
  <c r="J11" i="9"/>
  <c r="AO10" i="9"/>
  <c r="AN10" i="9" a="1"/>
  <c r="AN10" i="9" s="1"/>
  <c r="AM10" i="9"/>
  <c r="AL10" i="9" a="1"/>
  <c r="AL10" i="9" s="1"/>
  <c r="AI10" i="9" a="1"/>
  <c r="AI10" i="9" s="1"/>
  <c r="AH10" i="9" a="1"/>
  <c r="AH10" i="9" s="1"/>
  <c r="AG10" i="9" a="1"/>
  <c r="AG10" i="9" s="1"/>
  <c r="AF10" i="9" a="1"/>
  <c r="AF10" i="9" s="1"/>
  <c r="AD10" i="9"/>
  <c r="AC10" i="9"/>
  <c r="AB10" i="9"/>
  <c r="AA10" i="9"/>
  <c r="Z10" i="9"/>
  <c r="Y10" i="9"/>
  <c r="X10" i="9"/>
  <c r="W10" i="9"/>
  <c r="V10" i="9"/>
  <c r="U10" i="9"/>
  <c r="S10" i="9"/>
  <c r="R10" i="9"/>
  <c r="Q10" i="9"/>
  <c r="P10" i="9"/>
  <c r="K10" i="9"/>
  <c r="J10" i="9"/>
  <c r="AO9" i="9"/>
  <c r="AM9" i="9"/>
  <c r="AL9" i="9" a="1"/>
  <c r="AL9" i="9" s="1"/>
  <c r="AH9" i="9" a="1"/>
  <c r="AH9" i="9" s="1"/>
  <c r="AF9" i="9" a="1"/>
  <c r="AF9" i="9" s="1"/>
  <c r="AD9" i="9"/>
  <c r="AC9" i="9"/>
  <c r="AB9" i="9"/>
  <c r="AA9" i="9"/>
  <c r="Z9" i="9"/>
  <c r="Y9" i="9"/>
  <c r="X9" i="9"/>
  <c r="W9" i="9"/>
  <c r="V9" i="9"/>
  <c r="U9" i="9"/>
  <c r="S9" i="9"/>
  <c r="R9" i="9"/>
  <c r="Q9" i="9"/>
  <c r="P9" i="9"/>
  <c r="K9" i="9"/>
  <c r="J9" i="9"/>
  <c r="I167" i="18"/>
  <c r="H167" i="18"/>
  <c r="G167" i="18"/>
  <c r="F167" i="18"/>
  <c r="E166" i="18"/>
  <c r="F164" i="18"/>
  <c r="E164" i="18"/>
  <c r="F163" i="18"/>
  <c r="E163" i="18"/>
  <c r="F162" i="18"/>
  <c r="E162" i="18"/>
  <c r="F161" i="18"/>
  <c r="E161" i="18"/>
  <c r="F160" i="18"/>
  <c r="E160" i="18"/>
  <c r="F159" i="18"/>
  <c r="E159" i="18"/>
  <c r="B159" i="18"/>
  <c r="F158" i="18"/>
  <c r="E158" i="18"/>
  <c r="B158" i="18"/>
  <c r="J157" i="18"/>
  <c r="F157" i="18"/>
  <c r="E157" i="18"/>
  <c r="B157" i="18"/>
  <c r="I156" i="18"/>
  <c r="H156" i="18"/>
  <c r="G156" i="18"/>
  <c r="F156" i="18"/>
  <c r="E156" i="18"/>
  <c r="C156" i="18"/>
  <c r="B156" i="18"/>
  <c r="I152" i="18"/>
  <c r="H152" i="18"/>
  <c r="G152" i="18"/>
  <c r="F152" i="18"/>
  <c r="E151" i="18"/>
  <c r="K149" i="18"/>
  <c r="J149" i="18"/>
  <c r="F149" i="18"/>
  <c r="E149" i="18"/>
  <c r="K148" i="18"/>
  <c r="J148" i="18"/>
  <c r="F148" i="18"/>
  <c r="E148" i="18"/>
  <c r="K147" i="18"/>
  <c r="J147" i="18"/>
  <c r="F147" i="18"/>
  <c r="E147" i="18"/>
  <c r="K146" i="18"/>
  <c r="J146" i="18"/>
  <c r="F146" i="18"/>
  <c r="E146" i="18"/>
  <c r="K145" i="18"/>
  <c r="J145" i="18"/>
  <c r="F145" i="18"/>
  <c r="E145" i="18"/>
  <c r="B145" i="18"/>
  <c r="K144" i="18"/>
  <c r="J144" i="18"/>
  <c r="F144" i="18"/>
  <c r="E144" i="18"/>
  <c r="B144" i="18"/>
  <c r="K143" i="18"/>
  <c r="J143" i="18"/>
  <c r="F143" i="18"/>
  <c r="E143" i="18"/>
  <c r="B143" i="18"/>
  <c r="K142" i="18"/>
  <c r="J142" i="18"/>
  <c r="F142" i="18"/>
  <c r="E142" i="18"/>
  <c r="B142" i="18"/>
  <c r="I141" i="18"/>
  <c r="H141" i="18"/>
  <c r="G141" i="18"/>
  <c r="F141" i="18"/>
  <c r="E141" i="18"/>
  <c r="C141" i="18"/>
  <c r="B141" i="18"/>
  <c r="I137" i="18"/>
  <c r="H137" i="18"/>
  <c r="G137" i="18"/>
  <c r="F137" i="18"/>
  <c r="E136" i="18"/>
  <c r="K134" i="18"/>
  <c r="J134" i="18"/>
  <c r="F134" i="18"/>
  <c r="E134" i="18"/>
  <c r="K133" i="18"/>
  <c r="J133" i="18"/>
  <c r="F133" i="18"/>
  <c r="E133" i="18"/>
  <c r="K132" i="18"/>
  <c r="J132" i="18"/>
  <c r="F132" i="18"/>
  <c r="E132" i="18"/>
  <c r="K131" i="18"/>
  <c r="J131" i="18"/>
  <c r="F131" i="18"/>
  <c r="E131" i="18"/>
  <c r="K130" i="18"/>
  <c r="J130" i="18"/>
  <c r="F130" i="18"/>
  <c r="E130" i="18"/>
  <c r="K129" i="18"/>
  <c r="J129" i="18"/>
  <c r="F129" i="18"/>
  <c r="E129" i="18"/>
  <c r="B129" i="18"/>
  <c r="K128" i="18"/>
  <c r="J128" i="18"/>
  <c r="F128" i="18"/>
  <c r="E128" i="18"/>
  <c r="B128" i="18"/>
  <c r="K127" i="18"/>
  <c r="J127" i="18"/>
  <c r="F127" i="18"/>
  <c r="E127" i="18"/>
  <c r="B127" i="18"/>
  <c r="I126" i="18"/>
  <c r="H126" i="18"/>
  <c r="G126" i="18"/>
  <c r="F126" i="18"/>
  <c r="E126" i="18"/>
  <c r="C126" i="18"/>
  <c r="B126" i="18"/>
  <c r="I122" i="18"/>
  <c r="H122" i="18"/>
  <c r="G122" i="18"/>
  <c r="F122" i="18"/>
  <c r="E121" i="18"/>
  <c r="K119" i="18"/>
  <c r="J119" i="18"/>
  <c r="F119" i="18"/>
  <c r="E119" i="18"/>
  <c r="K118" i="18"/>
  <c r="J118" i="18"/>
  <c r="F118" i="18"/>
  <c r="E118" i="18"/>
  <c r="K117" i="18"/>
  <c r="J117" i="18"/>
  <c r="F117" i="18"/>
  <c r="E117" i="18"/>
  <c r="K116" i="18"/>
  <c r="J116" i="18"/>
  <c r="F116" i="18"/>
  <c r="E116" i="18"/>
  <c r="K115" i="18"/>
  <c r="J115" i="18"/>
  <c r="F115" i="18"/>
  <c r="E115" i="18"/>
  <c r="K114" i="18"/>
  <c r="J114" i="18"/>
  <c r="F114" i="18"/>
  <c r="E114" i="18"/>
  <c r="B114" i="18"/>
  <c r="K113" i="18"/>
  <c r="J113" i="18"/>
  <c r="F113" i="18"/>
  <c r="E113" i="18"/>
  <c r="B113" i="18"/>
  <c r="K112" i="18"/>
  <c r="J112" i="18"/>
  <c r="F112" i="18"/>
  <c r="E112" i="18"/>
  <c r="B112" i="18"/>
  <c r="I111" i="18"/>
  <c r="H111" i="18"/>
  <c r="G111" i="18"/>
  <c r="F111" i="18"/>
  <c r="E111" i="18"/>
  <c r="C111" i="18"/>
  <c r="B111" i="18"/>
  <c r="I107" i="18"/>
  <c r="H107" i="18"/>
  <c r="G107" i="18"/>
  <c r="F107" i="18"/>
  <c r="E106" i="18"/>
  <c r="K104" i="18"/>
  <c r="J104" i="18"/>
  <c r="F104" i="18"/>
  <c r="E104" i="18"/>
  <c r="K103" i="18"/>
  <c r="J103" i="18"/>
  <c r="F103" i="18"/>
  <c r="E103" i="18"/>
  <c r="K102" i="18"/>
  <c r="J102" i="18"/>
  <c r="F102" i="18"/>
  <c r="E102" i="18"/>
  <c r="K101" i="18"/>
  <c r="J101" i="18"/>
  <c r="F101" i="18"/>
  <c r="E101" i="18"/>
  <c r="K100" i="18"/>
  <c r="J100" i="18"/>
  <c r="F100" i="18"/>
  <c r="E100" i="18"/>
  <c r="K99" i="18"/>
  <c r="J99" i="18"/>
  <c r="F99" i="18"/>
  <c r="E99" i="18"/>
  <c r="B99" i="18"/>
  <c r="K98" i="18"/>
  <c r="J98" i="18"/>
  <c r="F98" i="18"/>
  <c r="E98" i="18"/>
  <c r="B98" i="18"/>
  <c r="K97" i="18"/>
  <c r="J97" i="18"/>
  <c r="F97" i="18"/>
  <c r="E97" i="18"/>
  <c r="B97" i="18"/>
  <c r="I96" i="18"/>
  <c r="H96" i="18"/>
  <c r="G96" i="18"/>
  <c r="F96" i="18"/>
  <c r="E96" i="18"/>
  <c r="C96" i="18"/>
  <c r="B96" i="18"/>
  <c r="I92" i="18"/>
  <c r="H92" i="18"/>
  <c r="G92" i="18"/>
  <c r="F92" i="18"/>
  <c r="E91" i="18"/>
  <c r="K89" i="18"/>
  <c r="J89" i="18"/>
  <c r="F89" i="18"/>
  <c r="E89" i="18"/>
  <c r="K88" i="18"/>
  <c r="J88" i="18"/>
  <c r="F88" i="18"/>
  <c r="E88" i="18"/>
  <c r="K87" i="18"/>
  <c r="J87" i="18"/>
  <c r="F87" i="18"/>
  <c r="E87" i="18"/>
  <c r="K86" i="18"/>
  <c r="J86" i="18"/>
  <c r="F86" i="18"/>
  <c r="E86" i="18"/>
  <c r="K85" i="18"/>
  <c r="J85" i="18"/>
  <c r="F85" i="18"/>
  <c r="E85" i="18"/>
  <c r="K84" i="18"/>
  <c r="J84" i="18"/>
  <c r="F84" i="18"/>
  <c r="E84" i="18"/>
  <c r="B84" i="18"/>
  <c r="K83" i="18"/>
  <c r="J83" i="18"/>
  <c r="F83" i="18"/>
  <c r="E83" i="18"/>
  <c r="B83" i="18"/>
  <c r="K82" i="18"/>
  <c r="J82" i="18"/>
  <c r="F82" i="18"/>
  <c r="E82" i="18"/>
  <c r="B82" i="18"/>
  <c r="I81" i="18"/>
  <c r="H81" i="18"/>
  <c r="G81" i="18"/>
  <c r="F81" i="18"/>
  <c r="E81" i="18"/>
  <c r="C81" i="18"/>
  <c r="B81" i="18"/>
  <c r="I77" i="18"/>
  <c r="H77" i="18"/>
  <c r="G77" i="18"/>
  <c r="F77" i="18"/>
  <c r="E76" i="18"/>
  <c r="K74" i="18"/>
  <c r="J74" i="18"/>
  <c r="F74" i="18"/>
  <c r="E74" i="18"/>
  <c r="K73" i="18"/>
  <c r="J73" i="18"/>
  <c r="F73" i="18"/>
  <c r="E73" i="18"/>
  <c r="K72" i="18"/>
  <c r="J72" i="18"/>
  <c r="F72" i="18"/>
  <c r="E72" i="18"/>
  <c r="K71" i="18"/>
  <c r="J71" i="18"/>
  <c r="F71" i="18"/>
  <c r="E71" i="18"/>
  <c r="K70" i="18"/>
  <c r="J70" i="18"/>
  <c r="F70" i="18"/>
  <c r="E70" i="18"/>
  <c r="K69" i="18"/>
  <c r="J69" i="18"/>
  <c r="F69" i="18"/>
  <c r="E69" i="18"/>
  <c r="B69" i="18"/>
  <c r="K68" i="18"/>
  <c r="J68" i="18"/>
  <c r="F68" i="18"/>
  <c r="E68" i="18"/>
  <c r="B68" i="18"/>
  <c r="K67" i="18"/>
  <c r="J67" i="18"/>
  <c r="F67" i="18"/>
  <c r="E67" i="18"/>
  <c r="B67" i="18"/>
  <c r="I66" i="18"/>
  <c r="H66" i="18"/>
  <c r="G66" i="18"/>
  <c r="F66" i="18"/>
  <c r="E66" i="18"/>
  <c r="C66" i="18"/>
  <c r="B66" i="18"/>
  <c r="I61" i="18"/>
  <c r="H61" i="18"/>
  <c r="G61" i="18"/>
  <c r="F61" i="18"/>
  <c r="E60" i="18"/>
  <c r="K58" i="18"/>
  <c r="J58" i="18"/>
  <c r="F58" i="18"/>
  <c r="E58" i="18"/>
  <c r="K57" i="18"/>
  <c r="J57" i="18"/>
  <c r="F57" i="18"/>
  <c r="E57" i="18"/>
  <c r="K56" i="18"/>
  <c r="J56" i="18"/>
  <c r="F56" i="18"/>
  <c r="E56" i="18"/>
  <c r="K55" i="18"/>
  <c r="J55" i="18"/>
  <c r="F55" i="18"/>
  <c r="E55" i="18"/>
  <c r="K54" i="18"/>
  <c r="J54" i="18"/>
  <c r="F54" i="18"/>
  <c r="E54" i="18"/>
  <c r="K53" i="18"/>
  <c r="J53" i="18"/>
  <c r="F53" i="18"/>
  <c r="E53" i="18"/>
  <c r="B53" i="18"/>
  <c r="K52" i="18"/>
  <c r="J52" i="18"/>
  <c r="F52" i="18"/>
  <c r="E52" i="18"/>
  <c r="B52" i="18"/>
  <c r="K51" i="18"/>
  <c r="J51" i="18"/>
  <c r="F51" i="18"/>
  <c r="E51" i="18"/>
  <c r="B51" i="18"/>
  <c r="I50" i="18"/>
  <c r="H50" i="18"/>
  <c r="G50" i="18"/>
  <c r="F50" i="18"/>
  <c r="E50" i="18"/>
  <c r="C50" i="18"/>
  <c r="B50" i="18"/>
  <c r="I46" i="18"/>
  <c r="H46" i="18"/>
  <c r="G46" i="18"/>
  <c r="F46" i="18"/>
  <c r="E45" i="18"/>
  <c r="K43" i="18"/>
  <c r="J43" i="18"/>
  <c r="F43" i="18"/>
  <c r="E43" i="18"/>
  <c r="K42" i="18"/>
  <c r="J42" i="18"/>
  <c r="F42" i="18"/>
  <c r="E42" i="18"/>
  <c r="A42" i="18"/>
  <c r="K41" i="18"/>
  <c r="J41" i="18"/>
  <c r="F41" i="18"/>
  <c r="E41" i="18"/>
  <c r="A41" i="18"/>
  <c r="K40" i="18"/>
  <c r="J40" i="18"/>
  <c r="F40" i="18"/>
  <c r="E40" i="18"/>
  <c r="A40" i="18"/>
  <c r="K39" i="18"/>
  <c r="J39" i="18"/>
  <c r="F39" i="18"/>
  <c r="E39" i="18"/>
  <c r="A39" i="18"/>
  <c r="K38" i="18"/>
  <c r="J38" i="18"/>
  <c r="F38" i="18"/>
  <c r="E38" i="18"/>
  <c r="B38" i="18"/>
  <c r="A38" i="18"/>
  <c r="K37" i="18"/>
  <c r="J37" i="18"/>
  <c r="F37" i="18"/>
  <c r="E37" i="18"/>
  <c r="B37" i="18"/>
  <c r="A37" i="18"/>
  <c r="K36" i="18"/>
  <c r="J36" i="18"/>
  <c r="F36" i="18"/>
  <c r="E36" i="18"/>
  <c r="B36" i="18"/>
  <c r="A36" i="18"/>
  <c r="P36" i="18"/>
  <c r="P35" i="18"/>
  <c r="I35" i="18"/>
  <c r="H35" i="18"/>
  <c r="G35" i="18"/>
  <c r="F35" i="18"/>
  <c r="E35" i="18"/>
  <c r="C35" i="18"/>
  <c r="B35" i="18"/>
  <c r="A35" i="18"/>
  <c r="P34" i="18"/>
  <c r="A34" i="18"/>
  <c r="P33" i="18"/>
  <c r="P32" i="18"/>
  <c r="P31" i="18"/>
  <c r="P30" i="18"/>
  <c r="P29" i="18"/>
  <c r="K28" i="18"/>
  <c r="J28" i="18"/>
  <c r="F28" i="18"/>
  <c r="E28" i="18"/>
  <c r="P27" i="18"/>
  <c r="K27" i="18"/>
  <c r="J27" i="18"/>
  <c r="F27" i="18"/>
  <c r="E27" i="18"/>
  <c r="P26" i="18"/>
  <c r="K26" i="18"/>
  <c r="J26" i="18"/>
  <c r="F26" i="18"/>
  <c r="E26" i="18"/>
  <c r="P25" i="18"/>
  <c r="K25" i="18"/>
  <c r="J25" i="18"/>
  <c r="F25" i="18"/>
  <c r="E25" i="18"/>
  <c r="P24" i="18"/>
  <c r="K24" i="18"/>
  <c r="J24" i="18"/>
  <c r="F24" i="18"/>
  <c r="E24" i="18"/>
  <c r="P23" i="18"/>
  <c r="K23" i="18"/>
  <c r="J23" i="18"/>
  <c r="F23" i="18"/>
  <c r="E23" i="18"/>
  <c r="P22" i="18"/>
  <c r="K22" i="18"/>
  <c r="J22" i="18"/>
  <c r="F22" i="18"/>
  <c r="E22" i="18"/>
  <c r="P21" i="18"/>
  <c r="K21" i="18"/>
  <c r="J21" i="18"/>
  <c r="F21" i="18"/>
  <c r="E21" i="18"/>
  <c r="P20" i="18"/>
  <c r="I20" i="18"/>
  <c r="O14" i="18"/>
  <c r="S39" i="18" s="1"/>
  <c r="N14" i="18"/>
  <c r="N39" i="18" s="1"/>
  <c r="N36" i="18"/>
  <c r="O36" i="18" s="1"/>
  <c r="Q36" i="18" s="1"/>
  <c r="R36" i="18" s="1"/>
  <c r="N26" i="18"/>
  <c r="O26" i="18" s="1"/>
  <c r="Q26" i="18" s="1"/>
  <c r="R26" i="18" s="1"/>
  <c r="N34" i="18"/>
  <c r="N24" i="18"/>
  <c r="O24" i="18" s="1"/>
  <c r="N32" i="18"/>
  <c r="O32" i="18" s="1"/>
  <c r="N31" i="18"/>
  <c r="O31" i="18" s="1"/>
  <c r="Q31" i="18" s="1"/>
  <c r="R31" i="18" s="1"/>
  <c r="N30" i="18"/>
  <c r="N20" i="18"/>
  <c r="O20" i="18" s="1"/>
  <c r="B4" i="18"/>
  <c r="I167" i="17"/>
  <c r="H167" i="17"/>
  <c r="G167" i="17"/>
  <c r="F167" i="17"/>
  <c r="E166" i="17"/>
  <c r="F164" i="17"/>
  <c r="E164" i="17"/>
  <c r="F163" i="17"/>
  <c r="E163" i="17"/>
  <c r="F162" i="17"/>
  <c r="E162" i="17"/>
  <c r="F161" i="17"/>
  <c r="E161" i="17"/>
  <c r="F160" i="17"/>
  <c r="E160" i="17"/>
  <c r="F159" i="17"/>
  <c r="E159" i="17"/>
  <c r="B159" i="17"/>
  <c r="F158" i="17"/>
  <c r="E158" i="17"/>
  <c r="B158" i="17"/>
  <c r="J157" i="17"/>
  <c r="F157" i="17"/>
  <c r="E157" i="17"/>
  <c r="B157" i="17"/>
  <c r="I156" i="17"/>
  <c r="H156" i="17"/>
  <c r="G156" i="17"/>
  <c r="F156" i="17"/>
  <c r="E156" i="17"/>
  <c r="C156" i="17"/>
  <c r="B156" i="17"/>
  <c r="I152" i="17"/>
  <c r="H152" i="17"/>
  <c r="G152" i="17"/>
  <c r="F152" i="17"/>
  <c r="E151" i="17"/>
  <c r="K149" i="17"/>
  <c r="J149" i="17"/>
  <c r="F149" i="17"/>
  <c r="E149" i="17"/>
  <c r="K148" i="17"/>
  <c r="J148" i="17"/>
  <c r="F148" i="17"/>
  <c r="E148" i="17"/>
  <c r="K147" i="17"/>
  <c r="J147" i="17"/>
  <c r="F147" i="17"/>
  <c r="E147" i="17"/>
  <c r="K146" i="17"/>
  <c r="J146" i="17"/>
  <c r="F146" i="17"/>
  <c r="E146" i="17"/>
  <c r="K145" i="17"/>
  <c r="J145" i="17"/>
  <c r="F145" i="17"/>
  <c r="E145" i="17"/>
  <c r="K144" i="17"/>
  <c r="J144" i="17"/>
  <c r="F144" i="17"/>
  <c r="E144" i="17"/>
  <c r="B144" i="17"/>
  <c r="K143" i="17"/>
  <c r="J143" i="17"/>
  <c r="F143" i="17"/>
  <c r="E143" i="17"/>
  <c r="B143" i="17"/>
  <c r="K142" i="17"/>
  <c r="J142" i="17"/>
  <c r="F142" i="17"/>
  <c r="E142" i="17"/>
  <c r="B142" i="17"/>
  <c r="I137" i="17"/>
  <c r="H137" i="17"/>
  <c r="G137" i="17"/>
  <c r="F137" i="17"/>
  <c r="E136" i="17"/>
  <c r="K134" i="17"/>
  <c r="J134" i="17"/>
  <c r="F134" i="17"/>
  <c r="E134" i="17"/>
  <c r="K133" i="17"/>
  <c r="J133" i="17"/>
  <c r="F133" i="17"/>
  <c r="E133" i="17"/>
  <c r="K132" i="17"/>
  <c r="J132" i="17"/>
  <c r="F132" i="17"/>
  <c r="E132" i="17"/>
  <c r="K131" i="17"/>
  <c r="J131" i="17"/>
  <c r="F131" i="17"/>
  <c r="E131" i="17"/>
  <c r="K130" i="17"/>
  <c r="J130" i="17"/>
  <c r="F130" i="17"/>
  <c r="E130" i="17"/>
  <c r="K129" i="17"/>
  <c r="J129" i="17"/>
  <c r="F129" i="17"/>
  <c r="E129" i="17"/>
  <c r="B129" i="17"/>
  <c r="K128" i="17"/>
  <c r="J128" i="17"/>
  <c r="F128" i="17"/>
  <c r="E128" i="17"/>
  <c r="B128" i="17"/>
  <c r="K127" i="17"/>
  <c r="J127" i="17"/>
  <c r="F127" i="17"/>
  <c r="E127" i="17"/>
  <c r="B127" i="17"/>
  <c r="I126" i="17"/>
  <c r="H126" i="17"/>
  <c r="G126" i="17"/>
  <c r="F126" i="17"/>
  <c r="E126" i="17"/>
  <c r="C126" i="17"/>
  <c r="B126" i="17"/>
  <c r="I122" i="17"/>
  <c r="H122" i="17"/>
  <c r="G122" i="17"/>
  <c r="F122" i="17"/>
  <c r="E121" i="17"/>
  <c r="K119" i="17"/>
  <c r="J119" i="17"/>
  <c r="F119" i="17"/>
  <c r="E119" i="17"/>
  <c r="K118" i="17"/>
  <c r="J118" i="17"/>
  <c r="F118" i="17"/>
  <c r="E118" i="17"/>
  <c r="K117" i="17"/>
  <c r="J117" i="17"/>
  <c r="F117" i="17"/>
  <c r="E117" i="17"/>
  <c r="K116" i="17"/>
  <c r="J116" i="17"/>
  <c r="F116" i="17"/>
  <c r="E116" i="17"/>
  <c r="K115" i="17"/>
  <c r="J115" i="17"/>
  <c r="F115" i="17"/>
  <c r="E115" i="17"/>
  <c r="K114" i="17"/>
  <c r="J114" i="17"/>
  <c r="F114" i="17"/>
  <c r="E114" i="17"/>
  <c r="B114" i="17"/>
  <c r="K113" i="17"/>
  <c r="J113" i="17"/>
  <c r="F113" i="17"/>
  <c r="E113" i="17"/>
  <c r="B113" i="17"/>
  <c r="K112" i="17"/>
  <c r="J112" i="17"/>
  <c r="F112" i="17"/>
  <c r="E112" i="17"/>
  <c r="B112" i="17"/>
  <c r="I111" i="17"/>
  <c r="H111" i="17"/>
  <c r="G111" i="17"/>
  <c r="F111" i="17"/>
  <c r="E111" i="17"/>
  <c r="C111" i="17"/>
  <c r="B111" i="17"/>
  <c r="I107" i="17"/>
  <c r="H107" i="17"/>
  <c r="G107" i="17"/>
  <c r="F107" i="17"/>
  <c r="E106" i="17"/>
  <c r="K104" i="17"/>
  <c r="J104" i="17"/>
  <c r="F104" i="17"/>
  <c r="E104" i="17"/>
  <c r="K103" i="17"/>
  <c r="J103" i="17"/>
  <c r="F103" i="17"/>
  <c r="E103" i="17"/>
  <c r="K102" i="17"/>
  <c r="J102" i="17"/>
  <c r="F102" i="17"/>
  <c r="E102" i="17"/>
  <c r="K101" i="17"/>
  <c r="J101" i="17"/>
  <c r="F101" i="17"/>
  <c r="E101" i="17"/>
  <c r="K100" i="17"/>
  <c r="J100" i="17"/>
  <c r="F100" i="17"/>
  <c r="E100" i="17"/>
  <c r="K99" i="17"/>
  <c r="J99" i="17"/>
  <c r="F99" i="17"/>
  <c r="E99" i="17"/>
  <c r="B99" i="17"/>
  <c r="K98" i="17"/>
  <c r="J98" i="17"/>
  <c r="F98" i="17"/>
  <c r="E98" i="17"/>
  <c r="B98" i="17"/>
  <c r="K97" i="17"/>
  <c r="J97" i="17"/>
  <c r="F97" i="17"/>
  <c r="E97" i="17"/>
  <c r="B97" i="17"/>
  <c r="I96" i="17"/>
  <c r="H96" i="17"/>
  <c r="G96" i="17"/>
  <c r="F96" i="17"/>
  <c r="E96" i="17"/>
  <c r="C96" i="17"/>
  <c r="B96" i="17"/>
  <c r="I92" i="17"/>
  <c r="H92" i="17"/>
  <c r="G92" i="17"/>
  <c r="F92" i="17"/>
  <c r="E91" i="17"/>
  <c r="K89" i="17"/>
  <c r="J89" i="17"/>
  <c r="F89" i="17"/>
  <c r="E89" i="17"/>
  <c r="K88" i="17"/>
  <c r="J88" i="17"/>
  <c r="F88" i="17"/>
  <c r="E88" i="17"/>
  <c r="K87" i="17"/>
  <c r="J87" i="17"/>
  <c r="F87" i="17"/>
  <c r="E87" i="17"/>
  <c r="K86" i="17"/>
  <c r="J86" i="17"/>
  <c r="F86" i="17"/>
  <c r="E86" i="17"/>
  <c r="K85" i="17"/>
  <c r="J85" i="17"/>
  <c r="F85" i="17"/>
  <c r="E85" i="17"/>
  <c r="K84" i="17"/>
  <c r="J84" i="17"/>
  <c r="F84" i="17"/>
  <c r="E84" i="17"/>
  <c r="B84" i="17"/>
  <c r="K83" i="17"/>
  <c r="J83" i="17"/>
  <c r="F83" i="17"/>
  <c r="E83" i="17"/>
  <c r="B83" i="17"/>
  <c r="K82" i="17"/>
  <c r="J82" i="17"/>
  <c r="F82" i="17"/>
  <c r="E82" i="17"/>
  <c r="B82" i="17"/>
  <c r="I81" i="17"/>
  <c r="H81" i="17"/>
  <c r="G81" i="17"/>
  <c r="F81" i="17"/>
  <c r="E81" i="17"/>
  <c r="C81" i="17"/>
  <c r="B81" i="17"/>
  <c r="I77" i="17"/>
  <c r="H77" i="17"/>
  <c r="G77" i="17"/>
  <c r="F77" i="17"/>
  <c r="E76" i="17"/>
  <c r="K74" i="17"/>
  <c r="J74" i="17"/>
  <c r="F74" i="17"/>
  <c r="E74" i="17"/>
  <c r="K73" i="17"/>
  <c r="J73" i="17"/>
  <c r="F73" i="17"/>
  <c r="E73" i="17"/>
  <c r="K72" i="17"/>
  <c r="J72" i="17"/>
  <c r="F72" i="17"/>
  <c r="E72" i="17"/>
  <c r="K71" i="17"/>
  <c r="J71" i="17"/>
  <c r="F71" i="17"/>
  <c r="E71" i="17"/>
  <c r="K70" i="17"/>
  <c r="J70" i="17"/>
  <c r="F70" i="17"/>
  <c r="E70" i="17"/>
  <c r="K69" i="17"/>
  <c r="J69" i="17"/>
  <c r="F69" i="17"/>
  <c r="E69" i="17"/>
  <c r="B69" i="17"/>
  <c r="K68" i="17"/>
  <c r="J68" i="17"/>
  <c r="F68" i="17"/>
  <c r="E68" i="17"/>
  <c r="B68" i="17"/>
  <c r="K67" i="17"/>
  <c r="J67" i="17"/>
  <c r="F67" i="17"/>
  <c r="E67" i="17"/>
  <c r="B67" i="17"/>
  <c r="I66" i="17"/>
  <c r="H66" i="17"/>
  <c r="G66" i="17"/>
  <c r="F66" i="17"/>
  <c r="E66" i="17"/>
  <c r="C66" i="17"/>
  <c r="B66" i="17"/>
  <c r="I62" i="17"/>
  <c r="H62" i="17"/>
  <c r="G62" i="17"/>
  <c r="F62" i="17"/>
  <c r="E61" i="17"/>
  <c r="K59" i="17"/>
  <c r="J59" i="17"/>
  <c r="F59" i="17"/>
  <c r="E59" i="17"/>
  <c r="K58" i="17"/>
  <c r="J58" i="17"/>
  <c r="F58" i="17"/>
  <c r="E58" i="17"/>
  <c r="K57" i="17"/>
  <c r="J57" i="17"/>
  <c r="F57" i="17"/>
  <c r="E57" i="17"/>
  <c r="K56" i="17"/>
  <c r="J56" i="17"/>
  <c r="F56" i="17"/>
  <c r="E56" i="17"/>
  <c r="K55" i="17"/>
  <c r="J55" i="17"/>
  <c r="F55" i="17"/>
  <c r="E55" i="17"/>
  <c r="K54" i="17"/>
  <c r="J54" i="17"/>
  <c r="F54" i="17"/>
  <c r="E54" i="17"/>
  <c r="B54" i="17"/>
  <c r="K53" i="17"/>
  <c r="J53" i="17"/>
  <c r="F53" i="17"/>
  <c r="E53" i="17"/>
  <c r="B53" i="17"/>
  <c r="K52" i="17"/>
  <c r="J52" i="17"/>
  <c r="F52" i="17"/>
  <c r="E52" i="17"/>
  <c r="B52" i="17"/>
  <c r="I51" i="17"/>
  <c r="H51" i="17"/>
  <c r="G51" i="17"/>
  <c r="F51" i="17"/>
  <c r="E51" i="17"/>
  <c r="C51" i="17"/>
  <c r="B51" i="17"/>
  <c r="I46" i="17"/>
  <c r="H46" i="17"/>
  <c r="G46" i="17"/>
  <c r="F46" i="17"/>
  <c r="E45" i="17"/>
  <c r="K43" i="17"/>
  <c r="J43" i="17"/>
  <c r="F43" i="17"/>
  <c r="E43" i="17"/>
  <c r="K42" i="17"/>
  <c r="J42" i="17"/>
  <c r="F42" i="17"/>
  <c r="E42" i="17"/>
  <c r="A42" i="17"/>
  <c r="K41" i="17"/>
  <c r="J41" i="17"/>
  <c r="F41" i="17"/>
  <c r="E41" i="17"/>
  <c r="A41" i="17"/>
  <c r="K40" i="17"/>
  <c r="J40" i="17"/>
  <c r="F40" i="17"/>
  <c r="E40" i="17"/>
  <c r="A40" i="17"/>
  <c r="K39" i="17"/>
  <c r="J39" i="17"/>
  <c r="F39" i="17"/>
  <c r="E39" i="17"/>
  <c r="A39" i="17"/>
  <c r="K38" i="17"/>
  <c r="J38" i="17"/>
  <c r="F38" i="17"/>
  <c r="E38" i="17"/>
  <c r="B38" i="17"/>
  <c r="A38" i="17"/>
  <c r="K37" i="17"/>
  <c r="J37" i="17"/>
  <c r="F37" i="17"/>
  <c r="E37" i="17"/>
  <c r="B37" i="17"/>
  <c r="A37" i="17"/>
  <c r="K36" i="17"/>
  <c r="J36" i="17"/>
  <c r="F36" i="17"/>
  <c r="E36" i="17"/>
  <c r="B36" i="17"/>
  <c r="A36" i="17"/>
  <c r="P36" i="17"/>
  <c r="P35" i="17"/>
  <c r="I35" i="17"/>
  <c r="H35" i="17"/>
  <c r="G35" i="17"/>
  <c r="F35" i="17"/>
  <c r="E35" i="17"/>
  <c r="C35" i="17"/>
  <c r="B35" i="17"/>
  <c r="A35" i="17"/>
  <c r="P34" i="17"/>
  <c r="A34" i="17"/>
  <c r="P33" i="17"/>
  <c r="P32" i="17"/>
  <c r="P31" i="17"/>
  <c r="P30" i="17"/>
  <c r="P29" i="17"/>
  <c r="K28" i="17"/>
  <c r="J28" i="17"/>
  <c r="F28" i="17"/>
  <c r="E28" i="17"/>
  <c r="P27" i="17"/>
  <c r="K27" i="17"/>
  <c r="J27" i="17"/>
  <c r="F27" i="17"/>
  <c r="E27" i="17"/>
  <c r="P26" i="17"/>
  <c r="K26" i="17"/>
  <c r="J26" i="17"/>
  <c r="F26" i="17"/>
  <c r="E26" i="17"/>
  <c r="P25" i="17"/>
  <c r="K25" i="17"/>
  <c r="J25" i="17"/>
  <c r="F25" i="17"/>
  <c r="E25" i="17"/>
  <c r="P24" i="17"/>
  <c r="K24" i="17"/>
  <c r="J24" i="17"/>
  <c r="F24" i="17"/>
  <c r="E24" i="17"/>
  <c r="P23" i="17"/>
  <c r="K23" i="17"/>
  <c r="J23" i="17"/>
  <c r="F23" i="17"/>
  <c r="E23" i="17"/>
  <c r="P22" i="17"/>
  <c r="K22" i="17"/>
  <c r="J22" i="17"/>
  <c r="F22" i="17"/>
  <c r="E22" i="17"/>
  <c r="P21" i="17"/>
  <c r="K21" i="17"/>
  <c r="J21" i="17"/>
  <c r="F21" i="17"/>
  <c r="E21" i="17"/>
  <c r="P20" i="17"/>
  <c r="I20" i="17"/>
  <c r="O14" i="17"/>
  <c r="S39" i="17" s="1"/>
  <c r="N14" i="17"/>
  <c r="N39" i="17" s="1"/>
  <c r="N27" i="17"/>
  <c r="O27" i="17" s="1"/>
  <c r="Q27" i="17" s="1"/>
  <c r="R27" i="17" s="1"/>
  <c r="N26" i="17"/>
  <c r="O26" i="17" s="1"/>
  <c r="Q26" i="17" s="1"/>
  <c r="R26" i="17" s="1"/>
  <c r="N33" i="17"/>
  <c r="O33" i="17" s="1"/>
  <c r="Q33" i="17" s="1"/>
  <c r="R33" i="17" s="1"/>
  <c r="N32" i="17"/>
  <c r="O32" i="17" s="1"/>
  <c r="Q32" i="17" s="1"/>
  <c r="R32" i="17" s="1"/>
  <c r="N31" i="17"/>
  <c r="O31" i="17" s="1"/>
  <c r="Q31" i="17" s="1"/>
  <c r="R31" i="17" s="1"/>
  <c r="N21" i="17"/>
  <c r="O21" i="17" s="1"/>
  <c r="Q21" i="17" s="1"/>
  <c r="R21" i="17" s="1"/>
  <c r="N29" i="17"/>
  <c r="O29" i="17" s="1"/>
  <c r="Q29" i="17" s="1"/>
  <c r="R29" i="17" s="1"/>
  <c r="B4" i="17"/>
  <c r="I167" i="16"/>
  <c r="H167" i="16"/>
  <c r="G167" i="16"/>
  <c r="F167" i="16"/>
  <c r="E166" i="16"/>
  <c r="F164" i="16"/>
  <c r="E164" i="16"/>
  <c r="F163" i="16"/>
  <c r="E163" i="16"/>
  <c r="F162" i="16"/>
  <c r="E162" i="16"/>
  <c r="F161" i="16"/>
  <c r="E161" i="16"/>
  <c r="F160" i="16"/>
  <c r="E160" i="16"/>
  <c r="F159" i="16"/>
  <c r="E159" i="16"/>
  <c r="B159" i="16"/>
  <c r="F158" i="16"/>
  <c r="E158" i="16"/>
  <c r="B158" i="16"/>
  <c r="J157" i="16"/>
  <c r="F157" i="16"/>
  <c r="E157" i="16"/>
  <c r="B157" i="16"/>
  <c r="I156" i="16"/>
  <c r="H156" i="16"/>
  <c r="G156" i="16"/>
  <c r="F156" i="16"/>
  <c r="E156" i="16"/>
  <c r="C156" i="16"/>
  <c r="B156" i="16"/>
  <c r="I152" i="16"/>
  <c r="H152" i="16"/>
  <c r="G152" i="16"/>
  <c r="F152" i="16"/>
  <c r="E151" i="16"/>
  <c r="K149" i="16"/>
  <c r="J149" i="16"/>
  <c r="F149" i="16"/>
  <c r="E149" i="16"/>
  <c r="K148" i="16"/>
  <c r="J148" i="16"/>
  <c r="F148" i="16"/>
  <c r="E148" i="16"/>
  <c r="K147" i="16"/>
  <c r="J147" i="16"/>
  <c r="F147" i="16"/>
  <c r="E147" i="16"/>
  <c r="K146" i="16"/>
  <c r="J146" i="16"/>
  <c r="F146" i="16"/>
  <c r="E146" i="16"/>
  <c r="K145" i="16"/>
  <c r="J145" i="16"/>
  <c r="F145" i="16"/>
  <c r="E145" i="16"/>
  <c r="K144" i="16"/>
  <c r="J144" i="16"/>
  <c r="F144" i="16"/>
  <c r="E144" i="16"/>
  <c r="B144" i="16"/>
  <c r="K143" i="16"/>
  <c r="J143" i="16"/>
  <c r="F143" i="16"/>
  <c r="E143" i="16"/>
  <c r="B143" i="16"/>
  <c r="K142" i="16"/>
  <c r="J142" i="16"/>
  <c r="F142" i="16"/>
  <c r="E142" i="16"/>
  <c r="B142" i="16"/>
  <c r="I141" i="16"/>
  <c r="H141" i="16"/>
  <c r="G141" i="16"/>
  <c r="F141" i="16"/>
  <c r="E141" i="16"/>
  <c r="C141" i="16"/>
  <c r="B141" i="16"/>
  <c r="I137" i="16"/>
  <c r="H137" i="16"/>
  <c r="G137" i="16"/>
  <c r="F137" i="16"/>
  <c r="E136" i="16"/>
  <c r="K134" i="16"/>
  <c r="J134" i="16"/>
  <c r="F134" i="16"/>
  <c r="E134" i="16"/>
  <c r="K133" i="16"/>
  <c r="J133" i="16"/>
  <c r="F133" i="16"/>
  <c r="E133" i="16"/>
  <c r="K132" i="16"/>
  <c r="J132" i="16"/>
  <c r="F132" i="16"/>
  <c r="E132" i="16"/>
  <c r="K131" i="16"/>
  <c r="J131" i="16"/>
  <c r="F131" i="16"/>
  <c r="E131" i="16"/>
  <c r="K130" i="16"/>
  <c r="J130" i="16"/>
  <c r="F130" i="16"/>
  <c r="E130" i="16"/>
  <c r="K129" i="16"/>
  <c r="J129" i="16"/>
  <c r="F129" i="16"/>
  <c r="E129" i="16"/>
  <c r="B129" i="16"/>
  <c r="K128" i="16"/>
  <c r="J128" i="16"/>
  <c r="F128" i="16"/>
  <c r="E128" i="16"/>
  <c r="B128" i="16"/>
  <c r="K127" i="16"/>
  <c r="J127" i="16"/>
  <c r="F127" i="16"/>
  <c r="E127" i="16"/>
  <c r="B127" i="16"/>
  <c r="I126" i="16"/>
  <c r="H126" i="16"/>
  <c r="G126" i="16"/>
  <c r="F126" i="16"/>
  <c r="E126" i="16"/>
  <c r="C126" i="16"/>
  <c r="B126" i="16"/>
  <c r="I122" i="16"/>
  <c r="H122" i="16"/>
  <c r="G122" i="16"/>
  <c r="F122" i="16"/>
  <c r="E121" i="16"/>
  <c r="K119" i="16"/>
  <c r="J119" i="16"/>
  <c r="F119" i="16"/>
  <c r="E119" i="16"/>
  <c r="K118" i="16"/>
  <c r="J118" i="16"/>
  <c r="F118" i="16"/>
  <c r="E118" i="16"/>
  <c r="K117" i="16"/>
  <c r="J117" i="16"/>
  <c r="F117" i="16"/>
  <c r="E117" i="16"/>
  <c r="K116" i="16"/>
  <c r="J116" i="16"/>
  <c r="F116" i="16"/>
  <c r="E116" i="16"/>
  <c r="K115" i="16"/>
  <c r="J115" i="16"/>
  <c r="F115" i="16"/>
  <c r="E115" i="16"/>
  <c r="K114" i="16"/>
  <c r="J114" i="16"/>
  <c r="F114" i="16"/>
  <c r="E114" i="16"/>
  <c r="B114" i="16"/>
  <c r="K113" i="16"/>
  <c r="J113" i="16"/>
  <c r="F113" i="16"/>
  <c r="E113" i="16"/>
  <c r="B113" i="16"/>
  <c r="K112" i="16"/>
  <c r="J112" i="16"/>
  <c r="F112" i="16"/>
  <c r="E112" i="16"/>
  <c r="B112" i="16"/>
  <c r="I111" i="16"/>
  <c r="H111" i="16"/>
  <c r="G111" i="16"/>
  <c r="F111" i="16"/>
  <c r="E111" i="16"/>
  <c r="C111" i="16"/>
  <c r="B111" i="16"/>
  <c r="I107" i="16"/>
  <c r="H107" i="16"/>
  <c r="G107" i="16"/>
  <c r="F107" i="16"/>
  <c r="E106" i="16"/>
  <c r="K104" i="16"/>
  <c r="J104" i="16"/>
  <c r="F104" i="16"/>
  <c r="E104" i="16"/>
  <c r="K103" i="16"/>
  <c r="J103" i="16"/>
  <c r="F103" i="16"/>
  <c r="E103" i="16"/>
  <c r="K102" i="16"/>
  <c r="J102" i="16"/>
  <c r="F102" i="16"/>
  <c r="E102" i="16"/>
  <c r="K101" i="16"/>
  <c r="J101" i="16"/>
  <c r="F101" i="16"/>
  <c r="E101" i="16"/>
  <c r="K100" i="16"/>
  <c r="J100" i="16"/>
  <c r="F100" i="16"/>
  <c r="E100" i="16"/>
  <c r="K99" i="16"/>
  <c r="J99" i="16"/>
  <c r="F99" i="16"/>
  <c r="E99" i="16"/>
  <c r="B99" i="16"/>
  <c r="K98" i="16"/>
  <c r="J98" i="16"/>
  <c r="F98" i="16"/>
  <c r="E98" i="16"/>
  <c r="B98" i="16"/>
  <c r="K97" i="16"/>
  <c r="J97" i="16"/>
  <c r="F97" i="16"/>
  <c r="E97" i="16"/>
  <c r="B97" i="16"/>
  <c r="I96" i="16"/>
  <c r="H96" i="16"/>
  <c r="G96" i="16"/>
  <c r="F96" i="16"/>
  <c r="E96" i="16"/>
  <c r="C96" i="16"/>
  <c r="B96" i="16"/>
  <c r="I92" i="16"/>
  <c r="H92" i="16"/>
  <c r="G92" i="16"/>
  <c r="F92" i="16"/>
  <c r="E91" i="16"/>
  <c r="K89" i="16"/>
  <c r="J89" i="16"/>
  <c r="F89" i="16"/>
  <c r="E89" i="16"/>
  <c r="K88" i="16"/>
  <c r="J88" i="16"/>
  <c r="F88" i="16"/>
  <c r="E88" i="16"/>
  <c r="K87" i="16"/>
  <c r="J87" i="16"/>
  <c r="F87" i="16"/>
  <c r="E87" i="16"/>
  <c r="K86" i="16"/>
  <c r="J86" i="16"/>
  <c r="F86" i="16"/>
  <c r="E86" i="16"/>
  <c r="K85" i="16"/>
  <c r="J85" i="16"/>
  <c r="F85" i="16"/>
  <c r="E85" i="16"/>
  <c r="K84" i="16"/>
  <c r="J84" i="16"/>
  <c r="F84" i="16"/>
  <c r="E84" i="16"/>
  <c r="B84" i="16"/>
  <c r="K83" i="16"/>
  <c r="J83" i="16"/>
  <c r="F83" i="16"/>
  <c r="E83" i="16"/>
  <c r="B83" i="16"/>
  <c r="K82" i="16"/>
  <c r="J82" i="16"/>
  <c r="F82" i="16"/>
  <c r="E82" i="16"/>
  <c r="B82" i="16"/>
  <c r="I81" i="16"/>
  <c r="H81" i="16"/>
  <c r="G81" i="16"/>
  <c r="F81" i="16"/>
  <c r="E81" i="16"/>
  <c r="C81" i="16"/>
  <c r="B81" i="16"/>
  <c r="I77" i="16"/>
  <c r="H77" i="16"/>
  <c r="G77" i="16"/>
  <c r="F77" i="16"/>
  <c r="E76" i="16"/>
  <c r="K74" i="16"/>
  <c r="J74" i="16"/>
  <c r="F74" i="16"/>
  <c r="E74" i="16"/>
  <c r="K73" i="16"/>
  <c r="J73" i="16"/>
  <c r="F73" i="16"/>
  <c r="E73" i="16"/>
  <c r="K72" i="16"/>
  <c r="J72" i="16"/>
  <c r="F72" i="16"/>
  <c r="E72" i="16"/>
  <c r="K71" i="16"/>
  <c r="J71" i="16"/>
  <c r="F71" i="16"/>
  <c r="E71" i="16"/>
  <c r="K70" i="16"/>
  <c r="J70" i="16"/>
  <c r="F70" i="16"/>
  <c r="E70" i="16"/>
  <c r="K69" i="16"/>
  <c r="J69" i="16"/>
  <c r="F69" i="16"/>
  <c r="E69" i="16"/>
  <c r="B69" i="16"/>
  <c r="K68" i="16"/>
  <c r="J68" i="16"/>
  <c r="F68" i="16"/>
  <c r="E68" i="16"/>
  <c r="B68" i="16"/>
  <c r="K67" i="16"/>
  <c r="J67" i="16"/>
  <c r="F67" i="16"/>
  <c r="E67" i="16"/>
  <c r="B67" i="16"/>
  <c r="I66" i="16"/>
  <c r="H66" i="16"/>
  <c r="G66" i="16"/>
  <c r="F66" i="16"/>
  <c r="E66" i="16"/>
  <c r="C66" i="16"/>
  <c r="B66" i="16"/>
  <c r="I62" i="16"/>
  <c r="H62" i="16"/>
  <c r="G62" i="16"/>
  <c r="F62" i="16"/>
  <c r="E61" i="16"/>
  <c r="K59" i="16"/>
  <c r="J59" i="16"/>
  <c r="F59" i="16"/>
  <c r="E59" i="16"/>
  <c r="K58" i="16"/>
  <c r="J58" i="16"/>
  <c r="F58" i="16"/>
  <c r="E58" i="16"/>
  <c r="K57" i="16"/>
  <c r="J57" i="16"/>
  <c r="F57" i="16"/>
  <c r="E57" i="16"/>
  <c r="K56" i="16"/>
  <c r="J56" i="16"/>
  <c r="F56" i="16"/>
  <c r="E56" i="16"/>
  <c r="K55" i="16"/>
  <c r="J55" i="16"/>
  <c r="F55" i="16"/>
  <c r="E55" i="16"/>
  <c r="K54" i="16"/>
  <c r="J54" i="16"/>
  <c r="F54" i="16"/>
  <c r="E54" i="16"/>
  <c r="B54" i="16"/>
  <c r="K53" i="16"/>
  <c r="J53" i="16"/>
  <c r="F53" i="16"/>
  <c r="E53" i="16"/>
  <c r="B53" i="16"/>
  <c r="K52" i="16"/>
  <c r="J52" i="16"/>
  <c r="F52" i="16"/>
  <c r="E52" i="16"/>
  <c r="B52" i="16"/>
  <c r="I51" i="16"/>
  <c r="H51" i="16"/>
  <c r="G51" i="16"/>
  <c r="F51" i="16"/>
  <c r="E51" i="16"/>
  <c r="C51" i="16"/>
  <c r="B51" i="16"/>
  <c r="I46" i="16"/>
  <c r="H46" i="16"/>
  <c r="G46" i="16"/>
  <c r="F46" i="16"/>
  <c r="E45" i="16"/>
  <c r="K43" i="16"/>
  <c r="J43" i="16"/>
  <c r="F43" i="16"/>
  <c r="E43" i="16"/>
  <c r="K42" i="16"/>
  <c r="J42" i="16"/>
  <c r="F42" i="16"/>
  <c r="E42" i="16"/>
  <c r="A42" i="16"/>
  <c r="K41" i="16"/>
  <c r="J41" i="16"/>
  <c r="F41" i="16"/>
  <c r="E41" i="16"/>
  <c r="A41" i="16"/>
  <c r="K40" i="16"/>
  <c r="J40" i="16"/>
  <c r="F40" i="16"/>
  <c r="E40" i="16"/>
  <c r="A40" i="16"/>
  <c r="K39" i="16"/>
  <c r="J39" i="16"/>
  <c r="F39" i="16"/>
  <c r="E39" i="16"/>
  <c r="A39" i="16"/>
  <c r="K38" i="16"/>
  <c r="J38" i="16"/>
  <c r="F38" i="16"/>
  <c r="E38" i="16"/>
  <c r="B38" i="16"/>
  <c r="A38" i="16"/>
  <c r="K37" i="16"/>
  <c r="J37" i="16"/>
  <c r="F37" i="16"/>
  <c r="E37" i="16"/>
  <c r="B37" i="16"/>
  <c r="A37" i="16"/>
  <c r="K36" i="16"/>
  <c r="J36" i="16"/>
  <c r="F36" i="16"/>
  <c r="E36" i="16"/>
  <c r="B36" i="16"/>
  <c r="A36" i="16"/>
  <c r="P36" i="16"/>
  <c r="P35" i="16"/>
  <c r="I35" i="16"/>
  <c r="H35" i="16"/>
  <c r="G35" i="16"/>
  <c r="F35" i="16"/>
  <c r="E35" i="16"/>
  <c r="C35" i="16"/>
  <c r="B35" i="16"/>
  <c r="A35" i="16"/>
  <c r="P34" i="16"/>
  <c r="A34" i="16"/>
  <c r="P33" i="16"/>
  <c r="P32" i="16"/>
  <c r="P31" i="16"/>
  <c r="P30" i="16"/>
  <c r="P29" i="16"/>
  <c r="K28" i="16"/>
  <c r="J28" i="16"/>
  <c r="F28" i="16"/>
  <c r="E28" i="16"/>
  <c r="P27" i="16"/>
  <c r="K27" i="16"/>
  <c r="J27" i="16"/>
  <c r="F27" i="16"/>
  <c r="E27" i="16"/>
  <c r="P26" i="16"/>
  <c r="K26" i="16"/>
  <c r="J26" i="16"/>
  <c r="F26" i="16"/>
  <c r="E26" i="16"/>
  <c r="P25" i="16"/>
  <c r="K25" i="16"/>
  <c r="J25" i="16"/>
  <c r="F25" i="16"/>
  <c r="E25" i="16"/>
  <c r="P24" i="16"/>
  <c r="K24" i="16"/>
  <c r="J24" i="16"/>
  <c r="F24" i="16"/>
  <c r="E24" i="16"/>
  <c r="P23" i="16"/>
  <c r="K23" i="16"/>
  <c r="J23" i="16"/>
  <c r="F23" i="16"/>
  <c r="E23" i="16"/>
  <c r="P22" i="16"/>
  <c r="K22" i="16"/>
  <c r="J22" i="16"/>
  <c r="F22" i="16"/>
  <c r="E22" i="16"/>
  <c r="P21" i="16"/>
  <c r="K21" i="16"/>
  <c r="J21" i="16"/>
  <c r="F21" i="16"/>
  <c r="E21" i="16"/>
  <c r="P20" i="16"/>
  <c r="I20" i="16"/>
  <c r="O14" i="16"/>
  <c r="S39" i="16" s="1"/>
  <c r="N14" i="16"/>
  <c r="N39" i="16" s="1"/>
  <c r="P39" i="16" s="1"/>
  <c r="N27" i="16"/>
  <c r="O27" i="16" s="1"/>
  <c r="Q27" i="16" s="1"/>
  <c r="R27" i="16" s="1"/>
  <c r="N26" i="16"/>
  <c r="O26" i="16" s="1"/>
  <c r="N34" i="16"/>
  <c r="O34" i="16" s="1"/>
  <c r="Q34" i="16" s="1"/>
  <c r="R34" i="16" s="1"/>
  <c r="N33" i="16"/>
  <c r="O33" i="16" s="1"/>
  <c r="N30" i="16"/>
  <c r="O30" i="16" s="1"/>
  <c r="Q30" i="16" s="1"/>
  <c r="R30" i="16" s="1"/>
  <c r="N29" i="16"/>
  <c r="O29" i="16" s="1"/>
  <c r="Q29" i="16" s="1"/>
  <c r="R29" i="16" s="1"/>
  <c r="B4" i="16"/>
  <c r="I167" i="15"/>
  <c r="H167" i="15"/>
  <c r="G167" i="15"/>
  <c r="F167" i="15"/>
  <c r="E166" i="15"/>
  <c r="F164" i="15"/>
  <c r="E164" i="15"/>
  <c r="F163" i="15"/>
  <c r="E163" i="15"/>
  <c r="F162" i="15"/>
  <c r="E162" i="15"/>
  <c r="F161" i="15"/>
  <c r="E161" i="15"/>
  <c r="F160" i="15"/>
  <c r="E160" i="15"/>
  <c r="F159" i="15"/>
  <c r="E159" i="15"/>
  <c r="B159" i="15"/>
  <c r="F158" i="15"/>
  <c r="E158" i="15"/>
  <c r="B158" i="15"/>
  <c r="J157" i="15"/>
  <c r="F157" i="15"/>
  <c r="E157" i="15"/>
  <c r="B157" i="15"/>
  <c r="I156" i="15"/>
  <c r="H156" i="15"/>
  <c r="G156" i="15"/>
  <c r="F156" i="15"/>
  <c r="E156" i="15"/>
  <c r="C156" i="15"/>
  <c r="B156" i="15"/>
  <c r="I152" i="15"/>
  <c r="H152" i="15"/>
  <c r="G152" i="15"/>
  <c r="F152" i="15"/>
  <c r="E151" i="15"/>
  <c r="K149" i="15"/>
  <c r="J149" i="15"/>
  <c r="F149" i="15"/>
  <c r="E149" i="15"/>
  <c r="K148" i="15"/>
  <c r="J148" i="15"/>
  <c r="F148" i="15"/>
  <c r="E148" i="15"/>
  <c r="K147" i="15"/>
  <c r="J147" i="15"/>
  <c r="F147" i="15"/>
  <c r="E147" i="15"/>
  <c r="K146" i="15"/>
  <c r="J146" i="15"/>
  <c r="F146" i="15"/>
  <c r="E146" i="15"/>
  <c r="K145" i="15"/>
  <c r="J145" i="15"/>
  <c r="F145" i="15"/>
  <c r="E145" i="15"/>
  <c r="K144" i="15"/>
  <c r="J144" i="15"/>
  <c r="F144" i="15"/>
  <c r="E144" i="15"/>
  <c r="B144" i="15"/>
  <c r="K143" i="15"/>
  <c r="J143" i="15"/>
  <c r="F143" i="15"/>
  <c r="E143" i="15"/>
  <c r="B143" i="15"/>
  <c r="K142" i="15"/>
  <c r="J142" i="15"/>
  <c r="F142" i="15"/>
  <c r="E142" i="15"/>
  <c r="B142" i="15"/>
  <c r="I141" i="15"/>
  <c r="H141" i="15"/>
  <c r="G141" i="15"/>
  <c r="F141" i="15"/>
  <c r="E141" i="15"/>
  <c r="C141" i="15"/>
  <c r="B141" i="15"/>
  <c r="I137" i="15"/>
  <c r="H137" i="15"/>
  <c r="G137" i="15"/>
  <c r="F137" i="15"/>
  <c r="E136" i="15"/>
  <c r="K134" i="15"/>
  <c r="J134" i="15"/>
  <c r="F134" i="15"/>
  <c r="E134" i="15"/>
  <c r="K133" i="15"/>
  <c r="J133" i="15"/>
  <c r="F133" i="15"/>
  <c r="E133" i="15"/>
  <c r="K132" i="15"/>
  <c r="J132" i="15"/>
  <c r="F132" i="15"/>
  <c r="E132" i="15"/>
  <c r="K131" i="15"/>
  <c r="J131" i="15"/>
  <c r="F131" i="15"/>
  <c r="E131" i="15"/>
  <c r="K130" i="15"/>
  <c r="J130" i="15"/>
  <c r="F130" i="15"/>
  <c r="E130" i="15"/>
  <c r="K129" i="15"/>
  <c r="J129" i="15"/>
  <c r="F129" i="15"/>
  <c r="E129" i="15"/>
  <c r="B129" i="15"/>
  <c r="K128" i="15"/>
  <c r="J128" i="15"/>
  <c r="F128" i="15"/>
  <c r="E128" i="15"/>
  <c r="B128" i="15"/>
  <c r="K127" i="15"/>
  <c r="J127" i="15"/>
  <c r="F127" i="15"/>
  <c r="E127" i="15"/>
  <c r="B127" i="15"/>
  <c r="I126" i="15"/>
  <c r="H126" i="15"/>
  <c r="G126" i="15"/>
  <c r="F126" i="15"/>
  <c r="E126" i="15"/>
  <c r="C126" i="15"/>
  <c r="B126" i="15"/>
  <c r="I122" i="15"/>
  <c r="H122" i="15"/>
  <c r="G122" i="15"/>
  <c r="F122" i="15"/>
  <c r="E121" i="15"/>
  <c r="K119" i="15"/>
  <c r="J119" i="15"/>
  <c r="F119" i="15"/>
  <c r="E119" i="15"/>
  <c r="K118" i="15"/>
  <c r="J118" i="15"/>
  <c r="F118" i="15"/>
  <c r="E118" i="15"/>
  <c r="K117" i="15"/>
  <c r="J117" i="15"/>
  <c r="F117" i="15"/>
  <c r="E117" i="15"/>
  <c r="K116" i="15"/>
  <c r="J116" i="15"/>
  <c r="F116" i="15"/>
  <c r="E116" i="15"/>
  <c r="K115" i="15"/>
  <c r="J115" i="15"/>
  <c r="F115" i="15"/>
  <c r="E115" i="15"/>
  <c r="K114" i="15"/>
  <c r="J114" i="15"/>
  <c r="F114" i="15"/>
  <c r="E114" i="15"/>
  <c r="B114" i="15"/>
  <c r="K113" i="15"/>
  <c r="J113" i="15"/>
  <c r="F113" i="15"/>
  <c r="E113" i="15"/>
  <c r="B113" i="15"/>
  <c r="K112" i="15"/>
  <c r="J112" i="15"/>
  <c r="F112" i="15"/>
  <c r="E112" i="15"/>
  <c r="B112" i="15"/>
  <c r="I111" i="15"/>
  <c r="H111" i="15"/>
  <c r="G111" i="15"/>
  <c r="F111" i="15"/>
  <c r="E111" i="15"/>
  <c r="C111" i="15"/>
  <c r="B111" i="15"/>
  <c r="I107" i="15"/>
  <c r="H107" i="15"/>
  <c r="G107" i="15"/>
  <c r="F107" i="15"/>
  <c r="E106" i="15"/>
  <c r="K104" i="15"/>
  <c r="J104" i="15"/>
  <c r="F104" i="15"/>
  <c r="E104" i="15"/>
  <c r="K103" i="15"/>
  <c r="J103" i="15"/>
  <c r="F103" i="15"/>
  <c r="E103" i="15"/>
  <c r="K102" i="15"/>
  <c r="J102" i="15"/>
  <c r="F102" i="15"/>
  <c r="E102" i="15"/>
  <c r="K101" i="15"/>
  <c r="J101" i="15"/>
  <c r="F101" i="15"/>
  <c r="E101" i="15"/>
  <c r="K100" i="15"/>
  <c r="J100" i="15"/>
  <c r="F100" i="15"/>
  <c r="E100" i="15"/>
  <c r="K99" i="15"/>
  <c r="J99" i="15"/>
  <c r="F99" i="15"/>
  <c r="E99" i="15"/>
  <c r="B99" i="15"/>
  <c r="K98" i="15"/>
  <c r="J98" i="15"/>
  <c r="F98" i="15"/>
  <c r="E98" i="15"/>
  <c r="B98" i="15"/>
  <c r="K97" i="15"/>
  <c r="J97" i="15"/>
  <c r="F97" i="15"/>
  <c r="E97" i="15"/>
  <c r="B97" i="15"/>
  <c r="I96" i="15"/>
  <c r="H96" i="15"/>
  <c r="G96" i="15"/>
  <c r="F96" i="15"/>
  <c r="E96" i="15"/>
  <c r="C96" i="15"/>
  <c r="B96" i="15"/>
  <c r="I92" i="15"/>
  <c r="H92" i="15"/>
  <c r="G92" i="15"/>
  <c r="F92" i="15"/>
  <c r="E91" i="15"/>
  <c r="K89" i="15"/>
  <c r="J89" i="15"/>
  <c r="F89" i="15"/>
  <c r="E89" i="15"/>
  <c r="K88" i="15"/>
  <c r="J88" i="15"/>
  <c r="F88" i="15"/>
  <c r="E88" i="15"/>
  <c r="K87" i="15"/>
  <c r="J87" i="15"/>
  <c r="F87" i="15"/>
  <c r="E87" i="15"/>
  <c r="K86" i="15"/>
  <c r="J86" i="15"/>
  <c r="F86" i="15"/>
  <c r="E86" i="15"/>
  <c r="K85" i="15"/>
  <c r="J85" i="15"/>
  <c r="F85" i="15"/>
  <c r="E85" i="15"/>
  <c r="K84" i="15"/>
  <c r="J84" i="15"/>
  <c r="F84" i="15"/>
  <c r="E84" i="15"/>
  <c r="B84" i="15"/>
  <c r="K83" i="15"/>
  <c r="J83" i="15"/>
  <c r="F83" i="15"/>
  <c r="E83" i="15"/>
  <c r="B83" i="15"/>
  <c r="K82" i="15"/>
  <c r="J82" i="15"/>
  <c r="F82" i="15"/>
  <c r="E82" i="15"/>
  <c r="B82" i="15"/>
  <c r="I81" i="15"/>
  <c r="H81" i="15"/>
  <c r="G81" i="15"/>
  <c r="F81" i="15"/>
  <c r="E81" i="15"/>
  <c r="C81" i="15"/>
  <c r="B81" i="15"/>
  <c r="I77" i="15"/>
  <c r="H77" i="15"/>
  <c r="G77" i="15"/>
  <c r="F77" i="15"/>
  <c r="E76" i="15"/>
  <c r="K74" i="15"/>
  <c r="J74" i="15"/>
  <c r="F74" i="15"/>
  <c r="E74" i="15"/>
  <c r="K73" i="15"/>
  <c r="J73" i="15"/>
  <c r="F73" i="15"/>
  <c r="E73" i="15"/>
  <c r="K72" i="15"/>
  <c r="J72" i="15"/>
  <c r="F72" i="15"/>
  <c r="E72" i="15"/>
  <c r="K71" i="15"/>
  <c r="J71" i="15"/>
  <c r="F71" i="15"/>
  <c r="E71" i="15"/>
  <c r="K70" i="15"/>
  <c r="J70" i="15"/>
  <c r="F70" i="15"/>
  <c r="E70" i="15"/>
  <c r="K69" i="15"/>
  <c r="J69" i="15"/>
  <c r="F69" i="15"/>
  <c r="E69" i="15"/>
  <c r="B69" i="15"/>
  <c r="K68" i="15"/>
  <c r="J68" i="15"/>
  <c r="F68" i="15"/>
  <c r="E68" i="15"/>
  <c r="B68" i="15"/>
  <c r="K67" i="15"/>
  <c r="J67" i="15"/>
  <c r="F67" i="15"/>
  <c r="E67" i="15"/>
  <c r="B67" i="15"/>
  <c r="I66" i="15"/>
  <c r="H66" i="15"/>
  <c r="G66" i="15"/>
  <c r="F66" i="15"/>
  <c r="E66" i="15"/>
  <c r="C66" i="15"/>
  <c r="B66" i="15"/>
  <c r="I62" i="15"/>
  <c r="H62" i="15"/>
  <c r="G62" i="15"/>
  <c r="F62" i="15"/>
  <c r="E61" i="15"/>
  <c r="K59" i="15"/>
  <c r="J59" i="15"/>
  <c r="F59" i="15"/>
  <c r="E59" i="15"/>
  <c r="K58" i="15"/>
  <c r="J58" i="15"/>
  <c r="F58" i="15"/>
  <c r="E58" i="15"/>
  <c r="K57" i="15"/>
  <c r="J57" i="15"/>
  <c r="F57" i="15"/>
  <c r="E57" i="15"/>
  <c r="K56" i="15"/>
  <c r="J56" i="15"/>
  <c r="F56" i="15"/>
  <c r="E56" i="15"/>
  <c r="K55" i="15"/>
  <c r="J55" i="15"/>
  <c r="F55" i="15"/>
  <c r="E55" i="15"/>
  <c r="K54" i="15"/>
  <c r="J54" i="15"/>
  <c r="F54" i="15"/>
  <c r="E54" i="15"/>
  <c r="B54" i="15"/>
  <c r="K53" i="15"/>
  <c r="J53" i="15"/>
  <c r="F53" i="15"/>
  <c r="E53" i="15"/>
  <c r="B53" i="15"/>
  <c r="K52" i="15"/>
  <c r="J52" i="15"/>
  <c r="F52" i="15"/>
  <c r="E52" i="15"/>
  <c r="B52" i="15"/>
  <c r="I51" i="15"/>
  <c r="H51" i="15"/>
  <c r="G51" i="15"/>
  <c r="F51" i="15"/>
  <c r="E51" i="15"/>
  <c r="C51" i="15"/>
  <c r="B51" i="15"/>
  <c r="I46" i="15"/>
  <c r="H46" i="15"/>
  <c r="G46" i="15"/>
  <c r="F46" i="15"/>
  <c r="E45" i="15"/>
  <c r="K43" i="15"/>
  <c r="J43" i="15"/>
  <c r="F43" i="15"/>
  <c r="E43" i="15"/>
  <c r="K42" i="15"/>
  <c r="J42" i="15"/>
  <c r="F42" i="15"/>
  <c r="E42" i="15"/>
  <c r="A42" i="15"/>
  <c r="K41" i="15"/>
  <c r="J41" i="15"/>
  <c r="F41" i="15"/>
  <c r="E41" i="15"/>
  <c r="A41" i="15"/>
  <c r="K40" i="15"/>
  <c r="J40" i="15"/>
  <c r="F40" i="15"/>
  <c r="E40" i="15"/>
  <c r="A40" i="15"/>
  <c r="K39" i="15"/>
  <c r="J39" i="15"/>
  <c r="F39" i="15"/>
  <c r="E39" i="15"/>
  <c r="A39" i="15"/>
  <c r="K38" i="15"/>
  <c r="J38" i="15"/>
  <c r="F38" i="15"/>
  <c r="E38" i="15"/>
  <c r="B38" i="15"/>
  <c r="A38" i="15"/>
  <c r="K37" i="15"/>
  <c r="J37" i="15"/>
  <c r="F37" i="15"/>
  <c r="E37" i="15"/>
  <c r="B37" i="15"/>
  <c r="A37" i="15"/>
  <c r="K36" i="15"/>
  <c r="J36" i="15"/>
  <c r="F36" i="15"/>
  <c r="E36" i="15"/>
  <c r="B36" i="15"/>
  <c r="A36" i="15"/>
  <c r="P36" i="15"/>
  <c r="P35" i="15"/>
  <c r="I35" i="15"/>
  <c r="H35" i="15"/>
  <c r="G35" i="15"/>
  <c r="F35" i="15"/>
  <c r="E35" i="15"/>
  <c r="C35" i="15"/>
  <c r="B35" i="15"/>
  <c r="A35" i="15"/>
  <c r="P34" i="15"/>
  <c r="A34" i="15"/>
  <c r="P33" i="15"/>
  <c r="P32" i="15"/>
  <c r="P31" i="15"/>
  <c r="P30" i="15"/>
  <c r="P29" i="15"/>
  <c r="K28" i="15"/>
  <c r="J28" i="15"/>
  <c r="F28" i="15"/>
  <c r="E28" i="15"/>
  <c r="P27" i="15"/>
  <c r="K27" i="15"/>
  <c r="J27" i="15"/>
  <c r="F27" i="15"/>
  <c r="E27" i="15"/>
  <c r="P26" i="15"/>
  <c r="K26" i="15"/>
  <c r="J26" i="15"/>
  <c r="F26" i="15"/>
  <c r="E26" i="15"/>
  <c r="P25" i="15"/>
  <c r="K25" i="15"/>
  <c r="J25" i="15"/>
  <c r="F25" i="15"/>
  <c r="E25" i="15"/>
  <c r="P24" i="15"/>
  <c r="K24" i="15"/>
  <c r="J24" i="15"/>
  <c r="F24" i="15"/>
  <c r="E24" i="15"/>
  <c r="P23" i="15"/>
  <c r="K23" i="15"/>
  <c r="J23" i="15"/>
  <c r="F23" i="15"/>
  <c r="E23" i="15"/>
  <c r="P22" i="15"/>
  <c r="K22" i="15"/>
  <c r="J22" i="15"/>
  <c r="F22" i="15"/>
  <c r="E22" i="15"/>
  <c r="P21" i="15"/>
  <c r="K21" i="15"/>
  <c r="J21" i="15"/>
  <c r="F21" i="15"/>
  <c r="E21" i="15"/>
  <c r="P20" i="15"/>
  <c r="I20" i="15"/>
  <c r="O14" i="15"/>
  <c r="S39" i="15" s="1"/>
  <c r="N14" i="15"/>
  <c r="N39" i="15" s="1"/>
  <c r="N35" i="15"/>
  <c r="N25" i="15"/>
  <c r="O25" i="15" s="1"/>
  <c r="Q25" i="15" s="1"/>
  <c r="R25" i="15" s="1"/>
  <c r="N24" i="15"/>
  <c r="N22" i="15"/>
  <c r="N30" i="15"/>
  <c r="O30" i="15" s="1"/>
  <c r="Q30" i="15" s="1"/>
  <c r="R30" i="15" s="1"/>
  <c r="N29" i="15"/>
  <c r="O29" i="15" s="1"/>
  <c r="Q29" i="15" s="1"/>
  <c r="R29" i="15" s="1"/>
  <c r="B4" i="15"/>
  <c r="I167" i="14"/>
  <c r="H167" i="14"/>
  <c r="G167" i="14"/>
  <c r="F167" i="14"/>
  <c r="E166" i="14"/>
  <c r="F164" i="14"/>
  <c r="E164" i="14"/>
  <c r="F163" i="14"/>
  <c r="E163" i="14"/>
  <c r="F162" i="14"/>
  <c r="E162" i="14"/>
  <c r="F161" i="14"/>
  <c r="E161" i="14"/>
  <c r="F160" i="14"/>
  <c r="E160" i="14"/>
  <c r="F159" i="14"/>
  <c r="E159" i="14"/>
  <c r="B159" i="14"/>
  <c r="F158" i="14"/>
  <c r="E158" i="14"/>
  <c r="B158" i="14"/>
  <c r="J157" i="14"/>
  <c r="F157" i="14"/>
  <c r="E157" i="14"/>
  <c r="B157" i="14"/>
  <c r="I156" i="14"/>
  <c r="H156" i="14"/>
  <c r="G156" i="14"/>
  <c r="F156" i="14"/>
  <c r="E156" i="14"/>
  <c r="C156" i="14"/>
  <c r="B156" i="14"/>
  <c r="I152" i="14"/>
  <c r="H152" i="14"/>
  <c r="G152" i="14"/>
  <c r="F152" i="14"/>
  <c r="E151" i="14"/>
  <c r="K149" i="14"/>
  <c r="J149" i="14"/>
  <c r="F149" i="14"/>
  <c r="E149" i="14"/>
  <c r="K148" i="14"/>
  <c r="J148" i="14"/>
  <c r="F148" i="14"/>
  <c r="E148" i="14"/>
  <c r="K147" i="14"/>
  <c r="J147" i="14"/>
  <c r="F147" i="14"/>
  <c r="E147" i="14"/>
  <c r="K146" i="14"/>
  <c r="J146" i="14"/>
  <c r="F146" i="14"/>
  <c r="E146" i="14"/>
  <c r="K145" i="14"/>
  <c r="J145" i="14"/>
  <c r="F145" i="14"/>
  <c r="E145" i="14"/>
  <c r="K144" i="14"/>
  <c r="J144" i="14"/>
  <c r="F144" i="14"/>
  <c r="E144" i="14"/>
  <c r="B144" i="14"/>
  <c r="K143" i="14"/>
  <c r="J143" i="14"/>
  <c r="F143" i="14"/>
  <c r="E143" i="14"/>
  <c r="B143" i="14"/>
  <c r="K142" i="14"/>
  <c r="J142" i="14"/>
  <c r="F142" i="14"/>
  <c r="E142" i="14"/>
  <c r="B142" i="14"/>
  <c r="I141" i="14"/>
  <c r="H141" i="14"/>
  <c r="G141" i="14"/>
  <c r="F141" i="14"/>
  <c r="E141" i="14"/>
  <c r="C141" i="14"/>
  <c r="B141" i="14"/>
  <c r="I137" i="14"/>
  <c r="H137" i="14"/>
  <c r="G137" i="14"/>
  <c r="F137" i="14"/>
  <c r="E136" i="14"/>
  <c r="K134" i="14"/>
  <c r="J134" i="14"/>
  <c r="F134" i="14"/>
  <c r="E134" i="14"/>
  <c r="K133" i="14"/>
  <c r="J133" i="14"/>
  <c r="F133" i="14"/>
  <c r="E133" i="14"/>
  <c r="K132" i="14"/>
  <c r="J132" i="14"/>
  <c r="F132" i="14"/>
  <c r="E132" i="14"/>
  <c r="K131" i="14"/>
  <c r="J131" i="14"/>
  <c r="F131" i="14"/>
  <c r="E131" i="14"/>
  <c r="K130" i="14"/>
  <c r="J130" i="14"/>
  <c r="F130" i="14"/>
  <c r="E130" i="14"/>
  <c r="K129" i="14"/>
  <c r="J129" i="14"/>
  <c r="F129" i="14"/>
  <c r="E129" i="14"/>
  <c r="B129" i="14"/>
  <c r="K128" i="14"/>
  <c r="J128" i="14"/>
  <c r="F128" i="14"/>
  <c r="E128" i="14"/>
  <c r="B128" i="14"/>
  <c r="K127" i="14"/>
  <c r="J127" i="14"/>
  <c r="F127" i="14"/>
  <c r="E127" i="14"/>
  <c r="B127" i="14"/>
  <c r="I126" i="14"/>
  <c r="H126" i="14"/>
  <c r="G126" i="14"/>
  <c r="F126" i="14"/>
  <c r="E126" i="14"/>
  <c r="C126" i="14"/>
  <c r="B126" i="14"/>
  <c r="I122" i="14"/>
  <c r="H122" i="14"/>
  <c r="G122" i="14"/>
  <c r="F122" i="14"/>
  <c r="E121" i="14"/>
  <c r="K119" i="14"/>
  <c r="J119" i="14"/>
  <c r="F119" i="14"/>
  <c r="E119" i="14"/>
  <c r="K118" i="14"/>
  <c r="J118" i="14"/>
  <c r="F118" i="14"/>
  <c r="E118" i="14"/>
  <c r="K117" i="14"/>
  <c r="J117" i="14"/>
  <c r="F117" i="14"/>
  <c r="E117" i="14"/>
  <c r="K116" i="14"/>
  <c r="J116" i="14"/>
  <c r="F116" i="14"/>
  <c r="E116" i="14"/>
  <c r="K115" i="14"/>
  <c r="J115" i="14"/>
  <c r="F115" i="14"/>
  <c r="E115" i="14"/>
  <c r="K114" i="14"/>
  <c r="J114" i="14"/>
  <c r="F114" i="14"/>
  <c r="E114" i="14"/>
  <c r="B114" i="14"/>
  <c r="K113" i="14"/>
  <c r="J113" i="14"/>
  <c r="F113" i="14"/>
  <c r="E113" i="14"/>
  <c r="B113" i="14"/>
  <c r="K112" i="14"/>
  <c r="J112" i="14"/>
  <c r="F112" i="14"/>
  <c r="E112" i="14"/>
  <c r="B112" i="14"/>
  <c r="I111" i="14"/>
  <c r="H111" i="14"/>
  <c r="G111" i="14"/>
  <c r="F111" i="14"/>
  <c r="E111" i="14"/>
  <c r="C111" i="14"/>
  <c r="B111" i="14"/>
  <c r="I107" i="14"/>
  <c r="H107" i="14"/>
  <c r="G107" i="14"/>
  <c r="F107" i="14"/>
  <c r="E106" i="14"/>
  <c r="K104" i="14"/>
  <c r="J104" i="14"/>
  <c r="F104" i="14"/>
  <c r="E104" i="14"/>
  <c r="K103" i="14"/>
  <c r="J103" i="14"/>
  <c r="F103" i="14"/>
  <c r="E103" i="14"/>
  <c r="K102" i="14"/>
  <c r="J102" i="14"/>
  <c r="F102" i="14"/>
  <c r="E102" i="14"/>
  <c r="K101" i="14"/>
  <c r="J101" i="14"/>
  <c r="F101" i="14"/>
  <c r="E101" i="14"/>
  <c r="K100" i="14"/>
  <c r="J100" i="14"/>
  <c r="F100" i="14"/>
  <c r="E100" i="14"/>
  <c r="K99" i="14"/>
  <c r="J99" i="14"/>
  <c r="F99" i="14"/>
  <c r="E99" i="14"/>
  <c r="B99" i="14"/>
  <c r="K98" i="14"/>
  <c r="J98" i="14"/>
  <c r="F98" i="14"/>
  <c r="E98" i="14"/>
  <c r="B98" i="14"/>
  <c r="K97" i="14"/>
  <c r="J97" i="14"/>
  <c r="F97" i="14"/>
  <c r="E97" i="14"/>
  <c r="B97" i="14"/>
  <c r="I96" i="14"/>
  <c r="H96" i="14"/>
  <c r="G96" i="14"/>
  <c r="F96" i="14"/>
  <c r="E96" i="14"/>
  <c r="C96" i="14"/>
  <c r="B96" i="14"/>
  <c r="I92" i="14"/>
  <c r="H92" i="14"/>
  <c r="G92" i="14"/>
  <c r="F92" i="14"/>
  <c r="E91" i="14"/>
  <c r="K89" i="14"/>
  <c r="J89" i="14"/>
  <c r="F89" i="14"/>
  <c r="E89" i="14"/>
  <c r="K88" i="14"/>
  <c r="J88" i="14"/>
  <c r="F88" i="14"/>
  <c r="E88" i="14"/>
  <c r="K87" i="14"/>
  <c r="J87" i="14"/>
  <c r="F87" i="14"/>
  <c r="E87" i="14"/>
  <c r="K86" i="14"/>
  <c r="J86" i="14"/>
  <c r="F86" i="14"/>
  <c r="E86" i="14"/>
  <c r="K85" i="14"/>
  <c r="J85" i="14"/>
  <c r="F85" i="14"/>
  <c r="E85" i="14"/>
  <c r="K84" i="14"/>
  <c r="J84" i="14"/>
  <c r="F84" i="14"/>
  <c r="E84" i="14"/>
  <c r="B84" i="14"/>
  <c r="K83" i="14"/>
  <c r="J83" i="14"/>
  <c r="F83" i="14"/>
  <c r="E83" i="14"/>
  <c r="B83" i="14"/>
  <c r="K82" i="14"/>
  <c r="J82" i="14"/>
  <c r="F82" i="14"/>
  <c r="E82" i="14"/>
  <c r="B82" i="14"/>
  <c r="I81" i="14"/>
  <c r="H81" i="14"/>
  <c r="G81" i="14"/>
  <c r="F81" i="14"/>
  <c r="E81" i="14"/>
  <c r="C81" i="14"/>
  <c r="B81" i="14"/>
  <c r="I77" i="14"/>
  <c r="H77" i="14"/>
  <c r="G77" i="14"/>
  <c r="F77" i="14"/>
  <c r="E76" i="14"/>
  <c r="K74" i="14"/>
  <c r="J74" i="14"/>
  <c r="F74" i="14"/>
  <c r="E74" i="14"/>
  <c r="K73" i="14"/>
  <c r="J73" i="14"/>
  <c r="F73" i="14"/>
  <c r="E73" i="14"/>
  <c r="K72" i="14"/>
  <c r="J72" i="14"/>
  <c r="F72" i="14"/>
  <c r="E72" i="14"/>
  <c r="K71" i="14"/>
  <c r="J71" i="14"/>
  <c r="F71" i="14"/>
  <c r="E71" i="14"/>
  <c r="K70" i="14"/>
  <c r="J70" i="14"/>
  <c r="F70" i="14"/>
  <c r="E70" i="14"/>
  <c r="K69" i="14"/>
  <c r="J69" i="14"/>
  <c r="F69" i="14"/>
  <c r="E69" i="14"/>
  <c r="B69" i="14"/>
  <c r="K68" i="14"/>
  <c r="J68" i="14"/>
  <c r="F68" i="14"/>
  <c r="E68" i="14"/>
  <c r="B68" i="14"/>
  <c r="K67" i="14"/>
  <c r="J67" i="14"/>
  <c r="F67" i="14"/>
  <c r="E67" i="14"/>
  <c r="B67" i="14"/>
  <c r="I66" i="14"/>
  <c r="H66" i="14"/>
  <c r="G66" i="14"/>
  <c r="F66" i="14"/>
  <c r="E66" i="14"/>
  <c r="C66" i="14"/>
  <c r="B66" i="14"/>
  <c r="I62" i="14"/>
  <c r="H62" i="14"/>
  <c r="G62" i="14"/>
  <c r="F62" i="14"/>
  <c r="E61" i="14"/>
  <c r="K59" i="14"/>
  <c r="J59" i="14"/>
  <c r="F59" i="14"/>
  <c r="E59" i="14"/>
  <c r="K58" i="14"/>
  <c r="J58" i="14"/>
  <c r="F58" i="14"/>
  <c r="E58" i="14"/>
  <c r="K57" i="14"/>
  <c r="J57" i="14"/>
  <c r="F57" i="14"/>
  <c r="E57" i="14"/>
  <c r="K56" i="14"/>
  <c r="J56" i="14"/>
  <c r="F56" i="14"/>
  <c r="E56" i="14"/>
  <c r="K55" i="14"/>
  <c r="J55" i="14"/>
  <c r="F55" i="14"/>
  <c r="E55" i="14"/>
  <c r="K54" i="14"/>
  <c r="J54" i="14"/>
  <c r="F54" i="14"/>
  <c r="E54" i="14"/>
  <c r="B54" i="14"/>
  <c r="K53" i="14"/>
  <c r="J53" i="14"/>
  <c r="F53" i="14"/>
  <c r="E53" i="14"/>
  <c r="B53" i="14"/>
  <c r="K52" i="14"/>
  <c r="J52" i="14"/>
  <c r="F52" i="14"/>
  <c r="E52" i="14"/>
  <c r="B52" i="14"/>
  <c r="I51" i="14"/>
  <c r="H51" i="14"/>
  <c r="G51" i="14"/>
  <c r="F51" i="14"/>
  <c r="E51" i="14"/>
  <c r="C51" i="14"/>
  <c r="B51" i="14"/>
  <c r="I46" i="14"/>
  <c r="H46" i="14"/>
  <c r="G46" i="14"/>
  <c r="F46" i="14"/>
  <c r="E45" i="14"/>
  <c r="K43" i="14"/>
  <c r="J43" i="14"/>
  <c r="F43" i="14"/>
  <c r="E43" i="14"/>
  <c r="K42" i="14"/>
  <c r="J42" i="14"/>
  <c r="F42" i="14"/>
  <c r="E42" i="14"/>
  <c r="A42" i="14"/>
  <c r="K41" i="14"/>
  <c r="J41" i="14"/>
  <c r="F41" i="14"/>
  <c r="E41" i="14"/>
  <c r="A41" i="14"/>
  <c r="K40" i="14"/>
  <c r="J40" i="14"/>
  <c r="F40" i="14"/>
  <c r="E40" i="14"/>
  <c r="A40" i="14"/>
  <c r="K39" i="14"/>
  <c r="J39" i="14"/>
  <c r="F39" i="14"/>
  <c r="E39" i="14"/>
  <c r="A39" i="14"/>
  <c r="K38" i="14"/>
  <c r="J38" i="14"/>
  <c r="F38" i="14"/>
  <c r="E38" i="14"/>
  <c r="B38" i="14"/>
  <c r="A38" i="14"/>
  <c r="K37" i="14"/>
  <c r="J37" i="14"/>
  <c r="F37" i="14"/>
  <c r="E37" i="14"/>
  <c r="B37" i="14"/>
  <c r="A37" i="14"/>
  <c r="K36" i="14"/>
  <c r="J36" i="14"/>
  <c r="F36" i="14"/>
  <c r="E36" i="14"/>
  <c r="B36" i="14"/>
  <c r="A36" i="14"/>
  <c r="P36" i="14"/>
  <c r="P35" i="14"/>
  <c r="I35" i="14"/>
  <c r="H35" i="14"/>
  <c r="G35" i="14"/>
  <c r="F35" i="14"/>
  <c r="E35" i="14"/>
  <c r="C35" i="14"/>
  <c r="B35" i="14"/>
  <c r="A35" i="14"/>
  <c r="P34" i="14"/>
  <c r="A34" i="14"/>
  <c r="P33" i="14"/>
  <c r="P32" i="14"/>
  <c r="P31" i="14"/>
  <c r="P30" i="14"/>
  <c r="P29" i="14"/>
  <c r="K28" i="14"/>
  <c r="J28" i="14"/>
  <c r="F28" i="14"/>
  <c r="E28" i="14"/>
  <c r="P27" i="14"/>
  <c r="K27" i="14"/>
  <c r="J27" i="14"/>
  <c r="F27" i="14"/>
  <c r="E27" i="14"/>
  <c r="P26" i="14"/>
  <c r="K26" i="14"/>
  <c r="J26" i="14"/>
  <c r="F26" i="14"/>
  <c r="E26" i="14"/>
  <c r="P25" i="14"/>
  <c r="K25" i="14"/>
  <c r="J25" i="14"/>
  <c r="F25" i="14"/>
  <c r="E25" i="14"/>
  <c r="P24" i="14"/>
  <c r="K24" i="14"/>
  <c r="J24" i="14"/>
  <c r="F24" i="14"/>
  <c r="E24" i="14"/>
  <c r="P23" i="14"/>
  <c r="K23" i="14"/>
  <c r="J23" i="14"/>
  <c r="F23" i="14"/>
  <c r="E23" i="14"/>
  <c r="P22" i="14"/>
  <c r="K22" i="14"/>
  <c r="J22" i="14"/>
  <c r="F22" i="14"/>
  <c r="E22" i="14"/>
  <c r="P21" i="14"/>
  <c r="K21" i="14"/>
  <c r="J21" i="14"/>
  <c r="F21" i="14"/>
  <c r="E21" i="14"/>
  <c r="P20" i="14"/>
  <c r="I20" i="14"/>
  <c r="O14" i="14"/>
  <c r="S39" i="14" s="1"/>
  <c r="N14" i="14"/>
  <c r="N39" i="14" s="1"/>
  <c r="R39" i="14" s="1"/>
  <c r="N36" i="14"/>
  <c r="O36" i="14" s="1"/>
  <c r="Q36" i="14" s="1"/>
  <c r="R36" i="14" s="1"/>
  <c r="N35" i="14"/>
  <c r="O35" i="14" s="1"/>
  <c r="N34" i="14"/>
  <c r="O34" i="14" s="1"/>
  <c r="Q34" i="14" s="1"/>
  <c r="R34" i="14" s="1"/>
  <c r="N33" i="14"/>
  <c r="O33" i="14" s="1"/>
  <c r="Q33" i="14" s="1"/>
  <c r="R33" i="14" s="1"/>
  <c r="N32" i="14"/>
  <c r="O32" i="14" s="1"/>
  <c r="N31" i="14"/>
  <c r="O31" i="14" s="1"/>
  <c r="Q31" i="14" s="1"/>
  <c r="R31" i="14" s="1"/>
  <c r="N29" i="14"/>
  <c r="O29" i="14" s="1"/>
  <c r="Q29" i="14" s="1"/>
  <c r="R29" i="14" s="1"/>
  <c r="B4" i="14"/>
  <c r="I167" i="13"/>
  <c r="H167" i="13"/>
  <c r="G167" i="13"/>
  <c r="F167" i="13"/>
  <c r="E166" i="13"/>
  <c r="F164" i="13"/>
  <c r="E164" i="13"/>
  <c r="F163" i="13"/>
  <c r="E163" i="13"/>
  <c r="F162" i="13"/>
  <c r="E162" i="13"/>
  <c r="F161" i="13"/>
  <c r="E161" i="13"/>
  <c r="F160" i="13"/>
  <c r="E160" i="13"/>
  <c r="F159" i="13"/>
  <c r="E159" i="13"/>
  <c r="B159" i="13"/>
  <c r="F158" i="13"/>
  <c r="E158" i="13"/>
  <c r="B158" i="13"/>
  <c r="F157" i="13"/>
  <c r="E157" i="13"/>
  <c r="B157" i="13"/>
  <c r="I156" i="13"/>
  <c r="H156" i="13"/>
  <c r="G156" i="13"/>
  <c r="F156" i="13"/>
  <c r="E156" i="13"/>
  <c r="C156" i="13"/>
  <c r="B156" i="13"/>
  <c r="I152" i="13"/>
  <c r="H152" i="13"/>
  <c r="G152" i="13"/>
  <c r="F152" i="13"/>
  <c r="E151" i="13"/>
  <c r="K149" i="13"/>
  <c r="J149" i="13"/>
  <c r="F149" i="13"/>
  <c r="E149" i="13"/>
  <c r="K148" i="13"/>
  <c r="J148" i="13"/>
  <c r="F148" i="13"/>
  <c r="E148" i="13"/>
  <c r="K147" i="13"/>
  <c r="J147" i="13"/>
  <c r="F147" i="13"/>
  <c r="E147" i="13"/>
  <c r="K146" i="13"/>
  <c r="J146" i="13"/>
  <c r="F146" i="13"/>
  <c r="E146" i="13"/>
  <c r="K145" i="13"/>
  <c r="J145" i="13"/>
  <c r="F145" i="13"/>
  <c r="E145" i="13"/>
  <c r="K144" i="13"/>
  <c r="J144" i="13"/>
  <c r="F144" i="13"/>
  <c r="E144" i="13"/>
  <c r="B144" i="13"/>
  <c r="K143" i="13"/>
  <c r="J143" i="13"/>
  <c r="F143" i="13"/>
  <c r="E143" i="13"/>
  <c r="B143" i="13"/>
  <c r="K142" i="13"/>
  <c r="J142" i="13"/>
  <c r="F142" i="13"/>
  <c r="E142" i="13"/>
  <c r="B142" i="13"/>
  <c r="I141" i="13"/>
  <c r="H141" i="13"/>
  <c r="G141" i="13"/>
  <c r="F141" i="13"/>
  <c r="E141" i="13"/>
  <c r="C141" i="13"/>
  <c r="B141" i="13"/>
  <c r="I137" i="13"/>
  <c r="H137" i="13"/>
  <c r="G137" i="13"/>
  <c r="F137" i="13"/>
  <c r="E136" i="13"/>
  <c r="K134" i="13"/>
  <c r="J134" i="13"/>
  <c r="F134" i="13"/>
  <c r="E134" i="13"/>
  <c r="K133" i="13"/>
  <c r="J133" i="13"/>
  <c r="F133" i="13"/>
  <c r="E133" i="13"/>
  <c r="K132" i="13"/>
  <c r="J132" i="13"/>
  <c r="F132" i="13"/>
  <c r="E132" i="13"/>
  <c r="K131" i="13"/>
  <c r="J131" i="13"/>
  <c r="F131" i="13"/>
  <c r="E131" i="13"/>
  <c r="K130" i="13"/>
  <c r="J130" i="13"/>
  <c r="F130" i="13"/>
  <c r="E130" i="13"/>
  <c r="K129" i="13"/>
  <c r="J129" i="13"/>
  <c r="F129" i="13"/>
  <c r="E129" i="13"/>
  <c r="B129" i="13"/>
  <c r="K128" i="13"/>
  <c r="J128" i="13"/>
  <c r="F128" i="13"/>
  <c r="E128" i="13"/>
  <c r="B128" i="13"/>
  <c r="K127" i="13"/>
  <c r="J127" i="13"/>
  <c r="F127" i="13"/>
  <c r="E127" i="13"/>
  <c r="B127" i="13"/>
  <c r="I126" i="13"/>
  <c r="H126" i="13"/>
  <c r="G126" i="13"/>
  <c r="F126" i="13"/>
  <c r="E126" i="13"/>
  <c r="C126" i="13"/>
  <c r="B126" i="13"/>
  <c r="I122" i="13"/>
  <c r="H122" i="13"/>
  <c r="G122" i="13"/>
  <c r="F122" i="13"/>
  <c r="E121" i="13"/>
  <c r="K119" i="13"/>
  <c r="J119" i="13"/>
  <c r="F119" i="13"/>
  <c r="E119" i="13"/>
  <c r="K118" i="13"/>
  <c r="J118" i="13"/>
  <c r="F118" i="13"/>
  <c r="E118" i="13"/>
  <c r="K117" i="13"/>
  <c r="J117" i="13"/>
  <c r="F117" i="13"/>
  <c r="E117" i="13"/>
  <c r="K116" i="13"/>
  <c r="J116" i="13"/>
  <c r="F116" i="13"/>
  <c r="E116" i="13"/>
  <c r="K115" i="13"/>
  <c r="J115" i="13"/>
  <c r="F115" i="13"/>
  <c r="E115" i="13"/>
  <c r="K114" i="13"/>
  <c r="J114" i="13"/>
  <c r="F114" i="13"/>
  <c r="E114" i="13"/>
  <c r="B114" i="13"/>
  <c r="K113" i="13"/>
  <c r="J113" i="13"/>
  <c r="F113" i="13"/>
  <c r="E113" i="13"/>
  <c r="B113" i="13"/>
  <c r="K112" i="13"/>
  <c r="J112" i="13"/>
  <c r="F112" i="13"/>
  <c r="E112" i="13"/>
  <c r="B112" i="13"/>
  <c r="I111" i="13"/>
  <c r="H111" i="13"/>
  <c r="G111" i="13"/>
  <c r="F111" i="13"/>
  <c r="E111" i="13"/>
  <c r="C111" i="13"/>
  <c r="B111" i="13"/>
  <c r="I107" i="13"/>
  <c r="H107" i="13"/>
  <c r="G107" i="13"/>
  <c r="F107" i="13"/>
  <c r="E106" i="13"/>
  <c r="K104" i="13"/>
  <c r="J104" i="13"/>
  <c r="F104" i="13"/>
  <c r="E104" i="13"/>
  <c r="K103" i="13"/>
  <c r="J103" i="13"/>
  <c r="F103" i="13"/>
  <c r="E103" i="13"/>
  <c r="K102" i="13"/>
  <c r="J102" i="13"/>
  <c r="F102" i="13"/>
  <c r="E102" i="13"/>
  <c r="K101" i="13"/>
  <c r="J101" i="13"/>
  <c r="F101" i="13"/>
  <c r="E101" i="13"/>
  <c r="K100" i="13"/>
  <c r="J100" i="13"/>
  <c r="F100" i="13"/>
  <c r="E100" i="13"/>
  <c r="K99" i="13"/>
  <c r="J99" i="13"/>
  <c r="F99" i="13"/>
  <c r="E99" i="13"/>
  <c r="B99" i="13"/>
  <c r="K98" i="13"/>
  <c r="J98" i="13"/>
  <c r="F98" i="13"/>
  <c r="E98" i="13"/>
  <c r="B98" i="13"/>
  <c r="K97" i="13"/>
  <c r="J97" i="13"/>
  <c r="F97" i="13"/>
  <c r="E97" i="13"/>
  <c r="B97" i="13"/>
  <c r="I96" i="13"/>
  <c r="H96" i="13"/>
  <c r="G96" i="13"/>
  <c r="F96" i="13"/>
  <c r="E96" i="13"/>
  <c r="C96" i="13"/>
  <c r="B96" i="13"/>
  <c r="I92" i="13"/>
  <c r="H92" i="13"/>
  <c r="G92" i="13"/>
  <c r="F92" i="13"/>
  <c r="E91" i="13"/>
  <c r="K89" i="13"/>
  <c r="J89" i="13"/>
  <c r="F89" i="13"/>
  <c r="E89" i="13"/>
  <c r="K88" i="13"/>
  <c r="J88" i="13"/>
  <c r="F88" i="13"/>
  <c r="E88" i="13"/>
  <c r="K87" i="13"/>
  <c r="J87" i="13"/>
  <c r="F87" i="13"/>
  <c r="E87" i="13"/>
  <c r="K86" i="13"/>
  <c r="J86" i="13"/>
  <c r="F86" i="13"/>
  <c r="E86" i="13"/>
  <c r="K85" i="13"/>
  <c r="J85" i="13"/>
  <c r="F85" i="13"/>
  <c r="E85" i="13"/>
  <c r="K84" i="13"/>
  <c r="J84" i="13"/>
  <c r="F84" i="13"/>
  <c r="E84" i="13"/>
  <c r="B84" i="13"/>
  <c r="K83" i="13"/>
  <c r="J83" i="13"/>
  <c r="F83" i="13"/>
  <c r="E83" i="13"/>
  <c r="B83" i="13"/>
  <c r="K82" i="13"/>
  <c r="J82" i="13"/>
  <c r="F82" i="13"/>
  <c r="E82" i="13"/>
  <c r="B82" i="13"/>
  <c r="I81" i="13"/>
  <c r="H81" i="13"/>
  <c r="G81" i="13"/>
  <c r="F81" i="13"/>
  <c r="E81" i="13"/>
  <c r="C81" i="13"/>
  <c r="B81" i="13"/>
  <c r="I77" i="13"/>
  <c r="H77" i="13"/>
  <c r="G77" i="13"/>
  <c r="F77" i="13"/>
  <c r="E76" i="13"/>
  <c r="K74" i="13"/>
  <c r="J74" i="13"/>
  <c r="F74" i="13"/>
  <c r="E74" i="13"/>
  <c r="K73" i="13"/>
  <c r="J73" i="13"/>
  <c r="F73" i="13"/>
  <c r="E73" i="13"/>
  <c r="K72" i="13"/>
  <c r="J72" i="13"/>
  <c r="F72" i="13"/>
  <c r="E72" i="13"/>
  <c r="K71" i="13"/>
  <c r="J71" i="13"/>
  <c r="F71" i="13"/>
  <c r="E71" i="13"/>
  <c r="K70" i="13"/>
  <c r="J70" i="13"/>
  <c r="F70" i="13"/>
  <c r="E70" i="13"/>
  <c r="K69" i="13"/>
  <c r="J69" i="13"/>
  <c r="F69" i="13"/>
  <c r="E69" i="13"/>
  <c r="B69" i="13"/>
  <c r="K68" i="13"/>
  <c r="J68" i="13"/>
  <c r="F68" i="13"/>
  <c r="E68" i="13"/>
  <c r="B68" i="13"/>
  <c r="K67" i="13"/>
  <c r="J67" i="13"/>
  <c r="F67" i="13"/>
  <c r="E67" i="13"/>
  <c r="B67" i="13"/>
  <c r="I66" i="13"/>
  <c r="H66" i="13"/>
  <c r="G66" i="13"/>
  <c r="F66" i="13"/>
  <c r="C66" i="13"/>
  <c r="B66" i="13"/>
  <c r="I62" i="13"/>
  <c r="H62" i="13"/>
  <c r="G62" i="13"/>
  <c r="F62" i="13"/>
  <c r="E61" i="13"/>
  <c r="K59" i="13"/>
  <c r="J59" i="13"/>
  <c r="F59" i="13"/>
  <c r="E59" i="13"/>
  <c r="K58" i="13"/>
  <c r="J58" i="13"/>
  <c r="F58" i="13"/>
  <c r="E58" i="13"/>
  <c r="K57" i="13"/>
  <c r="J57" i="13"/>
  <c r="F57" i="13"/>
  <c r="E57" i="13"/>
  <c r="K56" i="13"/>
  <c r="J56" i="13"/>
  <c r="F56" i="13"/>
  <c r="E56" i="13"/>
  <c r="K55" i="13"/>
  <c r="J55" i="13"/>
  <c r="F55" i="13"/>
  <c r="E55" i="13"/>
  <c r="K54" i="13"/>
  <c r="J54" i="13"/>
  <c r="F54" i="13"/>
  <c r="E54" i="13"/>
  <c r="B54" i="13"/>
  <c r="K53" i="13"/>
  <c r="J53" i="13"/>
  <c r="F53" i="13"/>
  <c r="E53" i="13"/>
  <c r="B53" i="13"/>
  <c r="K52" i="13"/>
  <c r="J52" i="13"/>
  <c r="F52" i="13"/>
  <c r="E52" i="13"/>
  <c r="B52" i="13"/>
  <c r="I51" i="13"/>
  <c r="H51" i="13"/>
  <c r="G51" i="13"/>
  <c r="F51" i="13"/>
  <c r="E51" i="13"/>
  <c r="C51" i="13"/>
  <c r="B51" i="13"/>
  <c r="I47" i="13"/>
  <c r="H47" i="13"/>
  <c r="G47" i="13"/>
  <c r="F47" i="13"/>
  <c r="E46" i="13"/>
  <c r="K44" i="13"/>
  <c r="J44" i="13"/>
  <c r="F44" i="13"/>
  <c r="E44" i="13"/>
  <c r="K43" i="13"/>
  <c r="J43" i="13"/>
  <c r="F43" i="13"/>
  <c r="E43" i="13"/>
  <c r="A43" i="13"/>
  <c r="K42" i="13"/>
  <c r="J42" i="13"/>
  <c r="F42" i="13"/>
  <c r="E42" i="13"/>
  <c r="A42" i="13"/>
  <c r="K41" i="13"/>
  <c r="J41" i="13"/>
  <c r="F41" i="13"/>
  <c r="E41" i="13"/>
  <c r="A41" i="13"/>
  <c r="K40" i="13"/>
  <c r="J40" i="13"/>
  <c r="F40" i="13"/>
  <c r="E40" i="13"/>
  <c r="A40" i="13"/>
  <c r="K39" i="13"/>
  <c r="J39" i="13"/>
  <c r="F39" i="13"/>
  <c r="E39" i="13"/>
  <c r="B39" i="13"/>
  <c r="A39" i="13"/>
  <c r="K38" i="13"/>
  <c r="J38" i="13"/>
  <c r="F38" i="13"/>
  <c r="E38" i="13"/>
  <c r="B38" i="13"/>
  <c r="A38" i="13"/>
  <c r="K37" i="13"/>
  <c r="J37" i="13"/>
  <c r="F37" i="13"/>
  <c r="E37" i="13"/>
  <c r="B37" i="13"/>
  <c r="A37" i="13"/>
  <c r="P36" i="13"/>
  <c r="A36" i="13"/>
  <c r="P35" i="13"/>
  <c r="I35" i="13"/>
  <c r="H35" i="13"/>
  <c r="G35" i="13"/>
  <c r="F35" i="13"/>
  <c r="E35" i="13"/>
  <c r="C35" i="13"/>
  <c r="B35" i="13"/>
  <c r="A35" i="13"/>
  <c r="P34" i="13"/>
  <c r="A34" i="13"/>
  <c r="P33" i="13"/>
  <c r="P32" i="13"/>
  <c r="P31" i="13"/>
  <c r="P30" i="13"/>
  <c r="P29" i="13"/>
  <c r="K28" i="13"/>
  <c r="J28" i="13"/>
  <c r="F28" i="13"/>
  <c r="E28" i="13"/>
  <c r="P27" i="13"/>
  <c r="K27" i="13"/>
  <c r="J27" i="13"/>
  <c r="F27" i="13"/>
  <c r="E27" i="13"/>
  <c r="P26" i="13"/>
  <c r="K26" i="13"/>
  <c r="J26" i="13"/>
  <c r="F26" i="13"/>
  <c r="E26" i="13"/>
  <c r="P25" i="13"/>
  <c r="K25" i="13"/>
  <c r="J25" i="13"/>
  <c r="F25" i="13"/>
  <c r="E25" i="13"/>
  <c r="P24" i="13"/>
  <c r="K24" i="13"/>
  <c r="J24" i="13"/>
  <c r="F24" i="13"/>
  <c r="E24" i="13"/>
  <c r="P23" i="13"/>
  <c r="K23" i="13"/>
  <c r="J23" i="13"/>
  <c r="F23" i="13"/>
  <c r="E23" i="13"/>
  <c r="P22" i="13"/>
  <c r="K22" i="13"/>
  <c r="J22" i="13"/>
  <c r="F22" i="13"/>
  <c r="E22" i="13"/>
  <c r="P21" i="13"/>
  <c r="K21" i="13"/>
  <c r="J21" i="13"/>
  <c r="F21" i="13"/>
  <c r="E21" i="13"/>
  <c r="P20" i="13"/>
  <c r="I20" i="13"/>
  <c r="O14" i="13"/>
  <c r="S40" i="13" s="1"/>
  <c r="N14" i="13"/>
  <c r="N40" i="13" s="1"/>
  <c r="P40" i="13" s="1"/>
  <c r="N27" i="13"/>
  <c r="O27" i="13" s="1"/>
  <c r="N35" i="13"/>
  <c r="O35" i="13" s="1"/>
  <c r="N25" i="13"/>
  <c r="O25" i="13" s="1"/>
  <c r="Q25" i="13" s="1"/>
  <c r="R25" i="13" s="1"/>
  <c r="N33" i="13"/>
  <c r="N32" i="13"/>
  <c r="O32" i="13" s="1"/>
  <c r="Q32" i="13" s="1"/>
  <c r="R32" i="13" s="1"/>
  <c r="N31" i="13"/>
  <c r="O31" i="13" s="1"/>
  <c r="N30" i="13"/>
  <c r="O30" i="13" s="1"/>
  <c r="B4" i="13"/>
  <c r="I167" i="12"/>
  <c r="H167" i="12"/>
  <c r="G167" i="12"/>
  <c r="F167" i="12"/>
  <c r="E166" i="12"/>
  <c r="F164" i="12"/>
  <c r="E164" i="12"/>
  <c r="F163" i="12"/>
  <c r="E163" i="12"/>
  <c r="F162" i="12"/>
  <c r="E162" i="12"/>
  <c r="F161" i="12"/>
  <c r="E161" i="12"/>
  <c r="F160" i="12"/>
  <c r="E160" i="12"/>
  <c r="F159" i="12"/>
  <c r="E159" i="12"/>
  <c r="B159" i="12"/>
  <c r="F158" i="12"/>
  <c r="E158" i="12"/>
  <c r="B158" i="12"/>
  <c r="J157" i="12"/>
  <c r="F157" i="12"/>
  <c r="E157" i="12"/>
  <c r="B157" i="12"/>
  <c r="I156" i="12"/>
  <c r="H156" i="12"/>
  <c r="G156" i="12"/>
  <c r="F156" i="12"/>
  <c r="E156" i="12"/>
  <c r="C156" i="12"/>
  <c r="B156" i="12"/>
  <c r="I152" i="12"/>
  <c r="H152" i="12"/>
  <c r="G152" i="12"/>
  <c r="F152" i="12"/>
  <c r="E151" i="12"/>
  <c r="K149" i="12"/>
  <c r="J149" i="12"/>
  <c r="F149" i="12"/>
  <c r="E149" i="12"/>
  <c r="K148" i="12"/>
  <c r="J148" i="12"/>
  <c r="F148" i="12"/>
  <c r="E148" i="12"/>
  <c r="K147" i="12"/>
  <c r="J147" i="12"/>
  <c r="F147" i="12"/>
  <c r="E147" i="12"/>
  <c r="K146" i="12"/>
  <c r="J146" i="12"/>
  <c r="F146" i="12"/>
  <c r="E146" i="12"/>
  <c r="K145" i="12"/>
  <c r="J145" i="12"/>
  <c r="F145" i="12"/>
  <c r="E145" i="12"/>
  <c r="K144" i="12"/>
  <c r="J144" i="12"/>
  <c r="F144" i="12"/>
  <c r="E144" i="12"/>
  <c r="B144" i="12"/>
  <c r="K143" i="12"/>
  <c r="J143" i="12"/>
  <c r="F143" i="12"/>
  <c r="E143" i="12"/>
  <c r="B143" i="12"/>
  <c r="K142" i="12"/>
  <c r="J142" i="12"/>
  <c r="F142" i="12"/>
  <c r="E142" i="12"/>
  <c r="B142" i="12"/>
  <c r="I141" i="12"/>
  <c r="H141" i="12"/>
  <c r="G141" i="12"/>
  <c r="F141" i="12"/>
  <c r="E141" i="12"/>
  <c r="C141" i="12"/>
  <c r="B141" i="12"/>
  <c r="I137" i="12"/>
  <c r="H137" i="12"/>
  <c r="G137" i="12"/>
  <c r="F137" i="12"/>
  <c r="E136" i="12"/>
  <c r="K134" i="12"/>
  <c r="J134" i="12"/>
  <c r="F134" i="12"/>
  <c r="E134" i="12"/>
  <c r="K133" i="12"/>
  <c r="J133" i="12"/>
  <c r="F133" i="12"/>
  <c r="E133" i="12"/>
  <c r="K132" i="12"/>
  <c r="J132" i="12"/>
  <c r="F132" i="12"/>
  <c r="E132" i="12"/>
  <c r="K131" i="12"/>
  <c r="J131" i="12"/>
  <c r="F131" i="12"/>
  <c r="E131" i="12"/>
  <c r="K130" i="12"/>
  <c r="J130" i="12"/>
  <c r="F130" i="12"/>
  <c r="E130" i="12"/>
  <c r="K129" i="12"/>
  <c r="J129" i="12"/>
  <c r="F129" i="12"/>
  <c r="E129" i="12"/>
  <c r="B129" i="12"/>
  <c r="K128" i="12"/>
  <c r="J128" i="12"/>
  <c r="F128" i="12"/>
  <c r="E128" i="12"/>
  <c r="B128" i="12"/>
  <c r="K127" i="12"/>
  <c r="J127" i="12"/>
  <c r="F127" i="12"/>
  <c r="E127" i="12"/>
  <c r="B127" i="12"/>
  <c r="I126" i="12"/>
  <c r="H126" i="12"/>
  <c r="G126" i="12"/>
  <c r="F126" i="12"/>
  <c r="E126" i="12"/>
  <c r="C126" i="12"/>
  <c r="B126" i="12"/>
  <c r="I122" i="12"/>
  <c r="H122" i="12"/>
  <c r="G122" i="12"/>
  <c r="F122" i="12"/>
  <c r="E121" i="12"/>
  <c r="K119" i="12"/>
  <c r="J119" i="12"/>
  <c r="F119" i="12"/>
  <c r="E119" i="12"/>
  <c r="K118" i="12"/>
  <c r="J118" i="12"/>
  <c r="F118" i="12"/>
  <c r="E118" i="12"/>
  <c r="K117" i="12"/>
  <c r="J117" i="12"/>
  <c r="F117" i="12"/>
  <c r="E117" i="12"/>
  <c r="K116" i="12"/>
  <c r="J116" i="12"/>
  <c r="F116" i="12"/>
  <c r="E116" i="12"/>
  <c r="K115" i="12"/>
  <c r="J115" i="12"/>
  <c r="F115" i="12"/>
  <c r="E115" i="12"/>
  <c r="K114" i="12"/>
  <c r="J114" i="12"/>
  <c r="F114" i="12"/>
  <c r="E114" i="12"/>
  <c r="B114" i="12"/>
  <c r="K113" i="12"/>
  <c r="J113" i="12"/>
  <c r="F113" i="12"/>
  <c r="E113" i="12"/>
  <c r="B113" i="12"/>
  <c r="K112" i="12"/>
  <c r="J112" i="12"/>
  <c r="F112" i="12"/>
  <c r="E112" i="12"/>
  <c r="B112" i="12"/>
  <c r="I111" i="12"/>
  <c r="H111" i="12"/>
  <c r="G111" i="12"/>
  <c r="F111" i="12"/>
  <c r="E111" i="12"/>
  <c r="C111" i="12"/>
  <c r="B111" i="12"/>
  <c r="I107" i="12"/>
  <c r="H107" i="12"/>
  <c r="G107" i="12"/>
  <c r="F107" i="12"/>
  <c r="E106" i="12"/>
  <c r="K104" i="12"/>
  <c r="J104" i="12"/>
  <c r="F104" i="12"/>
  <c r="E104" i="12"/>
  <c r="K103" i="12"/>
  <c r="J103" i="12"/>
  <c r="F103" i="12"/>
  <c r="E103" i="12"/>
  <c r="K102" i="12"/>
  <c r="J102" i="12"/>
  <c r="F102" i="12"/>
  <c r="E102" i="12"/>
  <c r="K101" i="12"/>
  <c r="J101" i="12"/>
  <c r="F101" i="12"/>
  <c r="E101" i="12"/>
  <c r="K100" i="12"/>
  <c r="J100" i="12"/>
  <c r="F100" i="12"/>
  <c r="E100" i="12"/>
  <c r="K99" i="12"/>
  <c r="J99" i="12"/>
  <c r="F99" i="12"/>
  <c r="E99" i="12"/>
  <c r="B99" i="12"/>
  <c r="K98" i="12"/>
  <c r="J98" i="12"/>
  <c r="F98" i="12"/>
  <c r="E98" i="12"/>
  <c r="B98" i="12"/>
  <c r="K97" i="12"/>
  <c r="J97" i="12"/>
  <c r="F97" i="12"/>
  <c r="E97" i="12"/>
  <c r="B97" i="12"/>
  <c r="I96" i="12"/>
  <c r="H96" i="12"/>
  <c r="G96" i="12"/>
  <c r="F96" i="12"/>
  <c r="E96" i="12"/>
  <c r="C96" i="12"/>
  <c r="B96" i="12"/>
  <c r="I92" i="12"/>
  <c r="H92" i="12"/>
  <c r="G92" i="12"/>
  <c r="F92" i="12"/>
  <c r="E91" i="12"/>
  <c r="K89" i="12"/>
  <c r="J89" i="12"/>
  <c r="F89" i="12"/>
  <c r="E89" i="12"/>
  <c r="K88" i="12"/>
  <c r="J88" i="12"/>
  <c r="F88" i="12"/>
  <c r="E88" i="12"/>
  <c r="K87" i="12"/>
  <c r="J87" i="12"/>
  <c r="F87" i="12"/>
  <c r="E87" i="12"/>
  <c r="K86" i="12"/>
  <c r="J86" i="12"/>
  <c r="F86" i="12"/>
  <c r="E86" i="12"/>
  <c r="K85" i="12"/>
  <c r="J85" i="12"/>
  <c r="F85" i="12"/>
  <c r="E85" i="12"/>
  <c r="K84" i="12"/>
  <c r="J84" i="12"/>
  <c r="F84" i="12"/>
  <c r="E84" i="12"/>
  <c r="B84" i="12"/>
  <c r="K83" i="12"/>
  <c r="J83" i="12"/>
  <c r="F83" i="12"/>
  <c r="E83" i="12"/>
  <c r="B83" i="12"/>
  <c r="K82" i="12"/>
  <c r="J82" i="12"/>
  <c r="F82" i="12"/>
  <c r="E82" i="12"/>
  <c r="B82" i="12"/>
  <c r="I81" i="12"/>
  <c r="H81" i="12"/>
  <c r="G81" i="12"/>
  <c r="F81" i="12"/>
  <c r="E81" i="12"/>
  <c r="C81" i="12"/>
  <c r="B81" i="12"/>
  <c r="I77" i="12"/>
  <c r="H77" i="12"/>
  <c r="G77" i="12"/>
  <c r="F77" i="12"/>
  <c r="E76" i="12"/>
  <c r="K74" i="12"/>
  <c r="J74" i="12"/>
  <c r="F74" i="12"/>
  <c r="E74" i="12"/>
  <c r="K73" i="12"/>
  <c r="J73" i="12"/>
  <c r="F73" i="12"/>
  <c r="E73" i="12"/>
  <c r="K72" i="12"/>
  <c r="J72" i="12"/>
  <c r="F72" i="12"/>
  <c r="E72" i="12"/>
  <c r="K71" i="12"/>
  <c r="J71" i="12"/>
  <c r="F71" i="12"/>
  <c r="E71" i="12"/>
  <c r="K70" i="12"/>
  <c r="J70" i="12"/>
  <c r="F70" i="12"/>
  <c r="E70" i="12"/>
  <c r="K69" i="12"/>
  <c r="J69" i="12"/>
  <c r="F69" i="12"/>
  <c r="E69" i="12"/>
  <c r="B69" i="12"/>
  <c r="K68" i="12"/>
  <c r="J68" i="12"/>
  <c r="F68" i="12"/>
  <c r="E68" i="12"/>
  <c r="B68" i="12"/>
  <c r="K67" i="12"/>
  <c r="J67" i="12"/>
  <c r="F67" i="12"/>
  <c r="E67" i="12"/>
  <c r="B67" i="12"/>
  <c r="I66" i="12"/>
  <c r="H66" i="12"/>
  <c r="G66" i="12"/>
  <c r="F66" i="12"/>
  <c r="E66" i="12"/>
  <c r="C66" i="12"/>
  <c r="B66" i="12"/>
  <c r="I62" i="12"/>
  <c r="H62" i="12"/>
  <c r="G62" i="12"/>
  <c r="F62" i="12"/>
  <c r="E61" i="12"/>
  <c r="K59" i="12"/>
  <c r="J59" i="12"/>
  <c r="F59" i="12"/>
  <c r="E59" i="12"/>
  <c r="K58" i="12"/>
  <c r="J58" i="12"/>
  <c r="F58" i="12"/>
  <c r="E58" i="12"/>
  <c r="K57" i="12"/>
  <c r="J57" i="12"/>
  <c r="F57" i="12"/>
  <c r="E57" i="12"/>
  <c r="K56" i="12"/>
  <c r="J56" i="12"/>
  <c r="F56" i="12"/>
  <c r="E56" i="12"/>
  <c r="K55" i="12"/>
  <c r="J55" i="12"/>
  <c r="F55" i="12"/>
  <c r="E55" i="12"/>
  <c r="K54" i="12"/>
  <c r="J54" i="12"/>
  <c r="F54" i="12"/>
  <c r="E54" i="12"/>
  <c r="B54" i="12"/>
  <c r="K53" i="12"/>
  <c r="J53" i="12"/>
  <c r="F53" i="12"/>
  <c r="E53" i="12"/>
  <c r="B53" i="12"/>
  <c r="K52" i="12"/>
  <c r="J52" i="12"/>
  <c r="F52" i="12"/>
  <c r="E52" i="12"/>
  <c r="B52" i="12"/>
  <c r="I51" i="12"/>
  <c r="H51" i="12"/>
  <c r="G51" i="12"/>
  <c r="F51" i="12"/>
  <c r="E51" i="12"/>
  <c r="C51" i="12"/>
  <c r="B51" i="12"/>
  <c r="I46" i="12"/>
  <c r="H46" i="12"/>
  <c r="G46" i="12"/>
  <c r="F46" i="12"/>
  <c r="E45" i="12"/>
  <c r="K43" i="12"/>
  <c r="J43" i="12"/>
  <c r="F43" i="12"/>
  <c r="E43" i="12"/>
  <c r="K42" i="12"/>
  <c r="J42" i="12"/>
  <c r="F42" i="12"/>
  <c r="E42" i="12"/>
  <c r="A42" i="12"/>
  <c r="K41" i="12"/>
  <c r="J41" i="12"/>
  <c r="F41" i="12"/>
  <c r="E41" i="12"/>
  <c r="A41" i="12"/>
  <c r="K40" i="12"/>
  <c r="J40" i="12"/>
  <c r="F40" i="12"/>
  <c r="E40" i="12"/>
  <c r="A40" i="12"/>
  <c r="K39" i="12"/>
  <c r="J39" i="12"/>
  <c r="F39" i="12"/>
  <c r="E39" i="12"/>
  <c r="A39" i="12"/>
  <c r="K38" i="12"/>
  <c r="J38" i="12"/>
  <c r="F38" i="12"/>
  <c r="E38" i="12"/>
  <c r="B38" i="12"/>
  <c r="A38" i="12"/>
  <c r="K37" i="12"/>
  <c r="J37" i="12"/>
  <c r="F37" i="12"/>
  <c r="E37" i="12"/>
  <c r="B37" i="12"/>
  <c r="A37" i="12"/>
  <c r="K36" i="12"/>
  <c r="J36" i="12"/>
  <c r="F36" i="12"/>
  <c r="E36" i="12"/>
  <c r="B36" i="12"/>
  <c r="A36" i="12"/>
  <c r="P36" i="12"/>
  <c r="P35" i="12"/>
  <c r="I35" i="12"/>
  <c r="H35" i="12"/>
  <c r="G35" i="12"/>
  <c r="F35" i="12"/>
  <c r="E35" i="12"/>
  <c r="C35" i="12"/>
  <c r="B35" i="12"/>
  <c r="A35" i="12"/>
  <c r="P34" i="12"/>
  <c r="A34" i="12"/>
  <c r="P33" i="12"/>
  <c r="P32" i="12"/>
  <c r="P31" i="12"/>
  <c r="P30" i="12"/>
  <c r="P29" i="12"/>
  <c r="K28" i="12"/>
  <c r="J28" i="12"/>
  <c r="F28" i="12"/>
  <c r="E28" i="12"/>
  <c r="P27" i="12"/>
  <c r="K27" i="12"/>
  <c r="J27" i="12"/>
  <c r="F27" i="12"/>
  <c r="E27" i="12"/>
  <c r="P26" i="12"/>
  <c r="K26" i="12"/>
  <c r="J26" i="12"/>
  <c r="F26" i="12"/>
  <c r="E26" i="12"/>
  <c r="P25" i="12"/>
  <c r="K25" i="12"/>
  <c r="J25" i="12"/>
  <c r="F25" i="12"/>
  <c r="E25" i="12"/>
  <c r="P24" i="12"/>
  <c r="K24" i="12"/>
  <c r="J24" i="12"/>
  <c r="F24" i="12"/>
  <c r="E24" i="12"/>
  <c r="P23" i="12"/>
  <c r="K23" i="12"/>
  <c r="J23" i="12"/>
  <c r="F23" i="12"/>
  <c r="E23" i="12"/>
  <c r="P22" i="12"/>
  <c r="K22" i="12"/>
  <c r="J22" i="12"/>
  <c r="F22" i="12"/>
  <c r="E22" i="12"/>
  <c r="P21" i="12"/>
  <c r="K21" i="12"/>
  <c r="J21" i="12"/>
  <c r="F21" i="12"/>
  <c r="E21" i="12"/>
  <c r="P20" i="12"/>
  <c r="I20" i="12"/>
  <c r="O14" i="12"/>
  <c r="S40" i="12" s="1"/>
  <c r="N14" i="12"/>
  <c r="N40" i="12" s="1"/>
  <c r="N36" i="12"/>
  <c r="O36" i="12" s="1"/>
  <c r="Q36" i="12" s="1"/>
  <c r="R36" i="12" s="1"/>
  <c r="N35" i="12"/>
  <c r="O35" i="12" s="1"/>
  <c r="Q35" i="12" s="1"/>
  <c r="R35" i="12" s="1"/>
  <c r="N34" i="12"/>
  <c r="O34" i="12" s="1"/>
  <c r="Q34" i="12" s="1"/>
  <c r="R34" i="12" s="1"/>
  <c r="N33" i="12"/>
  <c r="O33" i="12" s="1"/>
  <c r="Q33" i="12" s="1"/>
  <c r="R33" i="12" s="1"/>
  <c r="N32" i="12"/>
  <c r="O32" i="12" s="1"/>
  <c r="Q32" i="12" s="1"/>
  <c r="R32" i="12" s="1"/>
  <c r="N31" i="12"/>
  <c r="O31" i="12" s="1"/>
  <c r="Q31" i="12" s="1"/>
  <c r="R31" i="12" s="1"/>
  <c r="N29" i="12"/>
  <c r="O29" i="12" s="1"/>
  <c r="Q29" i="12" s="1"/>
  <c r="R29" i="12" s="1"/>
  <c r="B4" i="12"/>
  <c r="I167" i="11"/>
  <c r="H167" i="11"/>
  <c r="G167" i="11"/>
  <c r="F167" i="11"/>
  <c r="E166" i="11"/>
  <c r="F164" i="11"/>
  <c r="E164" i="11"/>
  <c r="F163" i="11"/>
  <c r="E163" i="11"/>
  <c r="F162" i="11"/>
  <c r="E162" i="11"/>
  <c r="F161" i="11"/>
  <c r="E161" i="11"/>
  <c r="F160" i="11"/>
  <c r="E160" i="11"/>
  <c r="F159" i="11"/>
  <c r="E159" i="11"/>
  <c r="F158" i="11"/>
  <c r="E158" i="11"/>
  <c r="B158" i="11"/>
  <c r="J157" i="11"/>
  <c r="F157" i="11"/>
  <c r="E157" i="11"/>
  <c r="B157" i="11"/>
  <c r="I156" i="11"/>
  <c r="H156" i="11"/>
  <c r="G156" i="11"/>
  <c r="F156" i="11"/>
  <c r="E156" i="11"/>
  <c r="C156" i="11"/>
  <c r="B156" i="11"/>
  <c r="I152" i="11"/>
  <c r="H152" i="11"/>
  <c r="G152" i="11"/>
  <c r="F152" i="11"/>
  <c r="E151" i="11"/>
  <c r="K149" i="11"/>
  <c r="J149" i="11"/>
  <c r="F149" i="11"/>
  <c r="E149" i="11"/>
  <c r="K148" i="11"/>
  <c r="J148" i="11"/>
  <c r="F148" i="11"/>
  <c r="E148" i="11"/>
  <c r="K147" i="11"/>
  <c r="J147" i="11"/>
  <c r="F147" i="11"/>
  <c r="E147" i="11"/>
  <c r="K146" i="11"/>
  <c r="J146" i="11"/>
  <c r="F146" i="11"/>
  <c r="E146" i="11"/>
  <c r="K145" i="11"/>
  <c r="J145" i="11"/>
  <c r="F145" i="11"/>
  <c r="E145" i="11"/>
  <c r="K144" i="11"/>
  <c r="J144" i="11"/>
  <c r="F144" i="11"/>
  <c r="E144" i="11"/>
  <c r="K143" i="11"/>
  <c r="J143" i="11"/>
  <c r="F143" i="11"/>
  <c r="E143" i="11"/>
  <c r="B143" i="11"/>
  <c r="K142" i="11"/>
  <c r="J142" i="11"/>
  <c r="F142" i="11"/>
  <c r="E142" i="11"/>
  <c r="B142" i="11"/>
  <c r="I141" i="11"/>
  <c r="H141" i="11"/>
  <c r="G141" i="11"/>
  <c r="F141" i="11"/>
  <c r="E141" i="11"/>
  <c r="C141" i="11"/>
  <c r="B141" i="11"/>
  <c r="I137" i="11"/>
  <c r="H137" i="11"/>
  <c r="G137" i="11"/>
  <c r="F137" i="11"/>
  <c r="E136" i="11"/>
  <c r="K134" i="11"/>
  <c r="J134" i="11"/>
  <c r="F134" i="11"/>
  <c r="E134" i="11"/>
  <c r="K133" i="11"/>
  <c r="J133" i="11"/>
  <c r="F133" i="11"/>
  <c r="E133" i="11"/>
  <c r="K132" i="11"/>
  <c r="J132" i="11"/>
  <c r="F132" i="11"/>
  <c r="E132" i="11"/>
  <c r="K131" i="11"/>
  <c r="J131" i="11"/>
  <c r="F131" i="11"/>
  <c r="E131" i="11"/>
  <c r="K130" i="11"/>
  <c r="J130" i="11"/>
  <c r="F130" i="11"/>
  <c r="E130" i="11"/>
  <c r="K129" i="11"/>
  <c r="J129" i="11"/>
  <c r="F129" i="11"/>
  <c r="E129" i="11"/>
  <c r="K128" i="11"/>
  <c r="J128" i="11"/>
  <c r="F128" i="11"/>
  <c r="E128" i="11"/>
  <c r="B128" i="11"/>
  <c r="K127" i="11"/>
  <c r="J127" i="11"/>
  <c r="F127" i="11"/>
  <c r="E127" i="11"/>
  <c r="B127" i="11"/>
  <c r="I126" i="11"/>
  <c r="H126" i="11"/>
  <c r="G126" i="11"/>
  <c r="F126" i="11"/>
  <c r="E126" i="11"/>
  <c r="C126" i="11"/>
  <c r="B126" i="11"/>
  <c r="I122" i="11"/>
  <c r="H122" i="11"/>
  <c r="G122" i="11"/>
  <c r="F122" i="11"/>
  <c r="E121" i="11"/>
  <c r="K119" i="11"/>
  <c r="J119" i="11"/>
  <c r="F119" i="11"/>
  <c r="E119" i="11"/>
  <c r="K118" i="11"/>
  <c r="J118" i="11"/>
  <c r="F118" i="11"/>
  <c r="E118" i="11"/>
  <c r="K117" i="11"/>
  <c r="J117" i="11"/>
  <c r="F117" i="11"/>
  <c r="E117" i="11"/>
  <c r="K116" i="11"/>
  <c r="J116" i="11"/>
  <c r="F116" i="11"/>
  <c r="E116" i="11"/>
  <c r="K115" i="11"/>
  <c r="J115" i="11"/>
  <c r="F115" i="11"/>
  <c r="E115" i="11"/>
  <c r="K114" i="11"/>
  <c r="J114" i="11"/>
  <c r="F114" i="11"/>
  <c r="E114" i="11"/>
  <c r="K113" i="11"/>
  <c r="J113" i="11"/>
  <c r="F113" i="11"/>
  <c r="E113" i="11"/>
  <c r="B113" i="11"/>
  <c r="K112" i="11"/>
  <c r="J112" i="11"/>
  <c r="F112" i="11"/>
  <c r="E112" i="11"/>
  <c r="B112" i="11"/>
  <c r="I111" i="11"/>
  <c r="H111" i="11"/>
  <c r="G111" i="11"/>
  <c r="F111" i="11"/>
  <c r="E111" i="11"/>
  <c r="C111" i="11"/>
  <c r="B111" i="11"/>
  <c r="I107" i="11"/>
  <c r="H107" i="11"/>
  <c r="G107" i="11"/>
  <c r="F107" i="11"/>
  <c r="E106" i="11"/>
  <c r="K104" i="11"/>
  <c r="J104" i="11"/>
  <c r="F104" i="11"/>
  <c r="E104" i="11"/>
  <c r="K103" i="11"/>
  <c r="J103" i="11"/>
  <c r="F103" i="11"/>
  <c r="E103" i="11"/>
  <c r="K102" i="11"/>
  <c r="J102" i="11"/>
  <c r="F102" i="11"/>
  <c r="E102" i="11"/>
  <c r="K101" i="11"/>
  <c r="J101" i="11"/>
  <c r="F101" i="11"/>
  <c r="E101" i="11"/>
  <c r="K100" i="11"/>
  <c r="J100" i="11"/>
  <c r="F100" i="11"/>
  <c r="E100" i="11"/>
  <c r="K99" i="11"/>
  <c r="J99" i="11"/>
  <c r="F99" i="11"/>
  <c r="E99" i="11"/>
  <c r="K98" i="11"/>
  <c r="J98" i="11"/>
  <c r="F98" i="11"/>
  <c r="E98" i="11"/>
  <c r="B98" i="11"/>
  <c r="K97" i="11"/>
  <c r="J97" i="11"/>
  <c r="F97" i="11"/>
  <c r="E97" i="11"/>
  <c r="B97" i="11"/>
  <c r="I96" i="11"/>
  <c r="H96" i="11"/>
  <c r="G96" i="11"/>
  <c r="F96" i="11"/>
  <c r="E96" i="11"/>
  <c r="C96" i="11"/>
  <c r="B96" i="11"/>
  <c r="I92" i="11"/>
  <c r="H92" i="11"/>
  <c r="G92" i="11"/>
  <c r="F92" i="11"/>
  <c r="E91" i="11"/>
  <c r="K89" i="11"/>
  <c r="J89" i="11"/>
  <c r="F89" i="11"/>
  <c r="E89" i="11"/>
  <c r="K88" i="11"/>
  <c r="J88" i="11"/>
  <c r="F88" i="11"/>
  <c r="E88" i="11"/>
  <c r="K87" i="11"/>
  <c r="J87" i="11"/>
  <c r="F87" i="11"/>
  <c r="E87" i="11"/>
  <c r="K86" i="11"/>
  <c r="J86" i="11"/>
  <c r="F86" i="11"/>
  <c r="E86" i="11"/>
  <c r="K85" i="11"/>
  <c r="J85" i="11"/>
  <c r="F85" i="11"/>
  <c r="E85" i="11"/>
  <c r="K84" i="11"/>
  <c r="J84" i="11"/>
  <c r="F84" i="11"/>
  <c r="E84" i="11"/>
  <c r="K83" i="11"/>
  <c r="J83" i="11"/>
  <c r="F83" i="11"/>
  <c r="E83" i="11"/>
  <c r="B83" i="11"/>
  <c r="K82" i="11"/>
  <c r="J82" i="11"/>
  <c r="F82" i="11"/>
  <c r="E82" i="11"/>
  <c r="B82" i="11"/>
  <c r="I81" i="11"/>
  <c r="H81" i="11"/>
  <c r="G81" i="11"/>
  <c r="F81" i="11"/>
  <c r="E81" i="11"/>
  <c r="C81" i="11"/>
  <c r="B81" i="11"/>
  <c r="I77" i="11"/>
  <c r="H77" i="11"/>
  <c r="G77" i="11"/>
  <c r="F77" i="11"/>
  <c r="E76" i="11"/>
  <c r="K74" i="11"/>
  <c r="J74" i="11"/>
  <c r="F74" i="11"/>
  <c r="E74" i="11"/>
  <c r="K73" i="11"/>
  <c r="J73" i="11"/>
  <c r="F73" i="11"/>
  <c r="E73" i="11"/>
  <c r="K72" i="11"/>
  <c r="J72" i="11"/>
  <c r="F72" i="11"/>
  <c r="E72" i="11"/>
  <c r="K71" i="11"/>
  <c r="J71" i="11"/>
  <c r="F71" i="11"/>
  <c r="E71" i="11"/>
  <c r="K70" i="11"/>
  <c r="J70" i="11"/>
  <c r="F70" i="11"/>
  <c r="E70" i="11"/>
  <c r="K69" i="11"/>
  <c r="J69" i="11"/>
  <c r="F69" i="11"/>
  <c r="E69" i="11"/>
  <c r="B69" i="11"/>
  <c r="K68" i="11"/>
  <c r="J68" i="11"/>
  <c r="F68" i="11"/>
  <c r="E68" i="11"/>
  <c r="B68" i="11"/>
  <c r="K67" i="11"/>
  <c r="J67" i="11"/>
  <c r="F67" i="11"/>
  <c r="E67" i="11"/>
  <c r="B67" i="11"/>
  <c r="I66" i="11"/>
  <c r="H66" i="11"/>
  <c r="G66" i="11"/>
  <c r="F66" i="11"/>
  <c r="E66" i="11"/>
  <c r="C66" i="11"/>
  <c r="B66" i="11"/>
  <c r="I62" i="11"/>
  <c r="H62" i="11"/>
  <c r="G62" i="11"/>
  <c r="F62" i="11"/>
  <c r="E61" i="11"/>
  <c r="K59" i="11"/>
  <c r="J59" i="11"/>
  <c r="F59" i="11"/>
  <c r="E59" i="11"/>
  <c r="K58" i="11"/>
  <c r="J58" i="11"/>
  <c r="F58" i="11"/>
  <c r="E58" i="11"/>
  <c r="K57" i="11"/>
  <c r="J57" i="11"/>
  <c r="F57" i="11"/>
  <c r="E57" i="11"/>
  <c r="K56" i="11"/>
  <c r="J56" i="11"/>
  <c r="F56" i="11"/>
  <c r="E56" i="11"/>
  <c r="K55" i="11"/>
  <c r="J55" i="11"/>
  <c r="F55" i="11"/>
  <c r="E55" i="11"/>
  <c r="K54" i="11"/>
  <c r="J54" i="11"/>
  <c r="F54" i="11"/>
  <c r="E54" i="11"/>
  <c r="K53" i="11"/>
  <c r="J53" i="11"/>
  <c r="F53" i="11"/>
  <c r="E53" i="11"/>
  <c r="B53" i="11"/>
  <c r="K52" i="11"/>
  <c r="J52" i="11"/>
  <c r="F52" i="11"/>
  <c r="E52" i="11"/>
  <c r="B52" i="11"/>
  <c r="I51" i="11"/>
  <c r="H51" i="11"/>
  <c r="G51" i="11"/>
  <c r="F51" i="11"/>
  <c r="E51" i="11"/>
  <c r="C51" i="11"/>
  <c r="B51" i="11"/>
  <c r="I46" i="11"/>
  <c r="H46" i="11"/>
  <c r="G46" i="11"/>
  <c r="F46" i="11"/>
  <c r="E45" i="11"/>
  <c r="K43" i="11"/>
  <c r="J43" i="11"/>
  <c r="F43" i="11"/>
  <c r="E43" i="11"/>
  <c r="K42" i="11"/>
  <c r="J42" i="11"/>
  <c r="F42" i="11"/>
  <c r="E42" i="11"/>
  <c r="A43" i="11"/>
  <c r="K41" i="11"/>
  <c r="J41" i="11"/>
  <c r="F41" i="11"/>
  <c r="E41" i="11"/>
  <c r="A42" i="11"/>
  <c r="K40" i="11"/>
  <c r="J40" i="11"/>
  <c r="F40" i="11"/>
  <c r="E40" i="11"/>
  <c r="A41" i="11"/>
  <c r="K39" i="11"/>
  <c r="J39" i="11"/>
  <c r="F39" i="11"/>
  <c r="E39" i="11"/>
  <c r="A40" i="11"/>
  <c r="K38" i="11"/>
  <c r="J38" i="11"/>
  <c r="F38" i="11"/>
  <c r="E38" i="11"/>
  <c r="A39" i="11"/>
  <c r="K37" i="11"/>
  <c r="J37" i="11"/>
  <c r="F37" i="11"/>
  <c r="E37" i="11"/>
  <c r="B37" i="11"/>
  <c r="A38" i="11"/>
  <c r="K36" i="11"/>
  <c r="J36" i="11"/>
  <c r="F36" i="11"/>
  <c r="E36" i="11"/>
  <c r="A37" i="11"/>
  <c r="A36" i="11"/>
  <c r="I35" i="11"/>
  <c r="C35" i="11"/>
  <c r="B35" i="11"/>
  <c r="A35" i="11"/>
  <c r="A34" i="11"/>
  <c r="K28" i="11"/>
  <c r="J28" i="11"/>
  <c r="F28" i="11"/>
  <c r="E28" i="11"/>
  <c r="K27" i="11"/>
  <c r="J27" i="11"/>
  <c r="F27" i="11"/>
  <c r="E27" i="11"/>
  <c r="K26" i="11"/>
  <c r="J26" i="11"/>
  <c r="F26" i="11"/>
  <c r="E26" i="11"/>
  <c r="K25" i="11"/>
  <c r="J25" i="11"/>
  <c r="F25" i="11"/>
  <c r="E25" i="11"/>
  <c r="K24" i="11"/>
  <c r="J24" i="11"/>
  <c r="F24" i="11"/>
  <c r="E24" i="11"/>
  <c r="K23" i="11"/>
  <c r="J23" i="11"/>
  <c r="F23" i="11"/>
  <c r="E23" i="11"/>
  <c r="K22" i="11"/>
  <c r="J22" i="11"/>
  <c r="F22" i="11"/>
  <c r="E22" i="11"/>
  <c r="K21" i="11"/>
  <c r="J21" i="11"/>
  <c r="F21" i="11"/>
  <c r="E21" i="11"/>
  <c r="I20" i="11"/>
  <c r="O14" i="11"/>
  <c r="S40" i="11" s="1"/>
  <c r="N14" i="11"/>
  <c r="N40" i="11" s="1"/>
  <c r="N36" i="11"/>
  <c r="O36" i="11" s="1"/>
  <c r="Q36" i="11" s="1"/>
  <c r="N26" i="11"/>
  <c r="O26" i="11" s="1"/>
  <c r="Q26" i="11" s="1"/>
  <c r="N34" i="11"/>
  <c r="O34" i="11" s="1"/>
  <c r="Q34" i="11" s="1"/>
  <c r="N32" i="11"/>
  <c r="O32" i="11" s="1"/>
  <c r="Q32" i="11" s="1"/>
  <c r="N31" i="11"/>
  <c r="O31" i="11" s="1"/>
  <c r="Q31" i="11" s="1"/>
  <c r="N30" i="11"/>
  <c r="O30" i="11" s="1"/>
  <c r="Q30" i="11" s="1"/>
  <c r="N29" i="11"/>
  <c r="O29" i="11" s="1"/>
  <c r="Q29" i="11" s="1"/>
  <c r="B4" i="11"/>
  <c r="I167" i="10"/>
  <c r="H167" i="10"/>
  <c r="G167" i="10"/>
  <c r="F167" i="10"/>
  <c r="E166" i="10"/>
  <c r="F164" i="10"/>
  <c r="E164" i="10"/>
  <c r="F163" i="10"/>
  <c r="E163" i="10"/>
  <c r="F162" i="10"/>
  <c r="E162" i="10"/>
  <c r="F161" i="10"/>
  <c r="E161" i="10"/>
  <c r="F160" i="10"/>
  <c r="E160" i="10"/>
  <c r="F159" i="10"/>
  <c r="E159" i="10"/>
  <c r="F158" i="10"/>
  <c r="E158" i="10"/>
  <c r="B158" i="10"/>
  <c r="J157" i="10"/>
  <c r="F157" i="10"/>
  <c r="E157" i="10"/>
  <c r="B157" i="10"/>
  <c r="I156" i="10"/>
  <c r="C156" i="10"/>
  <c r="B156" i="10"/>
  <c r="I152" i="10"/>
  <c r="H152" i="10"/>
  <c r="G152" i="10"/>
  <c r="F152" i="10"/>
  <c r="E151" i="10"/>
  <c r="K149" i="10"/>
  <c r="J149" i="10"/>
  <c r="F149" i="10"/>
  <c r="E149" i="10"/>
  <c r="K148" i="10"/>
  <c r="J148" i="10"/>
  <c r="F148" i="10"/>
  <c r="E148" i="10"/>
  <c r="K147" i="10"/>
  <c r="J147" i="10"/>
  <c r="F147" i="10"/>
  <c r="E147" i="10"/>
  <c r="K146" i="10"/>
  <c r="J146" i="10"/>
  <c r="F146" i="10"/>
  <c r="E146" i="10"/>
  <c r="K145" i="10"/>
  <c r="J145" i="10"/>
  <c r="F145" i="10"/>
  <c r="E145" i="10"/>
  <c r="K144" i="10"/>
  <c r="J144" i="10"/>
  <c r="F144" i="10"/>
  <c r="E144" i="10"/>
  <c r="K143" i="10"/>
  <c r="J143" i="10"/>
  <c r="F143" i="10"/>
  <c r="E143" i="10"/>
  <c r="B143" i="10"/>
  <c r="K142" i="10"/>
  <c r="J142" i="10"/>
  <c r="F142" i="10"/>
  <c r="E142" i="10"/>
  <c r="B142" i="10"/>
  <c r="I141" i="10"/>
  <c r="H141" i="10"/>
  <c r="G141" i="10"/>
  <c r="F141" i="10"/>
  <c r="E141" i="10"/>
  <c r="C141" i="10"/>
  <c r="B141" i="10"/>
  <c r="I137" i="10"/>
  <c r="H137" i="10"/>
  <c r="G137" i="10"/>
  <c r="F137" i="10"/>
  <c r="E136" i="10"/>
  <c r="K134" i="10"/>
  <c r="J134" i="10"/>
  <c r="F134" i="10"/>
  <c r="E134" i="10"/>
  <c r="K133" i="10"/>
  <c r="J133" i="10"/>
  <c r="F133" i="10"/>
  <c r="E133" i="10"/>
  <c r="K132" i="10"/>
  <c r="J132" i="10"/>
  <c r="F132" i="10"/>
  <c r="E132" i="10"/>
  <c r="K131" i="10"/>
  <c r="J131" i="10"/>
  <c r="F131" i="10"/>
  <c r="E131" i="10"/>
  <c r="K130" i="10"/>
  <c r="J130" i="10"/>
  <c r="F130" i="10"/>
  <c r="E130" i="10"/>
  <c r="K129" i="10"/>
  <c r="J129" i="10"/>
  <c r="F129" i="10"/>
  <c r="E129" i="10"/>
  <c r="K128" i="10"/>
  <c r="J128" i="10"/>
  <c r="F128" i="10"/>
  <c r="E128" i="10"/>
  <c r="B128" i="10"/>
  <c r="K127" i="10"/>
  <c r="J127" i="10"/>
  <c r="F127" i="10"/>
  <c r="E127" i="10"/>
  <c r="B127" i="10"/>
  <c r="I126" i="10"/>
  <c r="C126" i="10"/>
  <c r="B126" i="10"/>
  <c r="I122" i="10"/>
  <c r="H122" i="10"/>
  <c r="G122" i="10"/>
  <c r="F122" i="10"/>
  <c r="E121" i="10"/>
  <c r="K119" i="10"/>
  <c r="J119" i="10"/>
  <c r="F119" i="10"/>
  <c r="E119" i="10"/>
  <c r="K118" i="10"/>
  <c r="J118" i="10"/>
  <c r="F118" i="10"/>
  <c r="E118" i="10"/>
  <c r="K117" i="10"/>
  <c r="J117" i="10"/>
  <c r="F117" i="10"/>
  <c r="E117" i="10"/>
  <c r="K116" i="10"/>
  <c r="J116" i="10"/>
  <c r="F116" i="10"/>
  <c r="E116" i="10"/>
  <c r="K115" i="10"/>
  <c r="J115" i="10"/>
  <c r="F115" i="10"/>
  <c r="E115" i="10"/>
  <c r="K114" i="10"/>
  <c r="J114" i="10"/>
  <c r="F114" i="10"/>
  <c r="E114" i="10"/>
  <c r="K113" i="10"/>
  <c r="J113" i="10"/>
  <c r="F113" i="10"/>
  <c r="E113" i="10"/>
  <c r="B113" i="10"/>
  <c r="K112" i="10"/>
  <c r="J112" i="10"/>
  <c r="F112" i="10"/>
  <c r="E112" i="10"/>
  <c r="B112" i="10"/>
  <c r="I111" i="10"/>
  <c r="H111" i="10"/>
  <c r="G111" i="10"/>
  <c r="F111" i="10"/>
  <c r="E111" i="10"/>
  <c r="C111" i="10"/>
  <c r="B111" i="10"/>
  <c r="I107" i="10"/>
  <c r="H107" i="10"/>
  <c r="G107" i="10"/>
  <c r="F107" i="10"/>
  <c r="E106" i="10"/>
  <c r="K104" i="10"/>
  <c r="J104" i="10"/>
  <c r="F104" i="10"/>
  <c r="E104" i="10"/>
  <c r="K103" i="10"/>
  <c r="J103" i="10"/>
  <c r="F103" i="10"/>
  <c r="E103" i="10"/>
  <c r="K102" i="10"/>
  <c r="J102" i="10"/>
  <c r="F102" i="10"/>
  <c r="E102" i="10"/>
  <c r="K101" i="10"/>
  <c r="J101" i="10"/>
  <c r="F101" i="10"/>
  <c r="E101" i="10"/>
  <c r="K100" i="10"/>
  <c r="J100" i="10"/>
  <c r="F100" i="10"/>
  <c r="E100" i="10"/>
  <c r="K99" i="10"/>
  <c r="J99" i="10"/>
  <c r="F99" i="10"/>
  <c r="E99" i="10"/>
  <c r="K98" i="10"/>
  <c r="J98" i="10"/>
  <c r="F98" i="10"/>
  <c r="E98" i="10"/>
  <c r="B98" i="10"/>
  <c r="K97" i="10"/>
  <c r="J97" i="10"/>
  <c r="F97" i="10"/>
  <c r="E97" i="10"/>
  <c r="B97" i="10"/>
  <c r="I96" i="10"/>
  <c r="C96" i="10"/>
  <c r="B96" i="10"/>
  <c r="I92" i="10"/>
  <c r="H92" i="10"/>
  <c r="G92" i="10"/>
  <c r="F92" i="10"/>
  <c r="E91" i="10"/>
  <c r="K89" i="10"/>
  <c r="J89" i="10"/>
  <c r="F89" i="10"/>
  <c r="E89" i="10"/>
  <c r="K88" i="10"/>
  <c r="J88" i="10"/>
  <c r="F88" i="10"/>
  <c r="E88" i="10"/>
  <c r="K87" i="10"/>
  <c r="J87" i="10"/>
  <c r="F87" i="10"/>
  <c r="E87" i="10"/>
  <c r="K86" i="10"/>
  <c r="J86" i="10"/>
  <c r="F86" i="10"/>
  <c r="E86" i="10"/>
  <c r="K85" i="10"/>
  <c r="J85" i="10"/>
  <c r="F85" i="10"/>
  <c r="E85" i="10"/>
  <c r="K84" i="10"/>
  <c r="J84" i="10"/>
  <c r="F84" i="10"/>
  <c r="E84" i="10"/>
  <c r="K83" i="10"/>
  <c r="J83" i="10"/>
  <c r="F83" i="10"/>
  <c r="E83" i="10"/>
  <c r="B83" i="10"/>
  <c r="K82" i="10"/>
  <c r="J82" i="10"/>
  <c r="F82" i="10"/>
  <c r="E82" i="10"/>
  <c r="B82" i="10"/>
  <c r="I81" i="10"/>
  <c r="H81" i="10"/>
  <c r="G81" i="10"/>
  <c r="F81" i="10"/>
  <c r="E81" i="10"/>
  <c r="C81" i="10"/>
  <c r="B81" i="10"/>
  <c r="I76" i="10"/>
  <c r="H76" i="10"/>
  <c r="G76" i="10"/>
  <c r="F76" i="10"/>
  <c r="E75" i="10"/>
  <c r="K73" i="10"/>
  <c r="J73" i="10"/>
  <c r="F73" i="10"/>
  <c r="E73" i="10"/>
  <c r="K72" i="10"/>
  <c r="J72" i="10"/>
  <c r="F72" i="10"/>
  <c r="E72" i="10"/>
  <c r="K71" i="10"/>
  <c r="J71" i="10"/>
  <c r="F71" i="10"/>
  <c r="E71" i="10"/>
  <c r="K70" i="10"/>
  <c r="J70" i="10"/>
  <c r="F70" i="10"/>
  <c r="E70" i="10"/>
  <c r="K69" i="10"/>
  <c r="J69" i="10"/>
  <c r="F69" i="10"/>
  <c r="E69" i="10"/>
  <c r="K68" i="10"/>
  <c r="J68" i="10"/>
  <c r="F68" i="10"/>
  <c r="E68" i="10"/>
  <c r="K67" i="10"/>
  <c r="J67" i="10"/>
  <c r="F67" i="10"/>
  <c r="E67" i="10"/>
  <c r="B67" i="10"/>
  <c r="K66" i="10"/>
  <c r="J66" i="10"/>
  <c r="F66" i="10"/>
  <c r="E66" i="10"/>
  <c r="B66" i="10"/>
  <c r="I65" i="10"/>
  <c r="C65" i="10"/>
  <c r="B65" i="10"/>
  <c r="I61" i="10"/>
  <c r="H61" i="10"/>
  <c r="G61" i="10"/>
  <c r="F61" i="10"/>
  <c r="E60" i="10"/>
  <c r="K58" i="10"/>
  <c r="J58" i="10"/>
  <c r="F58" i="10"/>
  <c r="E58" i="10"/>
  <c r="K57" i="10"/>
  <c r="J57" i="10"/>
  <c r="F57" i="10"/>
  <c r="E57" i="10"/>
  <c r="K56" i="10"/>
  <c r="J56" i="10"/>
  <c r="F56" i="10"/>
  <c r="E56" i="10"/>
  <c r="K55" i="10"/>
  <c r="J55" i="10"/>
  <c r="F55" i="10"/>
  <c r="E55" i="10"/>
  <c r="K54" i="10"/>
  <c r="J54" i="10"/>
  <c r="F54" i="10"/>
  <c r="E54" i="10"/>
  <c r="K53" i="10"/>
  <c r="J53" i="10"/>
  <c r="F53" i="10"/>
  <c r="E53" i="10"/>
  <c r="K52" i="10"/>
  <c r="J52" i="10"/>
  <c r="F52" i="10"/>
  <c r="E52" i="10"/>
  <c r="B52" i="10"/>
  <c r="K51" i="10"/>
  <c r="J51" i="10"/>
  <c r="F51" i="10"/>
  <c r="E51" i="10"/>
  <c r="B51" i="10"/>
  <c r="I50" i="10"/>
  <c r="C50" i="10"/>
  <c r="B50" i="10"/>
  <c r="I45" i="10"/>
  <c r="H45" i="10"/>
  <c r="G45" i="10"/>
  <c r="F45" i="10"/>
  <c r="E44" i="10"/>
  <c r="K42" i="10"/>
  <c r="J42" i="10"/>
  <c r="F42" i="10"/>
  <c r="E42" i="10"/>
  <c r="K41" i="10"/>
  <c r="J41" i="10"/>
  <c r="F41" i="10"/>
  <c r="E41" i="10"/>
  <c r="A42" i="10"/>
  <c r="K40" i="10"/>
  <c r="J40" i="10"/>
  <c r="F40" i="10"/>
  <c r="E40" i="10"/>
  <c r="A41" i="10"/>
  <c r="K39" i="10"/>
  <c r="J39" i="10"/>
  <c r="F39" i="10"/>
  <c r="E39" i="10"/>
  <c r="A40" i="10"/>
  <c r="K38" i="10"/>
  <c r="J38" i="10"/>
  <c r="F38" i="10"/>
  <c r="E38" i="10"/>
  <c r="A39" i="10"/>
  <c r="K37" i="10"/>
  <c r="J37" i="10"/>
  <c r="F37" i="10"/>
  <c r="E37" i="10"/>
  <c r="A38" i="10"/>
  <c r="K36" i="10"/>
  <c r="J36" i="10"/>
  <c r="F36" i="10"/>
  <c r="E36" i="10"/>
  <c r="B36" i="10"/>
  <c r="A37" i="10"/>
  <c r="K35" i="10"/>
  <c r="J35" i="10"/>
  <c r="F35" i="10"/>
  <c r="E35" i="10"/>
  <c r="B35" i="10"/>
  <c r="A36" i="10"/>
  <c r="P35" i="10"/>
  <c r="I34" i="10"/>
  <c r="C34" i="10"/>
  <c r="B34" i="10"/>
  <c r="A34" i="10"/>
  <c r="P34" i="10"/>
  <c r="A33" i="10"/>
  <c r="P33" i="10"/>
  <c r="P32" i="10"/>
  <c r="P31" i="10"/>
  <c r="P30" i="10"/>
  <c r="P29" i="10"/>
  <c r="K27" i="10"/>
  <c r="J27" i="10"/>
  <c r="F27" i="10"/>
  <c r="E27" i="10"/>
  <c r="P27" i="10"/>
  <c r="K26" i="10"/>
  <c r="J26" i="10"/>
  <c r="F26" i="10"/>
  <c r="E26" i="10"/>
  <c r="P26" i="10"/>
  <c r="K25" i="10"/>
  <c r="J25" i="10"/>
  <c r="F25" i="10"/>
  <c r="E25" i="10"/>
  <c r="P25" i="10"/>
  <c r="K24" i="10"/>
  <c r="J24" i="10"/>
  <c r="F24" i="10"/>
  <c r="E24" i="10"/>
  <c r="P24" i="10"/>
  <c r="K23" i="10"/>
  <c r="J23" i="10"/>
  <c r="F23" i="10"/>
  <c r="E23" i="10"/>
  <c r="P23" i="10"/>
  <c r="K22" i="10"/>
  <c r="J22" i="10"/>
  <c r="F22" i="10"/>
  <c r="E22" i="10"/>
  <c r="P22" i="10"/>
  <c r="K21" i="10"/>
  <c r="J21" i="10"/>
  <c r="F21" i="10"/>
  <c r="E21" i="10"/>
  <c r="P21" i="10"/>
  <c r="K20" i="10"/>
  <c r="J20" i="10"/>
  <c r="F20" i="10"/>
  <c r="E20" i="10"/>
  <c r="I19" i="10"/>
  <c r="O14" i="10"/>
  <c r="S40" i="10" s="1"/>
  <c r="N14" i="10"/>
  <c r="N40" i="10" s="1"/>
  <c r="N34" i="10"/>
  <c r="O34" i="10" s="1"/>
  <c r="Q34" i="10" s="1"/>
  <c r="R34" i="10" s="1"/>
  <c r="N24" i="10"/>
  <c r="O24" i="10" s="1"/>
  <c r="N23" i="10"/>
  <c r="O23" i="10" s="1"/>
  <c r="Q23" i="10" s="1"/>
  <c r="R23" i="10" s="1"/>
  <c r="N31" i="10"/>
  <c r="N30" i="10"/>
  <c r="O30" i="10" s="1"/>
  <c r="Q30" i="10" s="1"/>
  <c r="R30" i="10" s="1"/>
  <c r="N20" i="10"/>
  <c r="B4" i="10"/>
  <c r="I167" i="8"/>
  <c r="H167" i="8"/>
  <c r="G167" i="8"/>
  <c r="F167" i="8"/>
  <c r="E166" i="8"/>
  <c r="F164" i="8"/>
  <c r="E164" i="8"/>
  <c r="F163" i="8"/>
  <c r="E163" i="8"/>
  <c r="F162" i="8"/>
  <c r="E162" i="8"/>
  <c r="F161" i="8"/>
  <c r="E161" i="8"/>
  <c r="F160" i="8"/>
  <c r="E160" i="8"/>
  <c r="F159" i="8"/>
  <c r="E159" i="8"/>
  <c r="F158" i="8"/>
  <c r="E158" i="8"/>
  <c r="B159" i="8"/>
  <c r="J158" i="8"/>
  <c r="F157" i="8"/>
  <c r="E157" i="8"/>
  <c r="B158" i="8"/>
  <c r="I156" i="8"/>
  <c r="C156" i="8"/>
  <c r="B156" i="8"/>
  <c r="I152" i="8"/>
  <c r="H152" i="8"/>
  <c r="G152" i="8"/>
  <c r="F152" i="8"/>
  <c r="E151" i="8"/>
  <c r="K150" i="8"/>
  <c r="J150" i="8"/>
  <c r="F149" i="8"/>
  <c r="E149" i="8"/>
  <c r="K149" i="8"/>
  <c r="J149" i="8"/>
  <c r="F148" i="8"/>
  <c r="E148" i="8"/>
  <c r="K148" i="8"/>
  <c r="J148" i="8"/>
  <c r="F147" i="8"/>
  <c r="E147" i="8"/>
  <c r="K147" i="8"/>
  <c r="J147" i="8"/>
  <c r="F146" i="8"/>
  <c r="E146" i="8"/>
  <c r="K146" i="8"/>
  <c r="J146" i="8"/>
  <c r="F145" i="8"/>
  <c r="E145" i="8"/>
  <c r="K145" i="8"/>
  <c r="J145" i="8"/>
  <c r="F144" i="8"/>
  <c r="E144" i="8"/>
  <c r="K144" i="8"/>
  <c r="J144" i="8"/>
  <c r="F143" i="8"/>
  <c r="E143" i="8"/>
  <c r="B144" i="8"/>
  <c r="K143" i="8"/>
  <c r="J143" i="8"/>
  <c r="F142" i="8"/>
  <c r="E142" i="8"/>
  <c r="B143" i="8"/>
  <c r="I141" i="8"/>
  <c r="H141" i="8"/>
  <c r="G141" i="8"/>
  <c r="F141" i="8"/>
  <c r="E141" i="8"/>
  <c r="C141" i="8"/>
  <c r="B141" i="8"/>
  <c r="I137" i="8"/>
  <c r="H137" i="8"/>
  <c r="G137" i="8"/>
  <c r="F137" i="8"/>
  <c r="E136" i="8"/>
  <c r="K135" i="8"/>
  <c r="J135" i="8"/>
  <c r="F134" i="8"/>
  <c r="E134" i="8"/>
  <c r="K134" i="8"/>
  <c r="J134" i="8"/>
  <c r="F133" i="8"/>
  <c r="E133" i="8"/>
  <c r="K133" i="8"/>
  <c r="J133" i="8"/>
  <c r="F132" i="8"/>
  <c r="E132" i="8"/>
  <c r="K132" i="8"/>
  <c r="J132" i="8"/>
  <c r="F131" i="8"/>
  <c r="E131" i="8"/>
  <c r="K131" i="8"/>
  <c r="J131" i="8"/>
  <c r="F130" i="8"/>
  <c r="E130" i="8"/>
  <c r="K130" i="8"/>
  <c r="J130" i="8"/>
  <c r="F129" i="8"/>
  <c r="E129" i="8"/>
  <c r="K129" i="8"/>
  <c r="J129" i="8"/>
  <c r="F128" i="8"/>
  <c r="E128" i="8"/>
  <c r="B129" i="8"/>
  <c r="K128" i="8"/>
  <c r="J128" i="8"/>
  <c r="F127" i="8"/>
  <c r="E127" i="8"/>
  <c r="B128" i="8"/>
  <c r="I126" i="8"/>
  <c r="C126" i="8"/>
  <c r="B126" i="8"/>
  <c r="I122" i="8"/>
  <c r="H122" i="8"/>
  <c r="G122" i="8"/>
  <c r="F122" i="8"/>
  <c r="E121" i="8"/>
  <c r="K120" i="8"/>
  <c r="J120" i="8"/>
  <c r="F119" i="8"/>
  <c r="E119" i="8"/>
  <c r="K119" i="8"/>
  <c r="J119" i="8"/>
  <c r="F118" i="8"/>
  <c r="E118" i="8"/>
  <c r="K118" i="8"/>
  <c r="J118" i="8"/>
  <c r="F117" i="8"/>
  <c r="E117" i="8"/>
  <c r="K117" i="8"/>
  <c r="J117" i="8"/>
  <c r="F116" i="8"/>
  <c r="E116" i="8"/>
  <c r="K116" i="8"/>
  <c r="J116" i="8"/>
  <c r="F115" i="8"/>
  <c r="E115" i="8"/>
  <c r="K115" i="8"/>
  <c r="J115" i="8"/>
  <c r="F114" i="8"/>
  <c r="E114" i="8"/>
  <c r="K114" i="8"/>
  <c r="J114" i="8"/>
  <c r="F113" i="8"/>
  <c r="E113" i="8"/>
  <c r="B114" i="8"/>
  <c r="K113" i="8"/>
  <c r="J113" i="8"/>
  <c r="F112" i="8"/>
  <c r="E112" i="8"/>
  <c r="B113" i="8"/>
  <c r="H111" i="8"/>
  <c r="G111" i="8"/>
  <c r="F111" i="8"/>
  <c r="E111" i="8"/>
  <c r="C111" i="8"/>
  <c r="B111" i="8"/>
  <c r="I107" i="8"/>
  <c r="H107" i="8"/>
  <c r="G107" i="8"/>
  <c r="F107" i="8"/>
  <c r="E106" i="8"/>
  <c r="K105" i="8"/>
  <c r="J105" i="8"/>
  <c r="F104" i="8"/>
  <c r="E104" i="8"/>
  <c r="K104" i="8"/>
  <c r="J104" i="8"/>
  <c r="F103" i="8"/>
  <c r="E103" i="8"/>
  <c r="K103" i="8"/>
  <c r="J103" i="8"/>
  <c r="F102" i="8"/>
  <c r="E102" i="8"/>
  <c r="K102" i="8"/>
  <c r="J102" i="8"/>
  <c r="F101" i="8"/>
  <c r="E101" i="8"/>
  <c r="K101" i="8"/>
  <c r="J101" i="8"/>
  <c r="F100" i="8"/>
  <c r="E100" i="8"/>
  <c r="K100" i="8"/>
  <c r="J100" i="8"/>
  <c r="F99" i="8"/>
  <c r="E99" i="8"/>
  <c r="K99" i="8"/>
  <c r="J99" i="8"/>
  <c r="F98" i="8"/>
  <c r="E98" i="8"/>
  <c r="B99" i="8"/>
  <c r="K98" i="8"/>
  <c r="J98" i="8"/>
  <c r="F97" i="8"/>
  <c r="E97" i="8"/>
  <c r="B98" i="8"/>
  <c r="I96" i="8"/>
  <c r="C96" i="8"/>
  <c r="B96" i="8"/>
  <c r="I92" i="8"/>
  <c r="H92" i="8"/>
  <c r="G92" i="8"/>
  <c r="F92" i="8"/>
  <c r="E91" i="8"/>
  <c r="K89" i="8"/>
  <c r="J89" i="8"/>
  <c r="F89" i="8"/>
  <c r="E89" i="8"/>
  <c r="K88" i="8"/>
  <c r="J88" i="8"/>
  <c r="F88" i="8"/>
  <c r="E88" i="8"/>
  <c r="K87" i="8"/>
  <c r="J87" i="8"/>
  <c r="F87" i="8"/>
  <c r="E87" i="8"/>
  <c r="K86" i="8"/>
  <c r="J86" i="8"/>
  <c r="F86" i="8"/>
  <c r="E86" i="8"/>
  <c r="K85" i="8"/>
  <c r="J85" i="8"/>
  <c r="F85" i="8"/>
  <c r="E85" i="8"/>
  <c r="K84" i="8"/>
  <c r="J84" i="8"/>
  <c r="F84" i="8"/>
  <c r="E84" i="8"/>
  <c r="K83" i="8"/>
  <c r="J83" i="8"/>
  <c r="F83" i="8"/>
  <c r="E83" i="8"/>
  <c r="B83" i="8"/>
  <c r="K82" i="8"/>
  <c r="J82" i="8"/>
  <c r="F82" i="8"/>
  <c r="E82" i="8"/>
  <c r="B82" i="8"/>
  <c r="I80" i="8"/>
  <c r="H80" i="8"/>
  <c r="G80" i="8"/>
  <c r="F80" i="8"/>
  <c r="E80" i="8"/>
  <c r="C80" i="8"/>
  <c r="B80" i="8"/>
  <c r="I77" i="8"/>
  <c r="H77" i="8"/>
  <c r="G77" i="8"/>
  <c r="F77" i="8"/>
  <c r="E76" i="8"/>
  <c r="K74" i="8"/>
  <c r="J74" i="8"/>
  <c r="F74" i="8"/>
  <c r="E74" i="8"/>
  <c r="K73" i="8"/>
  <c r="J73" i="8"/>
  <c r="F73" i="8"/>
  <c r="E73" i="8"/>
  <c r="K72" i="8"/>
  <c r="J72" i="8"/>
  <c r="F72" i="8"/>
  <c r="E72" i="8"/>
  <c r="K71" i="8"/>
  <c r="J71" i="8"/>
  <c r="F71" i="8"/>
  <c r="E71" i="8"/>
  <c r="K70" i="8"/>
  <c r="J70" i="8"/>
  <c r="F70" i="8"/>
  <c r="E70" i="8"/>
  <c r="K69" i="8"/>
  <c r="J69" i="8"/>
  <c r="F69" i="8"/>
  <c r="E69" i="8"/>
  <c r="K68" i="8"/>
  <c r="J68" i="8"/>
  <c r="F68" i="8"/>
  <c r="E68" i="8"/>
  <c r="B68" i="8"/>
  <c r="K67" i="8"/>
  <c r="J67" i="8"/>
  <c r="F67" i="8"/>
  <c r="E67" i="8"/>
  <c r="B67" i="8"/>
  <c r="I65" i="8"/>
  <c r="C65" i="8"/>
  <c r="B65" i="8"/>
  <c r="I62" i="8"/>
  <c r="H62" i="8"/>
  <c r="G62" i="8"/>
  <c r="F62" i="8"/>
  <c r="E61" i="8"/>
  <c r="K59" i="8"/>
  <c r="J59" i="8"/>
  <c r="F59" i="8"/>
  <c r="E59" i="8"/>
  <c r="K58" i="8"/>
  <c r="J58" i="8"/>
  <c r="F58" i="8"/>
  <c r="E58" i="8"/>
  <c r="K57" i="8"/>
  <c r="J57" i="8"/>
  <c r="F57" i="8"/>
  <c r="E57" i="8"/>
  <c r="K56" i="8"/>
  <c r="J56" i="8"/>
  <c r="F56" i="8"/>
  <c r="E56" i="8"/>
  <c r="K55" i="8"/>
  <c r="J55" i="8"/>
  <c r="F55" i="8"/>
  <c r="E55" i="8"/>
  <c r="K54" i="8"/>
  <c r="J54" i="8"/>
  <c r="F54" i="8"/>
  <c r="E54" i="8"/>
  <c r="K53" i="8"/>
  <c r="J53" i="8"/>
  <c r="F53" i="8"/>
  <c r="E53" i="8"/>
  <c r="B53" i="8"/>
  <c r="K52" i="8"/>
  <c r="J52" i="8"/>
  <c r="F52" i="8"/>
  <c r="E52" i="8"/>
  <c r="B52" i="8"/>
  <c r="I50" i="8"/>
  <c r="C50" i="8"/>
  <c r="B50" i="8"/>
  <c r="I47" i="8"/>
  <c r="H47" i="8"/>
  <c r="G47" i="8"/>
  <c r="F47" i="8"/>
  <c r="E46" i="8"/>
  <c r="K44" i="8"/>
  <c r="J44" i="8"/>
  <c r="F44" i="8"/>
  <c r="E44" i="8"/>
  <c r="K43" i="8"/>
  <c r="J43" i="8"/>
  <c r="F43" i="8"/>
  <c r="E43" i="8"/>
  <c r="A43" i="8"/>
  <c r="K42" i="8"/>
  <c r="J42" i="8"/>
  <c r="F42" i="8"/>
  <c r="E42" i="8"/>
  <c r="A42" i="8"/>
  <c r="K41" i="8"/>
  <c r="J41" i="8"/>
  <c r="F41" i="8"/>
  <c r="E41" i="8"/>
  <c r="A41" i="8"/>
  <c r="K40" i="8"/>
  <c r="J40" i="8"/>
  <c r="F40" i="8"/>
  <c r="E40" i="8"/>
  <c r="A40" i="8"/>
  <c r="K39" i="8"/>
  <c r="J39" i="8"/>
  <c r="F39" i="8"/>
  <c r="E39" i="8"/>
  <c r="A39" i="8"/>
  <c r="K38" i="8"/>
  <c r="J38" i="8"/>
  <c r="F38" i="8"/>
  <c r="E38" i="8"/>
  <c r="B38" i="8"/>
  <c r="A38" i="8"/>
  <c r="K37" i="8"/>
  <c r="J37" i="8"/>
  <c r="F37" i="8"/>
  <c r="E37" i="8"/>
  <c r="B37" i="8"/>
  <c r="A37" i="8"/>
  <c r="P36" i="8"/>
  <c r="A36" i="8"/>
  <c r="P35" i="8"/>
  <c r="I35" i="8"/>
  <c r="C35" i="8"/>
  <c r="B35" i="8"/>
  <c r="A35" i="8"/>
  <c r="P34" i="8"/>
  <c r="A34" i="8"/>
  <c r="P33" i="8"/>
  <c r="P32" i="8"/>
  <c r="P31" i="8"/>
  <c r="P30" i="8"/>
  <c r="P29" i="8"/>
  <c r="K28" i="8"/>
  <c r="J28" i="8"/>
  <c r="F28" i="8"/>
  <c r="E28" i="8"/>
  <c r="P27" i="8"/>
  <c r="K27" i="8"/>
  <c r="J27" i="8"/>
  <c r="F27" i="8"/>
  <c r="E27" i="8"/>
  <c r="P26" i="8"/>
  <c r="K26" i="8"/>
  <c r="J26" i="8"/>
  <c r="F26" i="8"/>
  <c r="E26" i="8"/>
  <c r="P25" i="8"/>
  <c r="K25" i="8"/>
  <c r="J25" i="8"/>
  <c r="F25" i="8"/>
  <c r="E25" i="8"/>
  <c r="P24" i="8"/>
  <c r="K24" i="8"/>
  <c r="J24" i="8"/>
  <c r="F24" i="8"/>
  <c r="E24" i="8"/>
  <c r="P23" i="8"/>
  <c r="K23" i="8"/>
  <c r="J23" i="8"/>
  <c r="F23" i="8"/>
  <c r="E23" i="8"/>
  <c r="P22" i="8"/>
  <c r="K22" i="8"/>
  <c r="J22" i="8"/>
  <c r="F22" i="8"/>
  <c r="E22" i="8"/>
  <c r="P21" i="8"/>
  <c r="K21" i="8"/>
  <c r="J21" i="8"/>
  <c r="F21" i="8"/>
  <c r="E21" i="8"/>
  <c r="P20" i="8"/>
  <c r="I20" i="8"/>
  <c r="O14" i="8"/>
  <c r="S40" i="8" s="1"/>
  <c r="N14" i="8"/>
  <c r="F30" i="4" s="1"/>
  <c r="N36" i="8"/>
  <c r="O36" i="8" s="1"/>
  <c r="Q36" i="8" s="1"/>
  <c r="R36" i="8" s="1"/>
  <c r="N35" i="8"/>
  <c r="N34" i="8"/>
  <c r="O34" i="8" s="1"/>
  <c r="Q34" i="8" s="1"/>
  <c r="R34" i="8" s="1"/>
  <c r="N33" i="8"/>
  <c r="O33" i="8" s="1"/>
  <c r="N32" i="8"/>
  <c r="N22" i="8"/>
  <c r="O22" i="8" s="1"/>
  <c r="N29" i="8"/>
  <c r="O29" i="8" s="1"/>
  <c r="Q29" i="8" s="1"/>
  <c r="R29" i="8" s="1"/>
  <c r="B4" i="8"/>
  <c r="B21" i="1"/>
  <c r="AN9" i="9" a="1"/>
  <c r="AN9" i="9" s="1"/>
  <c r="AG9" i="9" a="1"/>
  <c r="AG9" i="9" s="1"/>
  <c r="AI9" i="9" a="1"/>
  <c r="AI9" i="9" s="1"/>
  <c r="W26" i="7" l="1"/>
  <c r="W30" i="7"/>
  <c r="L49" i="9"/>
  <c r="K12" i="7"/>
  <c r="K23" i="7"/>
  <c r="K25" i="7"/>
  <c r="K26" i="7"/>
  <c r="K30" i="7"/>
  <c r="L48" i="9"/>
  <c r="K16" i="7"/>
  <c r="K27" i="7"/>
  <c r="K39" i="7"/>
  <c r="Z40" i="9"/>
  <c r="W12" i="7"/>
  <c r="W23" i="7"/>
  <c r="W25" i="7"/>
  <c r="K31" i="7"/>
  <c r="U39" i="9"/>
  <c r="S20" i="10"/>
  <c r="O20" i="10"/>
  <c r="Q20" i="10" s="1"/>
  <c r="R20" i="10" s="1"/>
  <c r="R39" i="16"/>
  <c r="R40" i="13"/>
  <c r="S36" i="10"/>
  <c r="N27" i="10"/>
  <c r="O27" i="10" s="1"/>
  <c r="Q27" i="10" s="1"/>
  <c r="R27" i="10" s="1"/>
  <c r="N36" i="10"/>
  <c r="E69" i="5"/>
  <c r="L69" i="5"/>
  <c r="L95" i="5"/>
  <c r="BC8" i="7"/>
  <c r="BA8" i="7"/>
  <c r="BB8" i="7" s="1"/>
  <c r="AG74" i="7" a="1"/>
  <c r="AG74" i="7" s="1"/>
  <c r="AH56" i="7" a="1"/>
  <c r="AH56" i="7" s="1"/>
  <c r="E51" i="5" s="1"/>
  <c r="F51" i="5" s="1"/>
  <c r="AK56" i="7" a="1"/>
  <c r="AK56" i="7" s="1"/>
  <c r="E52" i="5" s="1"/>
  <c r="F52" i="5" s="1"/>
  <c r="E43" i="5"/>
  <c r="L43" i="5"/>
  <c r="E121" i="5"/>
  <c r="Y8" i="7"/>
  <c r="Z8" i="7" s="1"/>
  <c r="AC8" i="7"/>
  <c r="AD8" i="7" s="1"/>
  <c r="AH8" i="7"/>
  <c r="AD71" i="7" s="1" a="1"/>
  <c r="AD71" i="7" s="1"/>
  <c r="AJ8" i="7"/>
  <c r="AM8" i="7" s="1"/>
  <c r="AN8" i="7"/>
  <c r="AQ8" i="7" s="1"/>
  <c r="AR8" i="7"/>
  <c r="AU8" i="7" s="1"/>
  <c r="AV8" i="7"/>
  <c r="L50" i="9"/>
  <c r="L44" i="9"/>
  <c r="U40" i="9"/>
  <c r="P32" i="11"/>
  <c r="I25" i="4" s="1"/>
  <c r="P29" i="11"/>
  <c r="R29" i="11" s="1"/>
  <c r="P30" i="11"/>
  <c r="R30" i="11" s="1"/>
  <c r="P36" i="11"/>
  <c r="R36" i="11" s="1"/>
  <c r="R32" i="11"/>
  <c r="P26" i="11"/>
  <c r="R26" i="11" s="1"/>
  <c r="P31" i="11"/>
  <c r="R31" i="11" s="1"/>
  <c r="P34" i="11"/>
  <c r="R34" i="11" s="1"/>
  <c r="R40" i="11"/>
  <c r="P40" i="11"/>
  <c r="R40" i="10"/>
  <c r="P40" i="10"/>
  <c r="L121" i="5"/>
  <c r="E147" i="5"/>
  <c r="N22" i="18"/>
  <c r="O22" i="18" s="1"/>
  <c r="Q22" i="18" s="1"/>
  <c r="R22" i="18" s="1"/>
  <c r="AB39" i="9"/>
  <c r="AE71" i="7" a="1"/>
  <c r="AE71" i="7" s="1"/>
  <c r="AF74" i="7" a="1"/>
  <c r="AF74" i="7" s="1"/>
  <c r="AH63" i="7" a="1"/>
  <c r="AH63" i="7" s="1"/>
  <c r="L129" i="5" s="1"/>
  <c r="M129" i="5" s="1"/>
  <c r="AG62" i="7" a="1"/>
  <c r="AG62" i="7" s="1"/>
  <c r="E128" i="5" s="1"/>
  <c r="F128" i="5" s="1"/>
  <c r="AK71" i="7" a="1"/>
  <c r="AK71" i="7" s="1"/>
  <c r="AA40" i="9"/>
  <c r="L43" i="9"/>
  <c r="S36" i="18"/>
  <c r="AI67" i="7" a="1"/>
  <c r="AI67" i="7" s="1"/>
  <c r="AI74" i="7" a="1"/>
  <c r="AI74" i="7" s="1"/>
  <c r="AF66" i="7" a="1"/>
  <c r="AF66" i="7" s="1"/>
  <c r="AK61" i="7" a="1"/>
  <c r="AK61" i="7" s="1"/>
  <c r="L104" i="5" s="1"/>
  <c r="M104" i="5" s="1"/>
  <c r="AG61" i="7" a="1"/>
  <c r="AG61" i="7" s="1"/>
  <c r="L102" i="5" s="1"/>
  <c r="M102" i="5" s="1"/>
  <c r="AI69" i="7" a="1"/>
  <c r="AI69" i="7" s="1"/>
  <c r="AK57" i="7" a="1"/>
  <c r="AK57" i="7" s="1"/>
  <c r="L52" i="5" s="1"/>
  <c r="M52" i="5" s="1"/>
  <c r="AK67" i="7" a="1"/>
  <c r="AK67" i="7" s="1"/>
  <c r="AK59" i="7" a="1"/>
  <c r="AK59" i="7" s="1"/>
  <c r="L78" i="5" s="1"/>
  <c r="M78" i="5" s="1"/>
  <c r="V40" i="9"/>
  <c r="AK62" i="7" a="1"/>
  <c r="AK62" i="7" s="1"/>
  <c r="E130" i="5" s="1"/>
  <c r="F130" i="5" s="1"/>
  <c r="AJ72" i="7" a="1"/>
  <c r="AJ72" i="7" s="1"/>
  <c r="N25" i="14"/>
  <c r="O25" i="14" s="1"/>
  <c r="Q25" i="14" s="1"/>
  <c r="R25" i="14" s="1"/>
  <c r="AK60" i="7" a="1"/>
  <c r="AK60" i="7" s="1"/>
  <c r="E104" i="5" s="1"/>
  <c r="F104" i="5" s="1"/>
  <c r="N35" i="18"/>
  <c r="O35" i="18" s="1"/>
  <c r="AK55" i="7" a="1"/>
  <c r="AK55" i="7" s="1"/>
  <c r="L26" i="5" s="1"/>
  <c r="M26" i="5" s="1"/>
  <c r="AH55" i="7" a="1"/>
  <c r="AH55" i="7" s="1"/>
  <c r="L25" i="5" s="1"/>
  <c r="M25" i="5" s="1"/>
  <c r="AG54" i="7" a="1"/>
  <c r="AG54" i="7" s="1"/>
  <c r="E24" i="5" s="1"/>
  <c r="F24" i="5" s="1"/>
  <c r="AK70" i="7" a="1"/>
  <c r="AK70" i="7" s="1"/>
  <c r="AG71" i="7" a="1"/>
  <c r="AG71" i="7" s="1"/>
  <c r="AJ67" i="7" a="1"/>
  <c r="AJ67" i="7" s="1"/>
  <c r="AG57" i="7" a="1"/>
  <c r="AG57" i="7" s="1"/>
  <c r="L50" i="5" s="1"/>
  <c r="M50" i="5" s="1"/>
  <c r="P40" i="9"/>
  <c r="N29" i="18"/>
  <c r="O29" i="18" s="1"/>
  <c r="Q29" i="18" s="1"/>
  <c r="R29" i="18" s="1"/>
  <c r="S32" i="14"/>
  <c r="AG58" i="7" a="1"/>
  <c r="AG58" i="7" s="1"/>
  <c r="E76" i="5" s="1"/>
  <c r="F76" i="5" s="1"/>
  <c r="AI72" i="7" a="1"/>
  <c r="AI72" i="7" s="1"/>
  <c r="AJ74" i="7" a="1"/>
  <c r="AJ74" i="7" s="1"/>
  <c r="AH60" i="7" a="1"/>
  <c r="AH60" i="7" s="1"/>
  <c r="E103" i="5" s="1"/>
  <c r="F103" i="5" s="1"/>
  <c r="AH62" i="7" a="1"/>
  <c r="AH62" i="7" s="1"/>
  <c r="E129" i="5" s="1"/>
  <c r="F129" i="5" s="1"/>
  <c r="AF72" i="7" a="1"/>
  <c r="AF72" i="7" s="1"/>
  <c r="AI68" i="7" a="1"/>
  <c r="AI68" i="7" s="1"/>
  <c r="AI73" i="7" a="1"/>
  <c r="AI73" i="7" s="1"/>
  <c r="AJ73" i="7" a="1"/>
  <c r="AJ73" i="7" s="1"/>
  <c r="AK54" i="7" a="1"/>
  <c r="AK54" i="7" s="1"/>
  <c r="E26" i="5" s="1"/>
  <c r="F26" i="5" s="1"/>
  <c r="AK66" i="7" a="1"/>
  <c r="AK66" i="7" s="1"/>
  <c r="AG67" i="7" a="1"/>
  <c r="AG67" i="7" s="1"/>
  <c r="AK69" i="7" a="1"/>
  <c r="AK69" i="7" s="1"/>
  <c r="AG70" i="7" a="1"/>
  <c r="AG70" i="7" s="1"/>
  <c r="AJ66" i="7" a="1"/>
  <c r="AJ66" i="7" s="1"/>
  <c r="AH67" i="7" a="1"/>
  <c r="AH67" i="7" s="1"/>
  <c r="AF68" i="7" a="1"/>
  <c r="AF68" i="7" s="1"/>
  <c r="AH69" i="7" a="1"/>
  <c r="AH69" i="7" s="1"/>
  <c r="AF70" i="7" a="1"/>
  <c r="AF70" i="7" s="1"/>
  <c r="AH71" i="7" a="1"/>
  <c r="AH71" i="7" s="1"/>
  <c r="AK72" i="7" a="1"/>
  <c r="AK72" i="7" s="1"/>
  <c r="AG75" i="7" a="1"/>
  <c r="AG75" i="7" s="1"/>
  <c r="AH73" i="7" a="1"/>
  <c r="AH73" i="7" s="1"/>
  <c r="AH57" i="7" a="1"/>
  <c r="AH57" i="7" s="1"/>
  <c r="L51" i="5" s="1"/>
  <c r="M51" i="5" s="1"/>
  <c r="J14" i="4"/>
  <c r="AG60" i="7" a="1"/>
  <c r="AG60" i="7" s="1"/>
  <c r="E102" i="5" s="1"/>
  <c r="F102" i="5" s="1"/>
  <c r="AG56" i="7" a="1"/>
  <c r="AG56" i="7" s="1"/>
  <c r="E50" i="5" s="1"/>
  <c r="F50" i="5" s="1"/>
  <c r="AK63" i="7" a="1"/>
  <c r="AK63" i="7" s="1"/>
  <c r="L130" i="5" s="1"/>
  <c r="M130" i="5" s="1"/>
  <c r="AG63" i="7" a="1"/>
  <c r="AG63" i="7" s="1"/>
  <c r="L128" i="5" s="1"/>
  <c r="M128" i="5" s="1"/>
  <c r="AH59" i="7" a="1"/>
  <c r="AH59" i="7" s="1"/>
  <c r="L77" i="5" s="1"/>
  <c r="M77" i="5" s="1"/>
  <c r="AG55" i="7" a="1"/>
  <c r="AG55" i="7" s="1"/>
  <c r="L24" i="5" s="1"/>
  <c r="M24" i="5" s="1"/>
  <c r="AD62" i="7" a="1"/>
  <c r="AD62" i="7" s="1"/>
  <c r="E127" i="5" s="1"/>
  <c r="F127" i="5" s="1"/>
  <c r="AH58" i="7" a="1"/>
  <c r="AH58" i="7" s="1"/>
  <c r="E77" i="5" s="1"/>
  <c r="F77" i="5" s="1"/>
  <c r="AK58" i="7" a="1"/>
  <c r="AK58" i="7" s="1"/>
  <c r="E78" i="5" s="1"/>
  <c r="F78" i="5" s="1"/>
  <c r="AH54" i="7" a="1"/>
  <c r="AH54" i="7" s="1"/>
  <c r="E25" i="5" s="1"/>
  <c r="F25" i="5" s="1"/>
  <c r="AF73" i="7" a="1"/>
  <c r="AF73" i="7" s="1"/>
  <c r="AI66" i="7" a="1"/>
  <c r="AI66" i="7" s="1"/>
  <c r="AI70" i="7" a="1"/>
  <c r="AI70" i="7" s="1"/>
  <c r="AI71" i="7" a="1"/>
  <c r="AI71" i="7" s="1"/>
  <c r="AI75" i="7" a="1"/>
  <c r="AI75" i="7" s="1"/>
  <c r="AJ75" i="7" a="1"/>
  <c r="AJ75" i="7" s="1"/>
  <c r="AG68" i="7" a="1"/>
  <c r="AG68" i="7" s="1"/>
  <c r="AH66" i="7" a="1"/>
  <c r="AH66" i="7" s="1"/>
  <c r="AH68" i="7" a="1"/>
  <c r="AH68" i="7" s="1"/>
  <c r="AJ69" i="7" a="1"/>
  <c r="AJ69" i="7" s="1"/>
  <c r="AH70" i="7" a="1"/>
  <c r="AH70" i="7" s="1"/>
  <c r="AF71" i="7" a="1"/>
  <c r="AF71" i="7" s="1"/>
  <c r="AG73" i="7" a="1"/>
  <c r="AG73" i="7" s="1"/>
  <c r="AK74" i="7" a="1"/>
  <c r="AK74" i="7" s="1"/>
  <c r="AK75" i="7" a="1"/>
  <c r="AK75" i="7" s="1"/>
  <c r="AH72" i="7" a="1"/>
  <c r="AH72" i="7" s="1"/>
  <c r="AH75" i="7" a="1"/>
  <c r="AH75" i="7" s="1"/>
  <c r="AH61" i="7" a="1"/>
  <c r="AH61" i="7" s="1"/>
  <c r="L103" i="5" s="1"/>
  <c r="M103" i="5" s="1"/>
  <c r="J31" i="4"/>
  <c r="AG59" i="7" a="1"/>
  <c r="AG59" i="7" s="1"/>
  <c r="L76" i="5" s="1"/>
  <c r="M76" i="5" s="1"/>
  <c r="AF75" i="7" a="1"/>
  <c r="AF75" i="7" s="1"/>
  <c r="AJ71" i="7" a="1"/>
  <c r="AJ71" i="7" s="1"/>
  <c r="AG66" i="7" a="1"/>
  <c r="AG66" i="7" s="1"/>
  <c r="AK68" i="7" a="1"/>
  <c r="AK68" i="7" s="1"/>
  <c r="AG69" i="7" a="1"/>
  <c r="AG69" i="7" s="1"/>
  <c r="AF67" i="7" a="1"/>
  <c r="AF67" i="7" s="1"/>
  <c r="AJ68" i="7" a="1"/>
  <c r="AJ68" i="7" s="1"/>
  <c r="AF69" i="7" a="1"/>
  <c r="AF69" i="7" s="1"/>
  <c r="AJ70" i="7" a="1"/>
  <c r="AJ70" i="7" s="1"/>
  <c r="AG72" i="7" a="1"/>
  <c r="AG72" i="7" s="1"/>
  <c r="AK73" i="7" a="1"/>
  <c r="AK73" i="7" s="1"/>
  <c r="B31" i="4"/>
  <c r="M31" i="4" s="1"/>
  <c r="A31" i="4"/>
  <c r="L45" i="9"/>
  <c r="S35" i="15"/>
  <c r="S24" i="16"/>
  <c r="A15" i="4"/>
  <c r="C15" i="4"/>
  <c r="B15" i="4"/>
  <c r="A14" i="4"/>
  <c r="B14" i="4"/>
  <c r="C14" i="4"/>
  <c r="C32" i="4"/>
  <c r="B32" i="4"/>
  <c r="C31" i="4"/>
  <c r="K14" i="4"/>
  <c r="K31" i="4"/>
  <c r="W39" i="9"/>
  <c r="A32" i="4"/>
  <c r="S27" i="18"/>
  <c r="S34" i="18"/>
  <c r="S30" i="13"/>
  <c r="S21" i="18"/>
  <c r="S24" i="18"/>
  <c r="S21" i="16"/>
  <c r="N24" i="17"/>
  <c r="O24" i="17" s="1"/>
  <c r="Q24" i="17" s="1"/>
  <c r="R24" i="17" s="1"/>
  <c r="N21" i="15"/>
  <c r="O21" i="15" s="1"/>
  <c r="S33" i="18"/>
  <c r="N26" i="13"/>
  <c r="O26" i="13" s="1"/>
  <c r="Q26" i="13" s="1"/>
  <c r="R26" i="13" s="1"/>
  <c r="S30" i="10"/>
  <c r="S21" i="14"/>
  <c r="S21" i="12"/>
  <c r="N27" i="18"/>
  <c r="O27" i="18" s="1"/>
  <c r="Q27" i="18" s="1"/>
  <c r="R27" i="18" s="1"/>
  <c r="S33" i="11"/>
  <c r="S32" i="15"/>
  <c r="S36" i="15"/>
  <c r="S26" i="18"/>
  <c r="N25" i="18"/>
  <c r="O25" i="18" s="1"/>
  <c r="S30" i="16"/>
  <c r="N32" i="10"/>
  <c r="O32" i="10" s="1"/>
  <c r="Q32" i="18"/>
  <c r="R32" i="18" s="1"/>
  <c r="N23" i="13"/>
  <c r="O23" i="13" s="1"/>
  <c r="Q23" i="13" s="1"/>
  <c r="R23" i="13" s="1"/>
  <c r="N23" i="18"/>
  <c r="O23" i="18" s="1"/>
  <c r="Q23" i="18" s="1"/>
  <c r="R23" i="18" s="1"/>
  <c r="S30" i="18"/>
  <c r="N22" i="13"/>
  <c r="O22" i="13" s="1"/>
  <c r="Q22" i="13" s="1"/>
  <c r="R22" i="13" s="1"/>
  <c r="N27" i="12"/>
  <c r="O27" i="12" s="1"/>
  <c r="Q27" i="12" s="1"/>
  <c r="R27" i="12" s="1"/>
  <c r="S21" i="10"/>
  <c r="N26" i="14"/>
  <c r="O26" i="14" s="1"/>
  <c r="Q26" i="14" s="1"/>
  <c r="R26" i="14" s="1"/>
  <c r="S30" i="12"/>
  <c r="N27" i="8"/>
  <c r="O27" i="8" s="1"/>
  <c r="N21" i="18"/>
  <c r="O21" i="18" s="1"/>
  <c r="Q21" i="18" s="1"/>
  <c r="R21" i="18" s="1"/>
  <c r="S30" i="14"/>
  <c r="N24" i="13"/>
  <c r="O24" i="13" s="1"/>
  <c r="Q24" i="13" s="1"/>
  <c r="R24" i="13" s="1"/>
  <c r="N33" i="18"/>
  <c r="O33" i="18" s="1"/>
  <c r="Q33" i="18" s="1"/>
  <c r="R33" i="18" s="1"/>
  <c r="N20" i="11"/>
  <c r="S33" i="16"/>
  <c r="N20" i="17"/>
  <c r="O20" i="17" s="1"/>
  <c r="Q20" i="17" s="1"/>
  <c r="R20" i="17" s="1"/>
  <c r="S25" i="18"/>
  <c r="S35" i="18"/>
  <c r="Q32" i="14"/>
  <c r="R32" i="14" s="1"/>
  <c r="N23" i="14"/>
  <c r="O23" i="14" s="1"/>
  <c r="Q23" i="14" s="1"/>
  <c r="R23" i="14" s="1"/>
  <c r="N34" i="15"/>
  <c r="O34" i="15" s="1"/>
  <c r="N25" i="12"/>
  <c r="O25" i="12" s="1"/>
  <c r="N33" i="10"/>
  <c r="O33" i="10" s="1"/>
  <c r="Q33" i="10" s="1"/>
  <c r="R33" i="10" s="1"/>
  <c r="S34" i="8"/>
  <c r="S26" i="10"/>
  <c r="S26" i="11"/>
  <c r="S25" i="13"/>
  <c r="S23" i="14"/>
  <c r="S36" i="14"/>
  <c r="S29" i="17"/>
  <c r="S22" i="17"/>
  <c r="N36" i="16"/>
  <c r="O36" i="16" s="1"/>
  <c r="N35" i="11"/>
  <c r="N21" i="16"/>
  <c r="O21" i="16" s="1"/>
  <c r="Q21" i="16" s="1"/>
  <c r="R21" i="16" s="1"/>
  <c r="N22" i="11"/>
  <c r="N22" i="10"/>
  <c r="O22" i="10" s="1"/>
  <c r="S34" i="10"/>
  <c r="S25" i="16"/>
  <c r="S33" i="17"/>
  <c r="S24" i="11"/>
  <c r="S23" i="12"/>
  <c r="S24" i="12"/>
  <c r="S36" i="12"/>
  <c r="S29" i="13"/>
  <c r="S32" i="13"/>
  <c r="S36" i="13"/>
  <c r="S27" i="15"/>
  <c r="S34" i="17"/>
  <c r="S32" i="18"/>
  <c r="S21" i="11"/>
  <c r="S30" i="15"/>
  <c r="S26" i="8"/>
  <c r="S32" i="11"/>
  <c r="S36" i="11"/>
  <c r="S29" i="12"/>
  <c r="S31" i="12"/>
  <c r="S35" i="12"/>
  <c r="S23" i="16"/>
  <c r="N21" i="11"/>
  <c r="S32" i="12"/>
  <c r="S36" i="17"/>
  <c r="N26" i="12"/>
  <c r="O26" i="12" s="1"/>
  <c r="N22" i="12"/>
  <c r="O22" i="12" s="1"/>
  <c r="Q22" i="12" s="1"/>
  <c r="R22" i="12" s="1"/>
  <c r="N30" i="17"/>
  <c r="O30" i="17" s="1"/>
  <c r="Q30" i="17" s="1"/>
  <c r="R30" i="17" s="1"/>
  <c r="S33" i="10"/>
  <c r="S24" i="17"/>
  <c r="S29" i="18"/>
  <c r="N23" i="17"/>
  <c r="O23" i="17" s="1"/>
  <c r="Q23" i="17" s="1"/>
  <c r="R23" i="17" s="1"/>
  <c r="S34" i="16"/>
  <c r="S25" i="17"/>
  <c r="Q33" i="16"/>
  <c r="R33" i="16" s="1"/>
  <c r="N27" i="11"/>
  <c r="N34" i="13"/>
  <c r="O34" i="13" s="1"/>
  <c r="Q34" i="13" s="1"/>
  <c r="R34" i="13" s="1"/>
  <c r="S22" i="8"/>
  <c r="S23" i="10"/>
  <c r="S31" i="15"/>
  <c r="S26" i="15"/>
  <c r="N20" i="12"/>
  <c r="O20" i="12" s="1"/>
  <c r="Q20" i="12" s="1"/>
  <c r="R20" i="12" s="1"/>
  <c r="N36" i="17"/>
  <c r="O36" i="17" s="1"/>
  <c r="Q36" i="17" s="1"/>
  <c r="R36" i="17" s="1"/>
  <c r="S20" i="13"/>
  <c r="S27" i="12"/>
  <c r="N23" i="11"/>
  <c r="N26" i="15"/>
  <c r="S33" i="15"/>
  <c r="S29" i="16"/>
  <c r="S22" i="16"/>
  <c r="S35" i="16"/>
  <c r="S23" i="11"/>
  <c r="N35" i="16"/>
  <c r="N33" i="15"/>
  <c r="O33" i="15" s="1"/>
  <c r="Q33" i="15" s="1"/>
  <c r="R33" i="15" s="1"/>
  <c r="S22" i="10"/>
  <c r="S29" i="11"/>
  <c r="S33" i="13"/>
  <c r="S34" i="15"/>
  <c r="S32" i="16"/>
  <c r="S27" i="16"/>
  <c r="N20" i="16"/>
  <c r="O20" i="16" s="1"/>
  <c r="S22" i="15"/>
  <c r="N22" i="14"/>
  <c r="O22" i="14" s="1"/>
  <c r="Q22" i="14" s="1"/>
  <c r="R22" i="14" s="1"/>
  <c r="N24" i="8"/>
  <c r="O24" i="8" s="1"/>
  <c r="Q24" i="8" s="1"/>
  <c r="R24" i="8" s="1"/>
  <c r="N36" i="13"/>
  <c r="O36" i="13" s="1"/>
  <c r="Q36" i="13" s="1"/>
  <c r="R36" i="13" s="1"/>
  <c r="S35" i="10"/>
  <c r="S27" i="14"/>
  <c r="S23" i="8"/>
  <c r="S27" i="13"/>
  <c r="S20" i="14"/>
  <c r="S31" i="14"/>
  <c r="S25" i="14"/>
  <c r="S35" i="14"/>
  <c r="S23" i="15"/>
  <c r="Q35" i="14"/>
  <c r="R35" i="14" s="1"/>
  <c r="N20" i="14"/>
  <c r="O20" i="14" s="1"/>
  <c r="N25" i="10"/>
  <c r="O25" i="10" s="1"/>
  <c r="Q25" i="10" s="1"/>
  <c r="R25" i="10" s="1"/>
  <c r="S22" i="13"/>
  <c r="S26" i="13"/>
  <c r="S29" i="15"/>
  <c r="S20" i="12"/>
  <c r="N24" i="12"/>
  <c r="O24" i="12" s="1"/>
  <c r="Q24" i="12" s="1"/>
  <c r="R24" i="12" s="1"/>
  <c r="N24" i="14"/>
  <c r="O24" i="14" s="1"/>
  <c r="Q24" i="14" s="1"/>
  <c r="R24" i="14" s="1"/>
  <c r="S35" i="13"/>
  <c r="S20" i="8"/>
  <c r="S34" i="11"/>
  <c r="S33" i="12"/>
  <c r="S20" i="17"/>
  <c r="S24" i="13"/>
  <c r="S26" i="16"/>
  <c r="S20" i="18"/>
  <c r="S31" i="10"/>
  <c r="S27" i="11"/>
  <c r="Q20" i="18"/>
  <c r="R20" i="18" s="1"/>
  <c r="N25" i="16"/>
  <c r="O25" i="16" s="1"/>
  <c r="Q25" i="16" s="1"/>
  <c r="R25" i="16" s="1"/>
  <c r="S25" i="15"/>
  <c r="S34" i="13"/>
  <c r="S31" i="13"/>
  <c r="S32" i="8"/>
  <c r="S36" i="8"/>
  <c r="S22" i="11"/>
  <c r="S35" i="11"/>
  <c r="S34" i="14"/>
  <c r="S32" i="17"/>
  <c r="N21" i="13"/>
  <c r="S26" i="14"/>
  <c r="S24" i="15"/>
  <c r="S22" i="14"/>
  <c r="S23" i="13"/>
  <c r="S20" i="11"/>
  <c r="S25" i="10"/>
  <c r="S36" i="16"/>
  <c r="S31" i="16"/>
  <c r="S30" i="11"/>
  <c r="S29" i="14"/>
  <c r="S31" i="8"/>
  <c r="S35" i="8"/>
  <c r="N35" i="17"/>
  <c r="N26" i="8"/>
  <c r="O26" i="8" s="1"/>
  <c r="Q26" i="8" s="1"/>
  <c r="R26" i="8" s="1"/>
  <c r="S32" i="10"/>
  <c r="S24" i="10"/>
  <c r="N22" i="17"/>
  <c r="O22" i="17" s="1"/>
  <c r="S27" i="17"/>
  <c r="N20" i="15"/>
  <c r="O20" i="15" s="1"/>
  <c r="Q20" i="15" s="1"/>
  <c r="R20" i="15" s="1"/>
  <c r="S21" i="15"/>
  <c r="Q30" i="13"/>
  <c r="R30" i="13" s="1"/>
  <c r="S26" i="12"/>
  <c r="Q24" i="18"/>
  <c r="R24" i="18" s="1"/>
  <c r="S22" i="12"/>
  <c r="S25" i="11"/>
  <c r="N25" i="11"/>
  <c r="N21" i="10"/>
  <c r="O21" i="10" s="1"/>
  <c r="Q21" i="10" s="1"/>
  <c r="R21" i="10" s="1"/>
  <c r="N20" i="8"/>
  <c r="N25" i="8"/>
  <c r="O25" i="8" s="1"/>
  <c r="Q25" i="8" s="1"/>
  <c r="R25" i="8" s="1"/>
  <c r="Q24" i="10"/>
  <c r="R24" i="10" s="1"/>
  <c r="S29" i="8"/>
  <c r="S25" i="8"/>
  <c r="S29" i="10"/>
  <c r="S33" i="8"/>
  <c r="S24" i="8"/>
  <c r="O22" i="15"/>
  <c r="Q22" i="15" s="1"/>
  <c r="R22" i="15" s="1"/>
  <c r="S31" i="18"/>
  <c r="S22" i="18"/>
  <c r="S23" i="18"/>
  <c r="N31" i="15"/>
  <c r="N29" i="10"/>
  <c r="O31" i="10"/>
  <c r="Q31" i="10" s="1"/>
  <c r="R31" i="10" s="1"/>
  <c r="N35" i="10"/>
  <c r="N26" i="10"/>
  <c r="S25" i="12"/>
  <c r="S34" i="12"/>
  <c r="N34" i="17"/>
  <c r="N25" i="17"/>
  <c r="O35" i="15"/>
  <c r="Q35" i="15" s="1"/>
  <c r="R35" i="15" s="1"/>
  <c r="N27" i="14"/>
  <c r="S21" i="13"/>
  <c r="N23" i="12"/>
  <c r="Q35" i="13"/>
  <c r="R35" i="13" s="1"/>
  <c r="S31" i="17"/>
  <c r="S31" i="11"/>
  <c r="Q33" i="8"/>
  <c r="R33" i="8" s="1"/>
  <c r="O24" i="15"/>
  <c r="Q24" i="15" s="1"/>
  <c r="R24" i="15" s="1"/>
  <c r="N32" i="16"/>
  <c r="N23" i="16"/>
  <c r="O23" i="16" s="1"/>
  <c r="Q23" i="16" s="1"/>
  <c r="R23" i="16" s="1"/>
  <c r="O35" i="8"/>
  <c r="Q35" i="8" s="1"/>
  <c r="R35" i="8" s="1"/>
  <c r="N27" i="15"/>
  <c r="O27" i="15" s="1"/>
  <c r="Q27" i="15" s="1"/>
  <c r="R27" i="15" s="1"/>
  <c r="N36" i="15"/>
  <c r="S21" i="8"/>
  <c r="S30" i="8"/>
  <c r="S30" i="17"/>
  <c r="S21" i="17"/>
  <c r="N33" i="11"/>
  <c r="N24" i="11"/>
  <c r="N30" i="12"/>
  <c r="O30" i="12" s="1"/>
  <c r="Q30" i="12" s="1"/>
  <c r="R30" i="12" s="1"/>
  <c r="N21" i="12"/>
  <c r="O21" i="12" s="1"/>
  <c r="Q21" i="12" s="1"/>
  <c r="R21" i="12" s="1"/>
  <c r="N29" i="13"/>
  <c r="N20" i="13"/>
  <c r="Q31" i="13"/>
  <c r="R31" i="13" s="1"/>
  <c r="Q27" i="13"/>
  <c r="R27" i="13" s="1"/>
  <c r="N30" i="14"/>
  <c r="O30" i="14" s="1"/>
  <c r="Q30" i="14" s="1"/>
  <c r="R30" i="14" s="1"/>
  <c r="N21" i="14"/>
  <c r="O21" i="14" s="1"/>
  <c r="Q21" i="14" s="1"/>
  <c r="R21" i="14" s="1"/>
  <c r="S33" i="14"/>
  <c r="S24" i="14"/>
  <c r="S35" i="17"/>
  <c r="S26" i="17"/>
  <c r="O30" i="18"/>
  <c r="Q30" i="18" s="1"/>
  <c r="R30" i="18" s="1"/>
  <c r="Q22" i="8"/>
  <c r="R22" i="8" s="1"/>
  <c r="S23" i="17"/>
  <c r="S20" i="15"/>
  <c r="S20" i="16"/>
  <c r="O34" i="18"/>
  <c r="Q34" i="18" s="1"/>
  <c r="R34" i="18" s="1"/>
  <c r="N24" i="16"/>
  <c r="O33" i="13"/>
  <c r="Q33" i="13" s="1"/>
  <c r="R33" i="13" s="1"/>
  <c r="S27" i="8"/>
  <c r="S27" i="10"/>
  <c r="N30" i="8"/>
  <c r="N21" i="8"/>
  <c r="O32" i="8"/>
  <c r="Q32" i="8" s="1"/>
  <c r="R32" i="8" s="1"/>
  <c r="N32" i="15"/>
  <c r="N23" i="15"/>
  <c r="O23" i="15" s="1"/>
  <c r="N31" i="16"/>
  <c r="N22" i="16"/>
  <c r="Q26" i="16"/>
  <c r="R26" i="16" s="1"/>
  <c r="N23" i="8"/>
  <c r="N31" i="8"/>
  <c r="R39" i="15"/>
  <c r="P39" i="15"/>
  <c r="R40" i="12"/>
  <c r="P40" i="12"/>
  <c r="R39" i="18"/>
  <c r="P39" i="18"/>
  <c r="N40" i="8"/>
  <c r="R39" i="17"/>
  <c r="P39" i="17"/>
  <c r="P39" i="14"/>
  <c r="AH74" i="7" a="1"/>
  <c r="AH74" i="7" s="1"/>
  <c r="V11" i="7"/>
  <c r="V15" i="7"/>
  <c r="V19" i="7"/>
  <c r="W21" i="7"/>
  <c r="V24" i="7"/>
  <c r="W32" i="7"/>
  <c r="K32" i="7"/>
  <c r="V34" i="7"/>
  <c r="W42" i="7"/>
  <c r="K42" i="7"/>
  <c r="V43" i="7"/>
  <c r="W46" i="7"/>
  <c r="K46" i="7"/>
  <c r="V47" i="7"/>
  <c r="R50" i="7"/>
  <c r="R51" i="7"/>
  <c r="Q51" i="7"/>
  <c r="S50" i="7"/>
  <c r="V8" i="7"/>
  <c r="V10" i="7"/>
  <c r="K11" i="7"/>
  <c r="V14" i="7"/>
  <c r="K15" i="7"/>
  <c r="V18" i="7"/>
  <c r="K19" i="7"/>
  <c r="K21" i="7"/>
  <c r="V22" i="7"/>
  <c r="K24" i="7"/>
  <c r="V33" i="7"/>
  <c r="K34" i="7"/>
  <c r="W36" i="7"/>
  <c r="K36" i="7"/>
  <c r="V38" i="7"/>
  <c r="K43" i="7"/>
  <c r="K47" i="7"/>
  <c r="T50" i="7"/>
  <c r="S51" i="7"/>
  <c r="I22" i="4"/>
  <c r="K8" i="7"/>
  <c r="W8" i="7"/>
  <c r="V9" i="7"/>
  <c r="K10" i="7"/>
  <c r="V13" i="7"/>
  <c r="K14" i="7"/>
  <c r="V17" i="7"/>
  <c r="K18" i="7"/>
  <c r="V20" i="7"/>
  <c r="K22" i="7"/>
  <c r="V28" i="7"/>
  <c r="K33" i="7"/>
  <c r="V37" i="7"/>
  <c r="K38" i="7"/>
  <c r="W40" i="7"/>
  <c r="K40" i="7"/>
  <c r="V41" i="7"/>
  <c r="W44" i="7"/>
  <c r="K44" i="7"/>
  <c r="V45" i="7"/>
  <c r="W48" i="7"/>
  <c r="K48" i="7"/>
  <c r="T51" i="7"/>
  <c r="K9" i="7"/>
  <c r="K13" i="7"/>
  <c r="K17" i="7"/>
  <c r="K20" i="7"/>
  <c r="K28" i="7"/>
  <c r="W29" i="7"/>
  <c r="K29" i="7"/>
  <c r="V32" i="7"/>
  <c r="K37" i="7"/>
  <c r="K41" i="7"/>
  <c r="V42" i="7"/>
  <c r="K45" i="7"/>
  <c r="V46" i="7"/>
  <c r="Q50" i="7"/>
  <c r="L42" i="9"/>
  <c r="P39" i="9"/>
  <c r="L40" i="9"/>
  <c r="L39" i="9"/>
  <c r="C22" i="4" l="1"/>
  <c r="A22" i="4"/>
  <c r="C5" i="4"/>
  <c r="D5" i="4"/>
  <c r="B5" i="4"/>
  <c r="G5" i="4" s="1"/>
  <c r="O20" i="8"/>
  <c r="Q20" i="8" s="1"/>
  <c r="R20" i="8" s="1"/>
  <c r="A5" i="4"/>
  <c r="AD72" i="7" a="1"/>
  <c r="AD72" i="7" s="1"/>
  <c r="AD60" i="7" a="1"/>
  <c r="AD60" i="7" s="1"/>
  <c r="E101" i="5" s="1"/>
  <c r="F101" i="5" s="1"/>
  <c r="AE68" i="7" a="1"/>
  <c r="AE68" i="7" s="1"/>
  <c r="AE67" i="7" a="1"/>
  <c r="AE67" i="7" s="1"/>
  <c r="AD66" i="7" a="1"/>
  <c r="AD66" i="7" s="1"/>
  <c r="AD54" i="7" a="1"/>
  <c r="AD54" i="7" s="1"/>
  <c r="E23" i="5" s="1"/>
  <c r="F23" i="5" s="1"/>
  <c r="AE70" i="7" a="1"/>
  <c r="AE70" i="7" s="1"/>
  <c r="AE72" i="7" a="1"/>
  <c r="AE72" i="7" s="1"/>
  <c r="AD73" i="7" a="1"/>
  <c r="AD73" i="7" s="1"/>
  <c r="AD58" i="7" a="1"/>
  <c r="AD58" i="7" s="1"/>
  <c r="E75" i="5" s="1"/>
  <c r="F75" i="5" s="1"/>
  <c r="AD74" i="7" a="1"/>
  <c r="AD74" i="7" s="1"/>
  <c r="AE74" i="7" a="1"/>
  <c r="AE74" i="7" s="1"/>
  <c r="AD59" i="7" a="1"/>
  <c r="AD59" i="7" s="1"/>
  <c r="L75" i="5" s="1"/>
  <c r="M75" i="5" s="1"/>
  <c r="AE66" i="7" a="1"/>
  <c r="AE66" i="7" s="1"/>
  <c r="AD69" i="7" a="1"/>
  <c r="AD69" i="7" s="1"/>
  <c r="AD67" i="7" a="1"/>
  <c r="AD67" i="7" s="1"/>
  <c r="O36" i="10"/>
  <c r="Q36" i="10" s="1"/>
  <c r="R36" i="10" s="1"/>
  <c r="AD75" i="7" a="1"/>
  <c r="AD75" i="7" s="1"/>
  <c r="AE75" i="7" a="1"/>
  <c r="AE75" i="7" s="1"/>
  <c r="AD56" i="7" a="1"/>
  <c r="AD56" i="7" s="1"/>
  <c r="E49" i="5" s="1"/>
  <c r="F49" i="5" s="1"/>
  <c r="AE69" i="7" a="1"/>
  <c r="AE69" i="7" s="1"/>
  <c r="AD61" i="7" a="1"/>
  <c r="AD61" i="7" s="1"/>
  <c r="L101" i="5" s="1"/>
  <c r="M101" i="5" s="1"/>
  <c r="AD68" i="7" a="1"/>
  <c r="AD68" i="7" s="1"/>
  <c r="AD57" i="7" a="1"/>
  <c r="AD57" i="7" s="1"/>
  <c r="L49" i="5" s="1"/>
  <c r="M49" i="5" s="1"/>
  <c r="AD55" i="7" a="1"/>
  <c r="AD55" i="7" s="1"/>
  <c r="L23" i="5" s="1"/>
  <c r="M23" i="5" s="1"/>
  <c r="AE73" i="7" a="1"/>
  <c r="AE73" i="7" s="1"/>
  <c r="AD63" i="7" a="1"/>
  <c r="AD63" i="7" s="1"/>
  <c r="L127" i="5" s="1"/>
  <c r="M127" i="5" s="1"/>
  <c r="AD70" i="7" a="1"/>
  <c r="AD70" i="7" s="1"/>
  <c r="L31" i="4"/>
  <c r="E86" i="5"/>
  <c r="E87" i="5"/>
  <c r="AY8" i="7"/>
  <c r="AW8" i="7"/>
  <c r="AX8" i="7" s="1"/>
  <c r="AC68" i="7" a="1"/>
  <c r="AC68" i="7" s="1"/>
  <c r="AB75" i="7" a="1"/>
  <c r="AB75" i="7" s="1"/>
  <c r="AB73" i="7" a="1"/>
  <c r="AB73" i="7" s="1"/>
  <c r="AC56" i="7" a="1"/>
  <c r="AC56" i="7" s="1"/>
  <c r="AC54" i="7" a="1"/>
  <c r="AC54" i="7" s="1"/>
  <c r="AC55" i="7" a="1"/>
  <c r="AC55" i="7" s="1"/>
  <c r="AC57" i="7" a="1"/>
  <c r="AC57" i="7" s="1"/>
  <c r="L48" i="5" s="1"/>
  <c r="AC75" i="7" a="1"/>
  <c r="AC75" i="7" s="1"/>
  <c r="AC74" i="7" a="1"/>
  <c r="AC74" i="7" s="1"/>
  <c r="AC73" i="7" a="1"/>
  <c r="AC73" i="7" s="1"/>
  <c r="AC72" i="7" a="1"/>
  <c r="AC72" i="7" s="1"/>
  <c r="AB71" i="7" a="1"/>
  <c r="AB71" i="7" s="1"/>
  <c r="AC69" i="7" a="1"/>
  <c r="AC69" i="7" s="1"/>
  <c r="AB67" i="7" a="1"/>
  <c r="AB67" i="7" s="1"/>
  <c r="AB70" i="7" a="1"/>
  <c r="AB70" i="7" s="1"/>
  <c r="AB69" i="7" a="1"/>
  <c r="AB69" i="7" s="1"/>
  <c r="AC70" i="7" a="1"/>
  <c r="AC70" i="7" s="1"/>
  <c r="AC66" i="7" a="1"/>
  <c r="AC66" i="7" s="1"/>
  <c r="AB74" i="7" a="1"/>
  <c r="AB74" i="7" s="1"/>
  <c r="AB72" i="7" a="1"/>
  <c r="AB72" i="7" s="1"/>
  <c r="AC58" i="7" a="1"/>
  <c r="AC58" i="7" s="1"/>
  <c r="AC63" i="7" a="1"/>
  <c r="AC63" i="7" s="1"/>
  <c r="AC60" i="7" a="1"/>
  <c r="AC60" i="7" s="1"/>
  <c r="AC61" i="7" a="1"/>
  <c r="AC61" i="7" s="1"/>
  <c r="AB66" i="7" a="1"/>
  <c r="AB66" i="7" s="1"/>
  <c r="AC67" i="7" a="1"/>
  <c r="AC67" i="7" s="1"/>
  <c r="AC62" i="7" a="1"/>
  <c r="AC62" i="7" s="1"/>
  <c r="AB68" i="7" a="1"/>
  <c r="AB68" i="7" s="1"/>
  <c r="AC71" i="7" a="1"/>
  <c r="AC71" i="7" s="1"/>
  <c r="AC59" i="7" a="1"/>
  <c r="AC59" i="7" s="1"/>
  <c r="AA73" i="7" a="1"/>
  <c r="AA73" i="7" s="1"/>
  <c r="Z74" i="7" a="1"/>
  <c r="Z74" i="7" s="1"/>
  <c r="Z55" i="7" a="1"/>
  <c r="Z55" i="7" s="1"/>
  <c r="Z75" i="7" a="1"/>
  <c r="Z75" i="7" s="1"/>
  <c r="Z63" i="7" a="1"/>
  <c r="Z63" i="7" s="1"/>
  <c r="AA68" i="7" a="1"/>
  <c r="AA68" i="7" s="1"/>
  <c r="Z72" i="7" a="1"/>
  <c r="Z72" i="7" s="1"/>
  <c r="AA75" i="7" a="1"/>
  <c r="AA75" i="7" s="1"/>
  <c r="Z69" i="7" a="1"/>
  <c r="Z69" i="7" s="1"/>
  <c r="Z57" i="7" a="1"/>
  <c r="Z57" i="7" s="1"/>
  <c r="Z73" i="7" a="1"/>
  <c r="Z73" i="7" s="1"/>
  <c r="Z66" i="7" a="1"/>
  <c r="Z66" i="7" s="1"/>
  <c r="Z70" i="7" a="1"/>
  <c r="Z70" i="7" s="1"/>
  <c r="AA70" i="7" a="1"/>
  <c r="AA70" i="7" s="1"/>
  <c r="Z62" i="7" a="1"/>
  <c r="Z62" i="7" s="1"/>
  <c r="AA74" i="7" a="1"/>
  <c r="AA74" i="7" s="1"/>
  <c r="Z67" i="7" a="1"/>
  <c r="Z67" i="7" s="1"/>
  <c r="AA67" i="7" a="1"/>
  <c r="AA67" i="7" s="1"/>
  <c r="AA71" i="7" a="1"/>
  <c r="AA71" i="7" s="1"/>
  <c r="AA66" i="7" a="1"/>
  <c r="AA66" i="7" s="1"/>
  <c r="Z59" i="7" a="1"/>
  <c r="Z59" i="7" s="1"/>
  <c r="Z56" i="7" a="1"/>
  <c r="Z56" i="7" s="1"/>
  <c r="Z58" i="7" a="1"/>
  <c r="Z58" i="7" s="1"/>
  <c r="Z68" i="7" a="1"/>
  <c r="Z68" i="7" s="1"/>
  <c r="AA72" i="7" a="1"/>
  <c r="AA72" i="7" s="1"/>
  <c r="Z60" i="7" a="1"/>
  <c r="Z60" i="7" s="1"/>
  <c r="Z61" i="7" a="1"/>
  <c r="Z61" i="7" s="1"/>
  <c r="Z54" i="7" a="1"/>
  <c r="Z54" i="7" s="1"/>
  <c r="Z71" i="7" a="1"/>
  <c r="Z71" i="7" s="1"/>
  <c r="AA69" i="7" a="1"/>
  <c r="AA69" i="7" s="1"/>
  <c r="AN68" i="7" a="1"/>
  <c r="AN68" i="7" s="1"/>
  <c r="AN67" i="7" a="1"/>
  <c r="AN67" i="7" s="1"/>
  <c r="AO70" i="7" a="1"/>
  <c r="AO70" i="7" s="1"/>
  <c r="AO66" i="7" a="1"/>
  <c r="AO66" i="7" s="1"/>
  <c r="AN73" i="7" a="1"/>
  <c r="AN73" i="7" s="1"/>
  <c r="AO60" i="7" a="1"/>
  <c r="AO60" i="7" s="1"/>
  <c r="E107" i="5" s="1"/>
  <c r="F107" i="5" s="1"/>
  <c r="AN70" i="7" a="1"/>
  <c r="AN70" i="7" s="1"/>
  <c r="AO58" i="7" a="1"/>
  <c r="AO58" i="7" s="1"/>
  <c r="E81" i="5" s="1"/>
  <c r="F81" i="5" s="1"/>
  <c r="AN66" i="7" a="1"/>
  <c r="AN66" i="7" s="1"/>
  <c r="AO67" i="7" a="1"/>
  <c r="AO67" i="7" s="1"/>
  <c r="AO54" i="7" a="1"/>
  <c r="AO54" i="7" s="1"/>
  <c r="E29" i="5" s="1"/>
  <c r="F29" i="5" s="1"/>
  <c r="AN72" i="7" a="1"/>
  <c r="AN72" i="7" s="1"/>
  <c r="AO59" i="7" a="1"/>
  <c r="AO59" i="7" s="1"/>
  <c r="L81" i="5" s="1"/>
  <c r="M81" i="5" s="1"/>
  <c r="AO63" i="7" a="1"/>
  <c r="AO63" i="7" s="1"/>
  <c r="L133" i="5" s="1"/>
  <c r="M133" i="5" s="1"/>
  <c r="AO74" i="7" a="1"/>
  <c r="AO74" i="7" s="1"/>
  <c r="AO71" i="7" a="1"/>
  <c r="AO71" i="7" s="1"/>
  <c r="AO69" i="7" a="1"/>
  <c r="AO69" i="7" s="1"/>
  <c r="AO61" i="7" a="1"/>
  <c r="AO61" i="7" s="1"/>
  <c r="L107" i="5" s="1"/>
  <c r="M107" i="5" s="1"/>
  <c r="AO68" i="7" a="1"/>
  <c r="AO68" i="7" s="1"/>
  <c r="AN75" i="7" a="1"/>
  <c r="AN75" i="7" s="1"/>
  <c r="AN71" i="7" a="1"/>
  <c r="AN71" i="7" s="1"/>
  <c r="AO62" i="7" a="1"/>
  <c r="AO62" i="7" s="1"/>
  <c r="E133" i="5" s="1"/>
  <c r="F133" i="5" s="1"/>
  <c r="AO56" i="7" a="1"/>
  <c r="AO56" i="7" s="1"/>
  <c r="E55" i="5" s="1"/>
  <c r="F55" i="5" s="1"/>
  <c r="AO75" i="7" a="1"/>
  <c r="AO75" i="7" s="1"/>
  <c r="AO73" i="7" a="1"/>
  <c r="AO73" i="7" s="1"/>
  <c r="AN69" i="7" a="1"/>
  <c r="AN69" i="7" s="1"/>
  <c r="AO57" i="7" a="1"/>
  <c r="AO57" i="7" s="1"/>
  <c r="L55" i="5" s="1"/>
  <c r="M55" i="5" s="1"/>
  <c r="AO72" i="7" a="1"/>
  <c r="AO72" i="7" s="1"/>
  <c r="AN74" i="7" a="1"/>
  <c r="AN74" i="7" s="1"/>
  <c r="AO55" i="7" a="1"/>
  <c r="AO55" i="7" s="1"/>
  <c r="L29" i="5" s="1"/>
  <c r="M29" i="5" s="1"/>
  <c r="I11" i="4"/>
  <c r="I27" i="4"/>
  <c r="I23" i="4"/>
  <c r="Q35" i="18"/>
  <c r="R35" i="18" s="1"/>
  <c r="I29" i="4"/>
  <c r="I24" i="4"/>
  <c r="O25" i="11"/>
  <c r="Q25" i="11" s="1"/>
  <c r="O35" i="11"/>
  <c r="Q35" i="11" s="1"/>
  <c r="O20" i="11"/>
  <c r="Q20" i="11" s="1"/>
  <c r="O27" i="11"/>
  <c r="Q27" i="11" s="1"/>
  <c r="O21" i="11"/>
  <c r="Q21" i="11" s="1"/>
  <c r="O22" i="11"/>
  <c r="Q22" i="11" s="1"/>
  <c r="O23" i="11"/>
  <c r="Q23" i="11" s="1"/>
  <c r="AK77" i="7"/>
  <c r="AF77" i="7"/>
  <c r="AG77" i="7"/>
  <c r="AJ77" i="7"/>
  <c r="AI77" i="7"/>
  <c r="L14" i="4"/>
  <c r="Q25" i="18"/>
  <c r="R25" i="18" s="1"/>
  <c r="L32" i="4"/>
  <c r="M32" i="4"/>
  <c r="E32" i="4"/>
  <c r="E15" i="4"/>
  <c r="M15" i="4"/>
  <c r="F32" i="4"/>
  <c r="L15" i="4"/>
  <c r="F15" i="4"/>
  <c r="M14" i="4"/>
  <c r="F14" i="4"/>
  <c r="E14" i="4"/>
  <c r="E31" i="4"/>
  <c r="F31" i="4"/>
  <c r="Q21" i="15"/>
  <c r="R21" i="15" s="1"/>
  <c r="Q25" i="12"/>
  <c r="R25" i="12" s="1"/>
  <c r="Q32" i="10"/>
  <c r="R32" i="10" s="1"/>
  <c r="Q20" i="16"/>
  <c r="R20" i="16" s="1"/>
  <c r="L139" i="5"/>
  <c r="Q27" i="8"/>
  <c r="R27" i="8" s="1"/>
  <c r="A27" i="4"/>
  <c r="Q34" i="15"/>
  <c r="R34" i="15" s="1"/>
  <c r="L74" i="5"/>
  <c r="Q20" i="14"/>
  <c r="R20" i="14" s="1"/>
  <c r="Q22" i="10"/>
  <c r="R22" i="10" s="1"/>
  <c r="Q36" i="16"/>
  <c r="R36" i="16" s="1"/>
  <c r="D29" i="4"/>
  <c r="K29" i="4" s="1"/>
  <c r="E113" i="5"/>
  <c r="Q26" i="12"/>
  <c r="R26" i="12" s="1"/>
  <c r="Q22" i="17"/>
  <c r="R22" i="17" s="1"/>
  <c r="Q23" i="15"/>
  <c r="R23" i="15" s="1"/>
  <c r="D27" i="4"/>
  <c r="K27" i="4" s="1"/>
  <c r="D28" i="4"/>
  <c r="K28" i="4" s="1"/>
  <c r="L113" i="5"/>
  <c r="O26" i="15"/>
  <c r="Q26" i="15" s="1"/>
  <c r="R26" i="15" s="1"/>
  <c r="L86" i="5"/>
  <c r="L60" i="5"/>
  <c r="L34" i="5"/>
  <c r="L87" i="5"/>
  <c r="O35" i="16"/>
  <c r="Q35" i="16" s="1"/>
  <c r="R35" i="16" s="1"/>
  <c r="L35" i="5"/>
  <c r="E60" i="5"/>
  <c r="D9" i="4"/>
  <c r="K9" i="4" s="1"/>
  <c r="B28" i="4"/>
  <c r="G28" i="4" s="1"/>
  <c r="L61" i="5"/>
  <c r="E61" i="5"/>
  <c r="L112" i="5"/>
  <c r="E112" i="5"/>
  <c r="E35" i="5"/>
  <c r="C27" i="4"/>
  <c r="B29" i="4"/>
  <c r="F29" i="4" s="1"/>
  <c r="H29" i="4" s="1"/>
  <c r="D10" i="4"/>
  <c r="K10" i="4" s="1"/>
  <c r="C10" i="4"/>
  <c r="L138" i="5"/>
  <c r="O35" i="17"/>
  <c r="Q35" i="17" s="1"/>
  <c r="R35" i="17" s="1"/>
  <c r="O21" i="13"/>
  <c r="Q21" i="13" s="1"/>
  <c r="R21" i="13" s="1"/>
  <c r="A8" i="4"/>
  <c r="O23" i="8"/>
  <c r="Q23" i="8" s="1"/>
  <c r="R23" i="8" s="1"/>
  <c r="C8" i="4"/>
  <c r="D8" i="4"/>
  <c r="K8" i="4" s="1"/>
  <c r="C25" i="4"/>
  <c r="A25" i="4"/>
  <c r="B8" i="4"/>
  <c r="B7" i="4"/>
  <c r="O22" i="16"/>
  <c r="Q22" i="16" s="1"/>
  <c r="R22" i="16" s="1"/>
  <c r="O29" i="13"/>
  <c r="Q29" i="13" s="1"/>
  <c r="R29" i="13" s="1"/>
  <c r="E74" i="5" s="1"/>
  <c r="O33" i="11"/>
  <c r="Q33" i="11" s="1"/>
  <c r="B26" i="4"/>
  <c r="D26" i="4"/>
  <c r="K26" i="4" s="1"/>
  <c r="B12" i="4"/>
  <c r="O27" i="14"/>
  <c r="Q27" i="14" s="1"/>
  <c r="R27" i="14" s="1"/>
  <c r="C29" i="4"/>
  <c r="O31" i="16"/>
  <c r="Q31" i="16" s="1"/>
  <c r="R31" i="16" s="1"/>
  <c r="O30" i="8"/>
  <c r="Q30" i="8" s="1"/>
  <c r="R30" i="8" s="1"/>
  <c r="B23" i="4"/>
  <c r="D23" i="4"/>
  <c r="K23" i="4" s="1"/>
  <c r="C7" i="4"/>
  <c r="C24" i="4"/>
  <c r="E34" i="5"/>
  <c r="O24" i="16"/>
  <c r="Q24" i="16" s="1"/>
  <c r="R24" i="16" s="1"/>
  <c r="C9" i="4"/>
  <c r="D7" i="4"/>
  <c r="K7" i="4" s="1"/>
  <c r="E138" i="5"/>
  <c r="D12" i="4"/>
  <c r="K12" i="4" s="1"/>
  <c r="O32" i="16"/>
  <c r="Q32" i="16" s="1"/>
  <c r="R32" i="16" s="1"/>
  <c r="O23" i="12"/>
  <c r="Q23" i="12" s="1"/>
  <c r="R23" i="12" s="1"/>
  <c r="O35" i="10"/>
  <c r="Q35" i="10" s="1"/>
  <c r="R35" i="10" s="1"/>
  <c r="B22" i="4"/>
  <c r="O29" i="10"/>
  <c r="Q29" i="10" s="1"/>
  <c r="R29" i="10" s="1"/>
  <c r="D22" i="4"/>
  <c r="C6" i="4"/>
  <c r="A23" i="4"/>
  <c r="D6" i="4"/>
  <c r="K6" i="4" s="1"/>
  <c r="C23" i="4"/>
  <c r="B6" i="4"/>
  <c r="A6" i="4"/>
  <c r="O21" i="8"/>
  <c r="Q21" i="8" s="1"/>
  <c r="R21" i="8" s="1"/>
  <c r="O34" i="17"/>
  <c r="Q34" i="17" s="1"/>
  <c r="R34" i="17" s="1"/>
  <c r="B27" i="4"/>
  <c r="A12" i="4"/>
  <c r="A11" i="4"/>
  <c r="O26" i="10"/>
  <c r="Q26" i="10" s="1"/>
  <c r="R26" i="10" s="1"/>
  <c r="C28" i="4"/>
  <c r="A28" i="4"/>
  <c r="C11" i="4"/>
  <c r="D11" i="4"/>
  <c r="K11" i="4" s="1"/>
  <c r="B11" i="4"/>
  <c r="A7" i="4"/>
  <c r="O31" i="8"/>
  <c r="Q31" i="8" s="1"/>
  <c r="R31" i="8" s="1"/>
  <c r="D24" i="4"/>
  <c r="K24" i="4" s="1"/>
  <c r="B24" i="4"/>
  <c r="O32" i="15"/>
  <c r="Q32" i="15" s="1"/>
  <c r="R32" i="15" s="1"/>
  <c r="D25" i="4"/>
  <c r="K25" i="4" s="1"/>
  <c r="B25" i="4"/>
  <c r="A26" i="4"/>
  <c r="C26" i="4"/>
  <c r="O20" i="13"/>
  <c r="Q20" i="13" s="1"/>
  <c r="R20" i="13" s="1"/>
  <c r="O24" i="11"/>
  <c r="Q24" i="11" s="1"/>
  <c r="B9" i="4"/>
  <c r="A9" i="4"/>
  <c r="E139" i="5"/>
  <c r="O36" i="15"/>
  <c r="Q36" i="15" s="1"/>
  <c r="R36" i="15" s="1"/>
  <c r="C12" i="4"/>
  <c r="O25" i="17"/>
  <c r="Q25" i="17" s="1"/>
  <c r="R25" i="17" s="1"/>
  <c r="B10" i="4"/>
  <c r="O31" i="15"/>
  <c r="Q31" i="15" s="1"/>
  <c r="R31" i="15" s="1"/>
  <c r="A24" i="4"/>
  <c r="A10" i="4"/>
  <c r="A29" i="4"/>
  <c r="D60" i="4"/>
  <c r="C56" i="4"/>
  <c r="D52" i="4"/>
  <c r="D48" i="4"/>
  <c r="C44" i="4"/>
  <c r="C33" i="4"/>
  <c r="C60" i="4"/>
  <c r="A60" i="4"/>
  <c r="B56" i="4"/>
  <c r="C52" i="4"/>
  <c r="C48" i="4"/>
  <c r="B44" i="4"/>
  <c r="D40" i="4"/>
  <c r="B33" i="4"/>
  <c r="D16" i="4"/>
  <c r="B60" i="4"/>
  <c r="B52" i="4"/>
  <c r="B48" i="4"/>
  <c r="I40" i="4"/>
  <c r="C40" i="4"/>
  <c r="C16" i="4"/>
  <c r="A16" i="4"/>
  <c r="D56" i="4"/>
  <c r="A56" i="4"/>
  <c r="A52" i="4"/>
  <c r="A48" i="4"/>
  <c r="D44" i="4"/>
  <c r="A44" i="4"/>
  <c r="B40" i="4"/>
  <c r="A40" i="4"/>
  <c r="D33" i="4"/>
  <c r="A33" i="4"/>
  <c r="B16" i="4"/>
  <c r="A13" i="4"/>
  <c r="B30" i="4"/>
  <c r="I30" i="4" s="1"/>
  <c r="A30" i="4"/>
  <c r="B13" i="4"/>
  <c r="R40" i="8"/>
  <c r="P40" i="8"/>
  <c r="AH77" i="7"/>
  <c r="D61" i="4"/>
  <c r="A61" i="4"/>
  <c r="D53" i="4"/>
  <c r="B49" i="4"/>
  <c r="C45" i="4"/>
  <c r="D41" i="4"/>
  <c r="A41" i="4"/>
  <c r="C17" i="4"/>
  <c r="C61" i="4"/>
  <c r="D57" i="4"/>
  <c r="C53" i="4"/>
  <c r="A53" i="4"/>
  <c r="B45" i="4"/>
  <c r="C41" i="4"/>
  <c r="D34" i="4"/>
  <c r="B17" i="4"/>
  <c r="B61" i="4"/>
  <c r="C57" i="4"/>
  <c r="A57" i="4"/>
  <c r="B53" i="4"/>
  <c r="D49" i="4"/>
  <c r="I41" i="4"/>
  <c r="B41" i="4"/>
  <c r="C34" i="4"/>
  <c r="A34" i="4"/>
  <c r="B57" i="4"/>
  <c r="C49" i="4"/>
  <c r="A49" i="4"/>
  <c r="D45" i="4"/>
  <c r="A45" i="4"/>
  <c r="B34" i="4"/>
  <c r="D17" i="4"/>
  <c r="A17" i="4"/>
  <c r="F5" i="4" l="1"/>
  <c r="H5" i="4" s="1"/>
  <c r="K5" i="4"/>
  <c r="M5" i="4"/>
  <c r="K22" i="4"/>
  <c r="AE77" i="7"/>
  <c r="AD77" i="7"/>
  <c r="AA77" i="7"/>
  <c r="Z77" i="7"/>
  <c r="AC77" i="7"/>
  <c r="AN77" i="7"/>
  <c r="AO77" i="7"/>
  <c r="AB77" i="7"/>
  <c r="AL74" i="7" a="1"/>
  <c r="AL74" i="7" s="1"/>
  <c r="AL70" i="7" a="1"/>
  <c r="AL70" i="7" s="1"/>
  <c r="AM73" i="7" a="1"/>
  <c r="AM73" i="7" s="1"/>
  <c r="AM68" i="7" a="1"/>
  <c r="AM68" i="7" s="1"/>
  <c r="AL58" i="7" a="1"/>
  <c r="AL58" i="7" s="1"/>
  <c r="E80" i="5" s="1"/>
  <c r="AL55" i="7" a="1"/>
  <c r="AL55" i="7" s="1"/>
  <c r="L28" i="5" s="1"/>
  <c r="AM74" i="7" a="1"/>
  <c r="AM74" i="7" s="1"/>
  <c r="AM69" i="7" a="1"/>
  <c r="AM69" i="7" s="1"/>
  <c r="AL73" i="7" a="1"/>
  <c r="AL73" i="7" s="1"/>
  <c r="AL71" i="7" a="1"/>
  <c r="AL71" i="7" s="1"/>
  <c r="AL69" i="7" a="1"/>
  <c r="AL69" i="7" s="1"/>
  <c r="AL68" i="7" a="1"/>
  <c r="AL68" i="7" s="1"/>
  <c r="AM72" i="7" a="1"/>
  <c r="AM72" i="7" s="1"/>
  <c r="AM70" i="7" a="1"/>
  <c r="AM70" i="7" s="1"/>
  <c r="AM67" i="7" a="1"/>
  <c r="AM67" i="7" s="1"/>
  <c r="AL59" i="7" a="1"/>
  <c r="AL59" i="7" s="1"/>
  <c r="L80" i="5" s="1"/>
  <c r="AL63" i="7" a="1"/>
  <c r="AL63" i="7" s="1"/>
  <c r="L132" i="5" s="1"/>
  <c r="AL72" i="7" a="1"/>
  <c r="AL72" i="7" s="1"/>
  <c r="AL62" i="7" a="1"/>
  <c r="AL62" i="7" s="1"/>
  <c r="E132" i="5" s="1"/>
  <c r="AL61" i="7" a="1"/>
  <c r="AL61" i="7" s="1"/>
  <c r="L106" i="5" s="1"/>
  <c r="AL67" i="7" a="1"/>
  <c r="AL67" i="7" s="1"/>
  <c r="AL66" i="7" a="1"/>
  <c r="AL66" i="7" s="1"/>
  <c r="AM75" i="7" a="1"/>
  <c r="AM75" i="7" s="1"/>
  <c r="AM71" i="7" a="1"/>
  <c r="AM71" i="7" s="1"/>
  <c r="AM66" i="7" a="1"/>
  <c r="AM66" i="7" s="1"/>
  <c r="AL56" i="7" a="1"/>
  <c r="AL56" i="7" s="1"/>
  <c r="E54" i="5" s="1"/>
  <c r="AL57" i="7" a="1"/>
  <c r="AL57" i="7" s="1"/>
  <c r="L54" i="5" s="1"/>
  <c r="AL54" i="7" a="1"/>
  <c r="AL54" i="7" s="1"/>
  <c r="E28" i="5" s="1"/>
  <c r="AL60" i="7" a="1"/>
  <c r="AL60" i="7" s="1"/>
  <c r="E106" i="5" s="1"/>
  <c r="AL75" i="7" a="1"/>
  <c r="AL75" i="7" s="1"/>
  <c r="P27" i="11"/>
  <c r="I12" i="4" s="1"/>
  <c r="P23" i="11"/>
  <c r="I8" i="4" s="1"/>
  <c r="P21" i="11"/>
  <c r="I6" i="4" s="1"/>
  <c r="P35" i="11"/>
  <c r="I28" i="4" s="1"/>
  <c r="P24" i="11"/>
  <c r="I9" i="4" s="1"/>
  <c r="P22" i="11"/>
  <c r="I7" i="4" s="1"/>
  <c r="P33" i="11"/>
  <c r="I26" i="4" s="1"/>
  <c r="P20" i="11"/>
  <c r="I5" i="4" s="1"/>
  <c r="P25" i="11"/>
  <c r="I10" i="4" s="1"/>
  <c r="L73" i="5"/>
  <c r="E99" i="5"/>
  <c r="I15" i="4"/>
  <c r="H15" i="4"/>
  <c r="D15" i="4"/>
  <c r="G15" i="4"/>
  <c r="D14" i="4"/>
  <c r="G14" i="4"/>
  <c r="I14" i="4"/>
  <c r="H14" i="4"/>
  <c r="H32" i="4"/>
  <c r="G32" i="4"/>
  <c r="I32" i="4"/>
  <c r="D32" i="4"/>
  <c r="D31" i="4"/>
  <c r="G31" i="4"/>
  <c r="I31" i="4"/>
  <c r="H31" i="4"/>
  <c r="L28" i="4"/>
  <c r="E73" i="5"/>
  <c r="E28" i="4"/>
  <c r="F28" i="4"/>
  <c r="H28" i="4" s="1"/>
  <c r="L47" i="5"/>
  <c r="E5" i="4"/>
  <c r="G29" i="4"/>
  <c r="E100" i="5"/>
  <c r="E126" i="5"/>
  <c r="L126" i="5"/>
  <c r="L29" i="4"/>
  <c r="E29" i="4"/>
  <c r="M22" i="4"/>
  <c r="L99" i="5"/>
  <c r="L125" i="5"/>
  <c r="E125" i="5"/>
  <c r="L24" i="4"/>
  <c r="F24" i="4"/>
  <c r="H24" i="4" s="1"/>
  <c r="G24" i="4"/>
  <c r="E24" i="4"/>
  <c r="F23" i="4"/>
  <c r="H23" i="4" s="1"/>
  <c r="L23" i="4"/>
  <c r="G23" i="4"/>
  <c r="E23" i="4"/>
  <c r="F9" i="4"/>
  <c r="H9" i="4" s="1"/>
  <c r="M9" i="4"/>
  <c r="G9" i="4"/>
  <c r="E9" i="4"/>
  <c r="L9" i="4"/>
  <c r="M26" i="4"/>
  <c r="L22" i="5"/>
  <c r="F12" i="4"/>
  <c r="H12" i="4" s="1"/>
  <c r="L12" i="4"/>
  <c r="E12" i="4"/>
  <c r="M29" i="4"/>
  <c r="G12" i="4"/>
  <c r="M12" i="4"/>
  <c r="L100" i="5"/>
  <c r="M25" i="4"/>
  <c r="E8" i="4"/>
  <c r="M8" i="4"/>
  <c r="L8" i="4"/>
  <c r="G8" i="4"/>
  <c r="F8" i="4"/>
  <c r="H8" i="4" s="1"/>
  <c r="F25" i="4"/>
  <c r="H25" i="4" s="1"/>
  <c r="L25" i="4"/>
  <c r="G25" i="4"/>
  <c r="E25" i="4"/>
  <c r="L11" i="4"/>
  <c r="M11" i="4"/>
  <c r="G11" i="4"/>
  <c r="F11" i="4"/>
  <c r="H11" i="4" s="1"/>
  <c r="M28" i="4"/>
  <c r="E11" i="4"/>
  <c r="G22" i="4"/>
  <c r="E22" i="4"/>
  <c r="L22" i="4"/>
  <c r="F22" i="4"/>
  <c r="H22" i="4" s="1"/>
  <c r="F10" i="4"/>
  <c r="H10" i="4" s="1"/>
  <c r="E10" i="4"/>
  <c r="M10" i="4"/>
  <c r="M27" i="4"/>
  <c r="L10" i="4"/>
  <c r="G10" i="4"/>
  <c r="E27" i="4"/>
  <c r="L27" i="4"/>
  <c r="F27" i="4"/>
  <c r="H27" i="4" s="1"/>
  <c r="G27" i="4"/>
  <c r="M23" i="4"/>
  <c r="G6" i="4"/>
  <c r="F6" i="4"/>
  <c r="H6" i="4" s="1"/>
  <c r="M6" i="4"/>
  <c r="L6" i="4"/>
  <c r="E6" i="4"/>
  <c r="G7" i="4"/>
  <c r="F7" i="4"/>
  <c r="H7" i="4" s="1"/>
  <c r="M24" i="4"/>
  <c r="E7" i="4"/>
  <c r="L7" i="4"/>
  <c r="M7" i="4"/>
  <c r="L21" i="5"/>
  <c r="G26" i="4"/>
  <c r="E26" i="4"/>
  <c r="L26" i="4"/>
  <c r="F26" i="4"/>
  <c r="H26" i="4" s="1"/>
  <c r="M34" i="4"/>
  <c r="E34" i="4"/>
  <c r="F34" i="4"/>
  <c r="L34" i="4" s="1"/>
  <c r="I34" i="4"/>
  <c r="H34" i="4"/>
  <c r="G34" i="4"/>
  <c r="E41" i="4"/>
  <c r="M41" i="4"/>
  <c r="H41" i="4"/>
  <c r="G41" i="4"/>
  <c r="F41" i="4"/>
  <c r="L41" i="4" s="1"/>
  <c r="G57" i="4"/>
  <c r="F57" i="4"/>
  <c r="L57" i="4" s="1"/>
  <c r="M57" i="4"/>
  <c r="H57" i="4"/>
  <c r="E57" i="4"/>
  <c r="I57" i="4"/>
  <c r="E22" i="5"/>
  <c r="E21" i="5"/>
  <c r="M48" i="4"/>
  <c r="I48" i="4"/>
  <c r="H48" i="4"/>
  <c r="G48" i="4"/>
  <c r="E48" i="4"/>
  <c r="F48" i="4"/>
  <c r="L48" i="4" s="1"/>
  <c r="I33" i="4"/>
  <c r="F33" i="4"/>
  <c r="L33" i="4" s="1"/>
  <c r="G33" i="4"/>
  <c r="E33" i="4"/>
  <c r="M33" i="4"/>
  <c r="H33" i="4"/>
  <c r="I61" i="4"/>
  <c r="H61" i="4"/>
  <c r="E61" i="4"/>
  <c r="M61" i="4"/>
  <c r="G61" i="4"/>
  <c r="F61" i="4"/>
  <c r="L61" i="4" s="1"/>
  <c r="I45" i="4"/>
  <c r="E45" i="4"/>
  <c r="M45" i="4"/>
  <c r="G45" i="4"/>
  <c r="H45" i="4"/>
  <c r="F45" i="4"/>
  <c r="L45" i="4" s="1"/>
  <c r="H30" i="4"/>
  <c r="G13" i="4"/>
  <c r="D13" i="4"/>
  <c r="L13" i="4" s="1"/>
  <c r="E13" i="4"/>
  <c r="M13" i="4" s="1"/>
  <c r="D30" i="4"/>
  <c r="L30" i="4" s="1"/>
  <c r="C13" i="4"/>
  <c r="C30" i="4"/>
  <c r="G30" i="4"/>
  <c r="F13" i="4"/>
  <c r="E30" i="4"/>
  <c r="M30" i="4" s="1"/>
  <c r="H13" i="4"/>
  <c r="I13" i="4"/>
  <c r="M16" i="4"/>
  <c r="E16" i="4"/>
  <c r="F16" i="4"/>
  <c r="L16" i="4" s="1"/>
  <c r="I16" i="4"/>
  <c r="H16" i="4"/>
  <c r="G16" i="4"/>
  <c r="E40" i="4"/>
  <c r="M40" i="4"/>
  <c r="H40" i="4"/>
  <c r="F40" i="4"/>
  <c r="L40" i="4" s="1"/>
  <c r="G40" i="4"/>
  <c r="M52" i="4"/>
  <c r="H52" i="4"/>
  <c r="G52" i="4"/>
  <c r="F52" i="4"/>
  <c r="L52" i="4" s="1"/>
  <c r="E52" i="4"/>
  <c r="I52" i="4"/>
  <c r="I56" i="4"/>
  <c r="M56" i="4"/>
  <c r="M58" i="4" s="1"/>
  <c r="E13" i="5" s="1"/>
  <c r="G56" i="4"/>
  <c r="H56" i="4"/>
  <c r="E56" i="4"/>
  <c r="F56" i="4"/>
  <c r="L56" i="4" s="1"/>
  <c r="M53" i="4"/>
  <c r="H53" i="4"/>
  <c r="G53" i="4"/>
  <c r="F53" i="4"/>
  <c r="L53" i="4" s="1"/>
  <c r="I53" i="4"/>
  <c r="E53" i="4"/>
  <c r="I17" i="4"/>
  <c r="H17" i="4"/>
  <c r="E17" i="4"/>
  <c r="M17" i="4"/>
  <c r="F17" i="4"/>
  <c r="L17" i="4" s="1"/>
  <c r="G17" i="4"/>
  <c r="M49" i="4"/>
  <c r="G49" i="4"/>
  <c r="E49" i="4"/>
  <c r="F49" i="4"/>
  <c r="L49" i="4" s="1"/>
  <c r="I49" i="4"/>
  <c r="H49" i="4"/>
  <c r="M60" i="4"/>
  <c r="H60" i="4"/>
  <c r="G60" i="4"/>
  <c r="F60" i="4"/>
  <c r="L60" i="4" s="1"/>
  <c r="E60" i="4"/>
  <c r="I60" i="4"/>
  <c r="I44" i="4"/>
  <c r="E44" i="4"/>
  <c r="M44" i="4"/>
  <c r="F44" i="4"/>
  <c r="L44" i="4" s="1"/>
  <c r="G44" i="4"/>
  <c r="H44" i="4"/>
  <c r="AM77" i="7" l="1"/>
  <c r="F54" i="5"/>
  <c r="E56" i="5"/>
  <c r="F56" i="5" s="1"/>
  <c r="AL77" i="7"/>
  <c r="L30" i="5"/>
  <c r="M30" i="5" s="1"/>
  <c r="M28" i="5"/>
  <c r="F106" i="5"/>
  <c r="E108" i="5"/>
  <c r="F108" i="5" s="1"/>
  <c r="M132" i="5"/>
  <c r="L134" i="5"/>
  <c r="M134" i="5" s="1"/>
  <c r="F80" i="5"/>
  <c r="E82" i="5"/>
  <c r="F82" i="5" s="1"/>
  <c r="F28" i="5"/>
  <c r="E30" i="5"/>
  <c r="F30" i="5" s="1"/>
  <c r="M106" i="5"/>
  <c r="L108" i="5"/>
  <c r="M108" i="5" s="1"/>
  <c r="M80" i="5"/>
  <c r="L82" i="5"/>
  <c r="M82" i="5" s="1"/>
  <c r="L56" i="5"/>
  <c r="M56" i="5" s="1"/>
  <c r="M54" i="5"/>
  <c r="F132" i="5"/>
  <c r="E134" i="5"/>
  <c r="F134" i="5" s="1"/>
  <c r="R23" i="11"/>
  <c r="R21" i="11"/>
  <c r="R22" i="11"/>
  <c r="R27" i="11"/>
  <c r="R25" i="11"/>
  <c r="R35" i="11"/>
  <c r="R24" i="11"/>
  <c r="R20" i="11"/>
  <c r="R33" i="11"/>
  <c r="L62" i="4"/>
  <c r="P14" i="5" s="1"/>
  <c r="L58" i="4"/>
  <c r="P13" i="5" s="1"/>
  <c r="M42" i="4"/>
  <c r="E8" i="5" s="1"/>
  <c r="M46" i="4"/>
  <c r="E9" i="5" s="1"/>
  <c r="M62" i="4"/>
  <c r="E14" i="5" s="1"/>
  <c r="E15" i="5" s="1"/>
  <c r="L46" i="4"/>
  <c r="P9" i="5" s="1"/>
  <c r="L42" i="4"/>
  <c r="P8" i="5" s="1"/>
  <c r="M35" i="4"/>
  <c r="E7" i="5" s="1"/>
  <c r="L35" i="4"/>
  <c r="P7" i="5" s="1"/>
  <c r="M50" i="4"/>
  <c r="E10" i="5" s="1"/>
  <c r="M54" i="4"/>
  <c r="E11" i="5" s="1"/>
  <c r="M18" i="4"/>
  <c r="E6" i="5" s="1"/>
  <c r="L54" i="4"/>
  <c r="P11" i="5" s="1"/>
  <c r="L50" i="4"/>
  <c r="P10" i="5" s="1"/>
  <c r="L5" i="4" l="1"/>
  <c r="L18" i="4" s="1"/>
  <c r="P6" i="5" s="1"/>
  <c r="E48" i="5"/>
  <c r="E47" i="5"/>
  <c r="P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100-000001000000}">
      <text>
        <r>
          <rPr>
            <sz val="9"/>
            <color indexed="81"/>
            <rFont val="Tahoma"/>
            <family val="2"/>
          </rPr>
          <t>Maximum from all plant locations.</t>
        </r>
      </text>
    </comment>
    <comment ref="F32" authorId="0" shapeId="0" xr:uid="{00000000-0006-0000-01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8" authorId="0" shapeId="0" xr:uid="{00000000-0006-0000-01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1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1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1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1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1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1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1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1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200-000001000000}">
      <text>
        <r>
          <rPr>
            <sz val="9"/>
            <color indexed="81"/>
            <rFont val="Tahoma"/>
            <family val="2"/>
          </rPr>
          <t>Maximum from all plant locations.</t>
        </r>
      </text>
    </comment>
    <comment ref="F31" authorId="0" shapeId="0" xr:uid="{00000000-0006-0000-02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6" authorId="0" shapeId="0" xr:uid="{00000000-0006-0000-02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2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2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2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2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2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2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2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2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300-000001000000}">
      <text>
        <r>
          <rPr>
            <sz val="9"/>
            <color indexed="81"/>
            <rFont val="Tahoma"/>
            <family val="2"/>
          </rPr>
          <t>Maximum from all plant locations.</t>
        </r>
      </text>
    </comment>
    <comment ref="F32" authorId="0" shapeId="0" xr:uid="{00000000-0006-0000-03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3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3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3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3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3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3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3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3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3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400-000001000000}">
      <text>
        <r>
          <rPr>
            <sz val="9"/>
            <color indexed="81"/>
            <rFont val="Tahoma"/>
            <family val="2"/>
          </rPr>
          <t>Maximum from all plant locations.</t>
        </r>
      </text>
    </comment>
    <comment ref="F32" authorId="0" shapeId="0" xr:uid="{00000000-0006-0000-04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4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4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4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4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4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4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4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4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4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500-000001000000}">
      <text>
        <r>
          <rPr>
            <sz val="9"/>
            <color indexed="81"/>
            <rFont val="Tahoma"/>
            <family val="2"/>
          </rPr>
          <t>Maximum from all plant locations.</t>
        </r>
      </text>
    </comment>
    <comment ref="F32" authorId="0" shapeId="0" xr:uid="{00000000-0006-0000-05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8" authorId="0" shapeId="0" xr:uid="{00000000-0006-0000-05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5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5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5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5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5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5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5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5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600-000001000000}">
      <text>
        <r>
          <rPr>
            <sz val="9"/>
            <color indexed="81"/>
            <rFont val="Tahoma"/>
            <family val="2"/>
          </rPr>
          <t>Maximum from all plant locations.</t>
        </r>
      </text>
    </comment>
    <comment ref="F32" authorId="0" shapeId="0" xr:uid="{00000000-0006-0000-06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6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6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6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6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6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6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6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6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6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700-000001000000}">
      <text>
        <r>
          <rPr>
            <sz val="9"/>
            <color indexed="81"/>
            <rFont val="Tahoma"/>
            <family val="2"/>
          </rPr>
          <t>Maximum from all plant locations.</t>
        </r>
      </text>
    </comment>
    <comment ref="F32" authorId="0" shapeId="0" xr:uid="{00000000-0006-0000-07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7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7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7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7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7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7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7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7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7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800-000001000000}">
      <text>
        <r>
          <rPr>
            <sz val="9"/>
            <color indexed="81"/>
            <rFont val="Tahoma"/>
            <family val="2"/>
          </rPr>
          <t>Maximum from all plant locations.</t>
        </r>
      </text>
    </comment>
    <comment ref="F32" authorId="0" shapeId="0" xr:uid="{00000000-0006-0000-08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8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8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8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8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8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8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8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8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8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900-000001000000}">
      <text>
        <r>
          <rPr>
            <sz val="9"/>
            <color indexed="81"/>
            <rFont val="Tahoma"/>
            <family val="2"/>
          </rPr>
          <t>Maximum from all plant locations.</t>
        </r>
      </text>
    </comment>
    <comment ref="F32" authorId="0" shapeId="0" xr:uid="{00000000-0006-0000-09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9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3" authorId="0" shapeId="0" xr:uid="{00000000-0006-0000-09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9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9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9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9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9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9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9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A00-000001000000}">
      <text>
        <r>
          <rPr>
            <sz val="9"/>
            <color indexed="81"/>
            <rFont val="Tahoma"/>
            <family val="2"/>
          </rPr>
          <t>Maximum from all plant locations.</t>
        </r>
      </text>
    </comment>
    <comment ref="F32" authorId="0" shapeId="0" xr:uid="{00000000-0006-0000-0A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A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A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8" authorId="0" shapeId="0" xr:uid="{00000000-0006-0000-0A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3" authorId="0" shapeId="0" xr:uid="{00000000-0006-0000-0A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A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A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A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A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A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I5" authorId="0" shapeId="0" xr:uid="{00000000-0006-0000-0B00-000001000000}">
      <text>
        <r>
          <rPr>
            <b/>
            <sz val="10"/>
            <color indexed="81"/>
            <rFont val="Calibri"/>
            <family val="2"/>
          </rPr>
          <t>Enter the %.  If vehicles travel the same distance empty and full, this number should be entered as 50.</t>
        </r>
      </text>
    </comment>
    <comment ref="J5" authorId="0" shapeId="0" xr:uid="{00000000-0006-0000-0B00-000002000000}">
      <text>
        <r>
          <rPr>
            <sz val="9"/>
            <color indexed="81"/>
            <rFont val="Tahoma"/>
            <family val="2"/>
          </rPr>
          <t xml:space="preserve">Average Weight of the vehicle based on the distance traveled on site.
</t>
        </r>
      </text>
    </comment>
    <comment ref="L5" authorId="0" shapeId="0" xr:uid="{00000000-0006-0000-0B00-000003000000}">
      <text>
        <r>
          <rPr>
            <b/>
            <sz val="10"/>
            <color indexed="81"/>
            <rFont val="Calibri"/>
            <family val="2"/>
          </rPr>
          <t xml:space="preserve">Enter the length of the haul road round trip. </t>
        </r>
      </text>
    </comment>
    <comment ref="Q5" authorId="0" shapeId="0" xr:uid="{00000000-0006-0000-0B00-000004000000}">
      <text>
        <r>
          <rPr>
            <b/>
            <sz val="10"/>
            <color indexed="81"/>
            <rFont val="Calibri"/>
            <family val="2"/>
          </rPr>
          <t>Actual Annual Throughput divided by the Mean Vehicle Wight.</t>
        </r>
      </text>
    </comment>
    <comment ref="R5" authorId="0" shapeId="0" xr:uid="{00000000-0006-0000-0B00-000005000000}">
      <text>
        <r>
          <rPr>
            <b/>
            <sz val="10"/>
            <color indexed="81"/>
            <rFont val="Calibri"/>
            <family val="2"/>
          </rPr>
          <t>Enter 8.3 for unpaved haul road and 8.4 for paved haul road.</t>
        </r>
      </text>
    </comment>
    <comment ref="S5" authorId="0" shapeId="0" xr:uid="{00000000-0006-0000-0B00-000006000000}">
      <text>
        <r>
          <rPr>
            <b/>
            <sz val="10"/>
            <color indexed="81"/>
            <rFont val="Calibri"/>
            <family val="2"/>
          </rPr>
          <t>See Map - AP-42 Figure 13.2.1-2 for value.  100 may be entered as a default value.</t>
        </r>
      </text>
    </comment>
    <comment ref="T5" authorId="0" shapeId="0" xr:uid="{00000000-0006-0000-0B00-000007000000}">
      <text>
        <r>
          <rPr>
            <b/>
            <sz val="10"/>
            <color indexed="81"/>
            <rFont val="Calibri"/>
            <family val="2"/>
          </rPr>
          <t>Choose "no" if uncontrolled or "yes" if controlled.</t>
        </r>
      </text>
    </comment>
    <comment ref="C6" authorId="0" shapeId="0" xr:uid="{00000000-0006-0000-0B00-000008000000}">
      <text>
        <r>
          <rPr>
            <sz val="9"/>
            <color indexed="81"/>
            <rFont val="Arial"/>
            <family val="2"/>
          </rPr>
          <t>The emission point number should be the county number followed by the site within the county, then the letters HR and end with the haul road number at that site.  For example, the first haul road at the first site in Adair County would have an emission point number of 01-01-HR01, while the second haul road at the first site in Adair County would have an emission point number of 01-01-HR02.  The first haul road at the second site in Adair County would be 01-02-HR01 and the second haul road at the second site in Adair County would be 01-02-HR02 and so on and so forth.  The first two digits of the emission point number represent the county number.  In this example, Adair County is “01” because it is the first county in alphabetical order.  The numbering scheme selected by the facility should remain constant across emissions inventory years to allow Iowa DNR to track emissions over time.</t>
        </r>
      </text>
    </comment>
    <comment ref="D6" authorId="0" shapeId="0" xr:uid="{00000000-0006-0000-0B00-000009000000}">
      <text>
        <r>
          <rPr>
            <sz val="9"/>
            <color indexed="81"/>
            <rFont val="Arial"/>
            <family val="2"/>
          </rPr>
          <t>The emission unit number should be the county number followed by the site within the county, then the letters HR and end with the haul road number at that site.  For example, the first haul road at the first site in Adair County would have an emission unit number of 01-01-HR01, while the second haul road at the first site in Adair County would have an emission unit number of 01-01-HR02.  The first haul road at the second site in Adair County would be 01-02-HR01 and the second haul road at the second site in Adair County would be 01-02-HR02 and so on and so forth.  The first two digits of the emission unit number represent the county number.  In this example, Adair County is “01” because it is the first county in alphabetical order.  The numbering scheme selected by the facility should remain constant across emissions inventory years to allow Iowa DNR to track emissions over time.</t>
        </r>
      </text>
    </comment>
    <comment ref="P6" authorId="0" shapeId="0" xr:uid="{00000000-0006-0000-0B00-00000A000000}">
      <text>
        <r>
          <rPr>
            <b/>
            <sz val="10"/>
            <color indexed="81"/>
            <rFont val="Calibri"/>
            <family val="2"/>
          </rPr>
          <t>Maximum Potential Annual Throughput divided by Mean Vehicle Weight.</t>
        </r>
      </text>
    </comment>
    <comment ref="G7" authorId="0" shapeId="0" xr:uid="{00000000-0006-0000-0B00-00000B000000}">
      <text>
        <r>
          <rPr>
            <b/>
            <sz val="10"/>
            <color indexed="81"/>
            <rFont val="Calibri"/>
            <family val="2"/>
          </rPr>
          <t>Enter the average weight of all unloaded vehicles traveling on the road.</t>
        </r>
      </text>
    </comment>
    <comment ref="H7" authorId="0" shapeId="0" xr:uid="{00000000-0006-0000-0B00-00000C000000}">
      <text>
        <r>
          <rPr>
            <b/>
            <sz val="10"/>
            <color indexed="81"/>
            <rFont val="Calibri"/>
            <family val="2"/>
          </rPr>
          <t>Enter the average weight of all loaded vehicles traveling on the road.</t>
        </r>
      </text>
    </comment>
    <comment ref="N8" authorId="0" shapeId="0" xr:uid="{00000000-0006-0000-0B00-00000D000000}">
      <text>
        <r>
          <rPr>
            <b/>
            <sz val="10"/>
            <color indexed="81"/>
            <rFont val="Calibri"/>
            <family val="2"/>
          </rPr>
          <t xml:space="preserve">If no permit limit (tons/yr) exists, enter the maximum total annual throughput of the plant. </t>
        </r>
      </text>
    </comment>
    <comment ref="O8" authorId="0" shapeId="0" xr:uid="{00000000-0006-0000-0B00-00000E000000}">
      <text>
        <r>
          <rPr>
            <b/>
            <sz val="10"/>
            <color indexed="81"/>
            <rFont val="Calibri"/>
            <family val="2"/>
          </rPr>
          <t>Enter the total tons of throughput.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D6" authorId="0" shapeId="0" xr:uid="{00000000-0006-0000-0C00-000001000000}">
      <text>
        <r>
          <rPr>
            <sz val="9"/>
            <color indexed="81"/>
            <rFont val="Tahoma"/>
            <family val="2"/>
          </rPr>
          <t>If the construction permit cover page for a generator stack does not specify the emission point number, the emission point number should be entered as LP-1 GEN1 for the first generator at one portable limestone crushing plant.  The second generator at the portable limestone crushing plant should be LP-1 GEN2 and so on and so forth.  The first generator at the second portable plant would be LP-2 GEN1 and the second generator would be LP-2 GEN2 and so on and so forth.  If the construction permit cover page does specify the emission point number, that number should be entered in the emission point number column.  The numbering scheme selected by the facility should remain constant across emissions inventory years to allow Iowa DNR to track emissions over time.</t>
        </r>
      </text>
    </comment>
    <comment ref="E6" authorId="0" shapeId="0" xr:uid="{00000000-0006-0000-0C00-000002000000}">
      <text>
        <r>
          <rPr>
            <sz val="9"/>
            <color indexed="81"/>
            <rFont val="Tahoma"/>
            <family val="2"/>
          </rPr>
          <t>If the construction permit cover page for a generator stack does not specify the emission unit number, the emission unit number should be entered as LP-1 GEN1 for the first generator at one portable limestone crushing plant.  The second generator at the portable limestone crushing plant should be LP-1 GEN2 and so on and so forth.  The first generator at the second portable plant would be LP-2 GEN1 and the second generator would be LP-2 GEN2 and so on and so forth.  If the construction permit cover page does specify the emission unit number, that number should be entered in the emission unit number column.  The numbering scheme selected by the facility should remain constant across emissions inventory years to allow Iowa DNR to track emissions over time.</t>
        </r>
      </text>
    </comment>
    <comment ref="H6" authorId="0" shapeId="0" xr:uid="{00000000-0006-0000-0C00-000003000000}">
      <text>
        <r>
          <rPr>
            <sz val="9"/>
            <color indexed="81"/>
            <rFont val="Tahoma"/>
            <family val="2"/>
          </rPr>
          <t>Hour/Yr Plant Wide limits should be entered for each individual engine to which it applies.</t>
        </r>
      </text>
    </comment>
    <comment ref="I6" authorId="0" shapeId="0" xr:uid="{00000000-0006-0000-0C00-000004000000}">
      <text>
        <r>
          <rPr>
            <sz val="9"/>
            <color indexed="81"/>
            <rFont val="Tahoma"/>
            <family val="2"/>
          </rPr>
          <t>Plant wide gallon per year limits should be entered for each individual engine to which it applies.</t>
        </r>
      </text>
    </comment>
    <comment ref="J6" authorId="0" shapeId="0" xr:uid="{00000000-0006-0000-0C00-000005000000}">
      <text>
        <r>
          <rPr>
            <sz val="9"/>
            <color indexed="81"/>
            <rFont val="Tahoma"/>
            <family val="2"/>
          </rPr>
          <t xml:space="preserve">Please Note: IAC rule 23.3(3)"b" limits sulfur content in #1 and #2 fuel oil to 0.5%.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H44" authorId="0" shapeId="0" xr:uid="{00000000-0006-0000-0F00-000001000000}">
      <text>
        <r>
          <rPr>
            <b/>
            <sz val="9"/>
            <color indexed="81"/>
            <rFont val="Tahoma"/>
            <family val="2"/>
          </rPr>
          <t xml:space="preserve">Emission Factor is 1.01(S) </t>
        </r>
        <r>
          <rPr>
            <sz val="9"/>
            <color indexed="81"/>
            <rFont val="Tahoma"/>
            <family val="2"/>
          </rPr>
          <t xml:space="preserve">
Where S = the sulfur content of the fuel oil. </t>
        </r>
      </text>
    </comment>
  </commentList>
</comments>
</file>

<file path=xl/sharedStrings.xml><?xml version="1.0" encoding="utf-8"?>
<sst xmlns="http://schemas.openxmlformats.org/spreadsheetml/2006/main" count="2276" uniqueCount="323">
  <si>
    <t>Process</t>
  </si>
  <si>
    <t>Emission Point #</t>
  </si>
  <si>
    <t>Units</t>
  </si>
  <si>
    <t>SO2</t>
  </si>
  <si>
    <t>Nox</t>
  </si>
  <si>
    <t>VOC</t>
  </si>
  <si>
    <t>CO</t>
  </si>
  <si>
    <t>Ammonia</t>
  </si>
  <si>
    <t>Formaldehyde</t>
  </si>
  <si>
    <t>SCC #</t>
  </si>
  <si>
    <t>Max Design Rate</t>
  </si>
  <si>
    <t>EP</t>
  </si>
  <si>
    <t>Description of Process</t>
  </si>
  <si>
    <t>Emission Factor</t>
  </si>
  <si>
    <t>Control Efficiency</t>
  </si>
  <si>
    <t>PM2. 5</t>
  </si>
  <si>
    <t>PM10</t>
  </si>
  <si>
    <t>FACILITY-WIDE POTENTIAL EMISSIONS:</t>
  </si>
  <si>
    <t>Air Pollutant</t>
  </si>
  <si>
    <t>Tons/Yr</t>
  </si>
  <si>
    <t>PM-2.5</t>
  </si>
  <si>
    <t>PM-10</t>
  </si>
  <si>
    <t>NOx</t>
  </si>
  <si>
    <t>Total HAP</t>
  </si>
  <si>
    <t>FACILITY TOTALS:</t>
  </si>
  <si>
    <t>Combined Maximum Hourly Design Rate for all Like Processes (tons/hr)</t>
  </si>
  <si>
    <t>Units of Measure</t>
  </si>
  <si>
    <t>Unpaved Haul Road</t>
  </si>
  <si>
    <t>&lt;---------</t>
  </si>
  <si>
    <t>k=constant=1.5 for PM10 and 0.15 for PM2.5 (AP-42 Table 13.2.2-1)</t>
  </si>
  <si>
    <t>s= silt content (AP-42 Table 13.2.2-1)</t>
  </si>
  <si>
    <t>w= average vehicle weight</t>
  </si>
  <si>
    <t xml:space="preserve">Please fill in the yellow boxes as applicable for your facility. </t>
  </si>
  <si>
    <t>YES</t>
  </si>
  <si>
    <t>NO</t>
  </si>
  <si>
    <t>Limestone Crushing</t>
  </si>
  <si>
    <t>Screening</t>
  </si>
  <si>
    <t>Secondary Crusher</t>
  </si>
  <si>
    <t>Primary Crusher</t>
  </si>
  <si>
    <t>Tertiary Crusher</t>
  </si>
  <si>
    <t>Fines Crushing</t>
  </si>
  <si>
    <t>Fines Screening</t>
  </si>
  <si>
    <t>Wet Drilling: Unfragmented Stone</t>
  </si>
  <si>
    <t>Conveyor Transfer Points</t>
  </si>
  <si>
    <t>Storage Pile</t>
  </si>
  <si>
    <t>PM2.5 EF</t>
  </si>
  <si>
    <t>PM10 EF</t>
  </si>
  <si>
    <t>lb/ton</t>
  </si>
  <si>
    <t>Limestone Crushing with Wet Supression</t>
  </si>
  <si>
    <t>lbs/acre-day</t>
  </si>
  <si>
    <t>Crushing Emission Factors from AP-42 (Aug 2004) Table 11.19.2-2 &amp; Appendix B.2</t>
  </si>
  <si>
    <t>Diesel Generators</t>
  </si>
  <si>
    <t>lb/MMBtu</t>
  </si>
  <si>
    <t>IDNR Memo</t>
  </si>
  <si>
    <t>Source</t>
  </si>
  <si>
    <t>AP-42 Table 3.3-1</t>
  </si>
  <si>
    <t xml:space="preserve">Source </t>
  </si>
  <si>
    <t>AP-42 Table 3.3-2</t>
  </si>
  <si>
    <t>AP-42 Table 3.4-1</t>
  </si>
  <si>
    <t>AP-42 Table 3.4-3</t>
  </si>
  <si>
    <t>Benzene</t>
  </si>
  <si>
    <t>WebFIRE</t>
  </si>
  <si>
    <t>%</t>
  </si>
  <si>
    <t>Emission Unit #</t>
  </si>
  <si>
    <t>Haul Roads</t>
  </si>
  <si>
    <t>Emission Inventory - Initial</t>
  </si>
  <si>
    <t>Emission Inventory - Supplemental Information</t>
  </si>
  <si>
    <t>Less Than or Equal to 100</t>
  </si>
  <si>
    <t>Greater Than 100</t>
  </si>
  <si>
    <t>p = number of days per year with at least 0.01 inches of precipitation (see map - AP-42 3.2.2 Figure 1)</t>
  </si>
  <si>
    <t>&amp; footnote f</t>
  </si>
  <si>
    <t>Daily Throughput Limit (tons/day):</t>
  </si>
  <si>
    <r>
      <t xml:space="preserve">Diesel Generator </t>
    </r>
    <r>
      <rPr>
        <sz val="11"/>
        <color indexed="8"/>
        <rFont val="Calibri"/>
        <family val="2"/>
      </rPr>
      <t xml:space="preserve">≤ </t>
    </r>
    <r>
      <rPr>
        <sz val="11"/>
        <color theme="1"/>
        <rFont val="Calibri"/>
        <family val="2"/>
        <scheme val="minor"/>
      </rPr>
      <t>600 bhp</t>
    </r>
  </si>
  <si>
    <t>Diesel Generator&gt; 600 bhp</t>
  </si>
  <si>
    <t>Percent Sulfur:</t>
  </si>
  <si>
    <t>FACILITY WIDE EMISSIONS SUMMARY:</t>
  </si>
  <si>
    <t>EMISSION FACTORS</t>
  </si>
  <si>
    <t>Source of      Emission Factor</t>
  </si>
  <si>
    <t>Actual Sulfur Content of Fuel:</t>
  </si>
  <si>
    <t>Paved Haul Roads</t>
  </si>
  <si>
    <t>Emission Factor equation from AP-42, 13.2.2 (Nov 2006): EF = [(k) x [(s/12)^0.9] x [(W/3)^0.45] ]((365-p)/365)) lb/VMT</t>
  </si>
  <si>
    <t>Emission Factor equation from AP-42, 13.2.1 (Jan 2011): EF = [(k) x [(s^0.91] x [W^1.02]]x((1-(p/1460)) lb/VMT</t>
  </si>
  <si>
    <t>k=constant=0.0022 for PM10 and 0.00054 for PM2.5 (AP-42 Table 13.2.1-1)</t>
  </si>
  <si>
    <t>sL= road surface silt loading (AP-42 Table 13.2.1-3)</t>
  </si>
  <si>
    <t>Crushed &amp; Broken Limesone Mining &amp; Quarrying</t>
  </si>
  <si>
    <t>CRUSHER PLANT</t>
  </si>
  <si>
    <t>Stock Pile Area</t>
  </si>
  <si>
    <t>Maximum Storage Area (acres)</t>
  </si>
  <si>
    <t>Actual Storage Area (acres)</t>
  </si>
  <si>
    <t>Actual Days in Existence (days)</t>
  </si>
  <si>
    <t>PORTABLE LIMESTONE CRUSHING PLANT</t>
  </si>
  <si>
    <t>Site Name:</t>
  </si>
  <si>
    <t>County:</t>
  </si>
  <si>
    <t>Crushing Period (Dates):</t>
  </si>
  <si>
    <t>Submittal Type:</t>
  </si>
  <si>
    <t>Facility Number:</t>
  </si>
  <si>
    <t>Facility Name:</t>
  </si>
  <si>
    <t>Mailing Address:</t>
  </si>
  <si>
    <t>City:</t>
  </si>
  <si>
    <t>Facility Contact:</t>
  </si>
  <si>
    <t>Email Address</t>
  </si>
  <si>
    <t>Parent Company:</t>
  </si>
  <si>
    <t>Parent Company Address:</t>
  </si>
  <si>
    <t>Parent Company Contact:</t>
  </si>
  <si>
    <t>Phone Number:</t>
  </si>
  <si>
    <t>State:</t>
  </si>
  <si>
    <t>Zip Code:</t>
  </si>
  <si>
    <t>Emisison Year:</t>
  </si>
  <si>
    <t>Number of State-Wide Company Employees:</t>
  </si>
  <si>
    <t>SIC Code:</t>
  </si>
  <si>
    <t>NAICS Code:</t>
  </si>
  <si>
    <t>Activity Description:</t>
  </si>
  <si>
    <t>PM2.5</t>
  </si>
  <si>
    <t>&gt;600 bhp</t>
  </si>
  <si>
    <t>&lt;= 600 bhp</t>
  </si>
  <si>
    <t>HAUL ROADS</t>
  </si>
  <si>
    <t>PERMITTED DIESEL ENGINES</t>
  </si>
  <si>
    <t>Paved Haul Road</t>
  </si>
  <si>
    <t xml:space="preserve">Maximum </t>
  </si>
  <si>
    <t>Annual</t>
  </si>
  <si>
    <t>yes</t>
  </si>
  <si>
    <t>no</t>
  </si>
  <si>
    <t>Total actual PM2.5 emissions (tons/yr) from all unpaved haul roads used by the facility:</t>
  </si>
  <si>
    <t>Total actual PM2.5 emissions (tons/yr) from all paved haul roads used by the facility:</t>
  </si>
  <si>
    <t>Total actual PM10 emissions (tons/yr) from all unpaved haul roads used by the facility:</t>
  </si>
  <si>
    <t>Total actual PM10 emissions (tons/yr) from all paved haul roads used by the facility:</t>
  </si>
  <si>
    <t>Unpaved</t>
  </si>
  <si>
    <t>Paved</t>
  </si>
  <si>
    <t>lb/hr</t>
  </si>
  <si>
    <t>tons/yr</t>
  </si>
  <si>
    <t>Pollutant</t>
  </si>
  <si>
    <t>Processes</t>
  </si>
  <si>
    <t>no wet supress</t>
  </si>
  <si>
    <t>wet supress</t>
  </si>
  <si>
    <t>Number of Plants with Permits:</t>
  </si>
  <si>
    <r>
      <t xml:space="preserve">Values used for calculating emissions </t>
    </r>
    <r>
      <rPr>
        <b/>
        <sz val="10"/>
        <color indexed="60"/>
        <rFont val="Calibri"/>
        <family val="2"/>
      </rPr>
      <t>→</t>
    </r>
  </si>
  <si>
    <t>Site 1</t>
  </si>
  <si>
    <t>Throughput Limit (tons/yr):</t>
  </si>
  <si>
    <t>Hours of Operation Limit (hours/day):</t>
  </si>
  <si>
    <t>LIMESTONE CRUSHING PLANT (LP-1)</t>
  </si>
  <si>
    <t>Emission Factor (lb/ton)</t>
  </si>
  <si>
    <t>Plant Specific Operating Limits:</t>
  </si>
  <si>
    <t>Plant Specific Emission Limits:</t>
  </si>
  <si>
    <t>PM2.5/PM10</t>
  </si>
  <si>
    <t>Actual (acres-day/yr)</t>
  </si>
  <si>
    <t>Maximum (acres/day)</t>
  </si>
  <si>
    <t>LIMESTONE CRUSHING PLANT (LP-2)</t>
  </si>
  <si>
    <t>LIMESTONE CRUSHING PLANT (LP-3)</t>
  </si>
  <si>
    <t>LIMESTONE CRUSHING PLANT (LP-4)</t>
  </si>
  <si>
    <t>LIMESTONE CRUSHING PLANT (LP-5)</t>
  </si>
  <si>
    <t>LIMESTONE CRUSHING PLANT (LP-6)</t>
  </si>
  <si>
    <t>LIMESTONE CRUSHING PLANT (LP-7)</t>
  </si>
  <si>
    <t>LIMESTONE CRUSHING PLANT (LP-8)</t>
  </si>
  <si>
    <t>LIMESTONE CRUSHING PLANT (LP-9)</t>
  </si>
  <si>
    <t>LIMESTONE CRUSHING PLANT (LP-10)</t>
  </si>
  <si>
    <t xml:space="preserve">Plant Specific Permit Number: </t>
  </si>
  <si>
    <t>FACILITY-WIDE EMISSION CALCULATIONS</t>
  </si>
  <si>
    <t>LP-1</t>
  </si>
  <si>
    <t>Potential tpy</t>
  </si>
  <si>
    <t>Actual tpy</t>
  </si>
  <si>
    <t>LP-2</t>
  </si>
  <si>
    <t>LP-3</t>
  </si>
  <si>
    <t>LP-4</t>
  </si>
  <si>
    <t>LP-5</t>
  </si>
  <si>
    <t>LP-6</t>
  </si>
  <si>
    <t>LP-7</t>
  </si>
  <si>
    <t>LP-8</t>
  </si>
  <si>
    <t>LP-9</t>
  </si>
  <si>
    <t>LP-10</t>
  </si>
  <si>
    <t>Total potential PM2.5 emissions (tons/yr) from all unpaved haul roads used by the facility:</t>
  </si>
  <si>
    <t>Total potential PM2.5 emissions (tons/yr) from all paved haul roads used by the facility:</t>
  </si>
  <si>
    <t>Total potential PM10 emissions (tons/yr) from all unpaved haul roads used by the facility:</t>
  </si>
  <si>
    <t>Total potential PM10 emissions (tons/yr) from all paved haul roads used by the facility:</t>
  </si>
  <si>
    <t>PLANT SPECIFIC EMISSIONS SUMMARIES:</t>
  </si>
  <si>
    <t>Sulfur Content</t>
  </si>
  <si>
    <t>Emission     Unit #</t>
  </si>
  <si>
    <t>Stack Type</t>
  </si>
  <si>
    <t>Downward</t>
  </si>
  <si>
    <t>Horizontal</t>
  </si>
  <si>
    <t>Vertical w/o obstruction</t>
  </si>
  <si>
    <t>Vertical w/ obstruction</t>
  </si>
  <si>
    <t>Permit Limit</t>
  </si>
  <si>
    <t>Site Name</t>
  </si>
  <si>
    <t>Note: be sure to enable macros when prompted.</t>
  </si>
  <si>
    <t>≤ 600 BHP</t>
  </si>
  <si>
    <t>&gt; 600 BHP</t>
  </si>
  <si>
    <t>542-0245</t>
  </si>
  <si>
    <t>** As of 2016 Potential Emissions are no longer required to be reported in the Minor Source Emissions Inventory**</t>
  </si>
  <si>
    <t>**As of 2016 Potential Emission are no longer required to be reported in the Minor Source Emission Inventory**</t>
  </si>
  <si>
    <t>Values Used to Calculate Actual Emissions for the Listed Processes at this Plant</t>
  </si>
  <si>
    <t>Actual Emissions for the Listed Processes at this Plant</t>
  </si>
  <si>
    <t xml:space="preserve">Controlled with Dust Suppressant or </t>
  </si>
  <si>
    <t>Material Being Processed has</t>
  </si>
  <si>
    <t>Moisture Content &gt; 1.5%?</t>
  </si>
  <si>
    <t>Enter the Year for which you are calculating</t>
  </si>
  <si>
    <t xml:space="preserve">emissions, usually the previous calendar year. </t>
  </si>
  <si>
    <t>Please fill in the yellow boxes</t>
  </si>
  <si>
    <t xml:space="preserve">Note: if the plant has a hours/day and a tons/hr permit limit, those </t>
  </si>
  <si>
    <t xml:space="preserve">values should be multiplied together to calculate a tons/day limit </t>
  </si>
  <si>
    <t>and that value should be placed in cell C10.</t>
  </si>
  <si>
    <t>Paved or</t>
  </si>
  <si>
    <t>Haul Road</t>
  </si>
  <si>
    <t>Point</t>
  </si>
  <si>
    <t>Number</t>
  </si>
  <si>
    <t>Emission</t>
  </si>
  <si>
    <t>Unit</t>
  </si>
  <si>
    <t>Plant</t>
  </si>
  <si>
    <t>(i.e. LP-1)</t>
  </si>
  <si>
    <t>Limestone</t>
  </si>
  <si>
    <t xml:space="preserve">        Average Vehicle</t>
  </si>
  <si>
    <t xml:space="preserve">          Weight (tons)</t>
  </si>
  <si>
    <t>Miles Vehicles</t>
  </si>
  <si>
    <t>Travel While</t>
  </si>
  <si>
    <t>Empty (%)</t>
  </si>
  <si>
    <t>Percent of</t>
  </si>
  <si>
    <t>Vehicle</t>
  </si>
  <si>
    <t>Weight</t>
  </si>
  <si>
    <r>
      <t xml:space="preserve">(tons) </t>
    </r>
    <r>
      <rPr>
        <b/>
        <sz val="11"/>
        <color rgb="FFFF0000"/>
        <rFont val="Calibri"/>
        <family val="2"/>
        <scheme val="minor"/>
      </rPr>
      <t>W</t>
    </r>
  </si>
  <si>
    <t>Average</t>
  </si>
  <si>
    <t>Load</t>
  </si>
  <si>
    <t>(tons)</t>
  </si>
  <si>
    <t>Length of</t>
  </si>
  <si>
    <t>(miles)</t>
  </si>
  <si>
    <t>Round Trip</t>
  </si>
  <si>
    <t>Annual Throughput</t>
  </si>
  <si>
    <t xml:space="preserve">           Annual Throughput (tons/yr)</t>
  </si>
  <si>
    <t>One-Way</t>
  </si>
  <si>
    <t>Trips Taken</t>
  </si>
  <si>
    <t>Potential</t>
  </si>
  <si>
    <t>Trips</t>
  </si>
  <si>
    <t>Taken</t>
  </si>
  <si>
    <t>Actual</t>
  </si>
  <si>
    <t xml:space="preserve">Road </t>
  </si>
  <si>
    <t xml:space="preserve">Surface Silt </t>
  </si>
  <si>
    <t xml:space="preserve">Loading </t>
  </si>
  <si>
    <r>
      <t xml:space="preserve">(g/m2) </t>
    </r>
    <r>
      <rPr>
        <b/>
        <sz val="11"/>
        <color rgb="FFFF0000"/>
        <rFont val="Calibri"/>
        <family val="2"/>
        <scheme val="minor"/>
      </rPr>
      <t>S/sL</t>
    </r>
  </si>
  <si>
    <t xml:space="preserve">Days/Year </t>
  </si>
  <si>
    <t xml:space="preserve">with at least </t>
  </si>
  <si>
    <t xml:space="preserve">0.01 inches of </t>
  </si>
  <si>
    <r>
      <t xml:space="preserve">Precipitation </t>
    </r>
    <r>
      <rPr>
        <b/>
        <sz val="11"/>
        <color rgb="FFFF0000"/>
        <rFont val="Calibri"/>
        <family val="2"/>
        <scheme val="minor"/>
      </rPr>
      <t>P</t>
    </r>
  </si>
  <si>
    <t xml:space="preserve">Is dust </t>
  </si>
  <si>
    <t xml:space="preserve">supressant </t>
  </si>
  <si>
    <t xml:space="preserve">used to control </t>
  </si>
  <si>
    <t>emissions?</t>
  </si>
  <si>
    <t xml:space="preserve">PM2.5 </t>
  </si>
  <si>
    <t xml:space="preserve">Emission </t>
  </si>
  <si>
    <t>Factor</t>
  </si>
  <si>
    <t>(lb/vmt)</t>
  </si>
  <si>
    <t xml:space="preserve">Potential </t>
  </si>
  <si>
    <t>Emissions (lb/hr)</t>
  </si>
  <si>
    <t xml:space="preserve">Emissions </t>
  </si>
  <si>
    <t>(lb/hr)</t>
  </si>
  <si>
    <t xml:space="preserve">Controlled </t>
  </si>
  <si>
    <t>Emissions (tons/yr)</t>
  </si>
  <si>
    <t>(tons/yr)</t>
  </si>
  <si>
    <t xml:space="preserve">Actual </t>
  </si>
  <si>
    <t xml:space="preserve">PM10 </t>
  </si>
  <si>
    <t xml:space="preserve">Factor </t>
  </si>
  <si>
    <t>Emissions</t>
  </si>
  <si>
    <t>Controlled Emissions (lb/hr)</t>
  </si>
  <si>
    <t xml:space="preserve"> Plant #</t>
  </si>
  <si>
    <t>Point #</t>
  </si>
  <si>
    <t>Unit #</t>
  </si>
  <si>
    <r>
      <t xml:space="preserve">Diesel Generator </t>
    </r>
    <r>
      <rPr>
        <b/>
        <sz val="9"/>
        <color indexed="8"/>
        <rFont val="Calibri"/>
        <family val="2"/>
      </rPr>
      <t xml:space="preserve">≤ </t>
    </r>
    <r>
      <rPr>
        <b/>
        <sz val="9"/>
        <color theme="1"/>
        <rFont val="Calibri"/>
        <family val="2"/>
        <scheme val="minor"/>
      </rPr>
      <t>600 bhp</t>
    </r>
  </si>
  <si>
    <t>Emission Unit Description</t>
  </si>
  <si>
    <t>(&gt;600 bhp / ≤ 600 bhp)</t>
  </si>
  <si>
    <t xml:space="preserve">Permit </t>
  </si>
  <si>
    <t xml:space="preserve">Hours/Yr Plant </t>
  </si>
  <si>
    <t>Wide Limit</t>
  </si>
  <si>
    <t xml:space="preserve">Gal/Yr Plant </t>
  </si>
  <si>
    <t xml:space="preserve">Sulfur Content </t>
  </si>
  <si>
    <t>Limit (%)</t>
  </si>
  <si>
    <t xml:space="preserve">Stack </t>
  </si>
  <si>
    <t>Height (ft)</t>
  </si>
  <si>
    <t>Stack Diameter</t>
  </si>
  <si>
    <t>(inches)</t>
  </si>
  <si>
    <t xml:space="preserve">Exhaust Flowrate </t>
  </si>
  <si>
    <t>(acfm)</t>
  </si>
  <si>
    <t>Exhaust Temp</t>
  </si>
  <si>
    <t>(Degree F)</t>
  </si>
  <si>
    <t>Max Hourly</t>
  </si>
  <si>
    <t>Rate (gal/hr)</t>
  </si>
  <si>
    <t>Max Hourly Rate</t>
  </si>
  <si>
    <t>(MMBtu/hr)</t>
  </si>
  <si>
    <t>(gallons/yr)</t>
  </si>
  <si>
    <t xml:space="preserve"> (MMBtu/yr)</t>
  </si>
  <si>
    <t>(lb/MMBtu)</t>
  </si>
  <si>
    <t xml:space="preserve">Potential Hourly </t>
  </si>
  <si>
    <t>Uncontrolled Emissions(lb/hr)</t>
  </si>
  <si>
    <t xml:space="preserve">Potential Annual </t>
  </si>
  <si>
    <t>Potential Hourly</t>
  </si>
  <si>
    <t>Potential Annual</t>
  </si>
  <si>
    <t xml:space="preserve">            FACILITY-WIDE ACTUAL EMISSIONS:</t>
  </si>
  <si>
    <t xml:space="preserve">                               ACTUAL EMISSIONS:</t>
  </si>
  <si>
    <t xml:space="preserve">                            POTENTIAL EMISSIONS:</t>
  </si>
  <si>
    <t xml:space="preserve">Maximum Design </t>
  </si>
  <si>
    <t>Rate (tons/hr)</t>
  </si>
  <si>
    <t xml:space="preserve">Actual throughput w/o </t>
  </si>
  <si>
    <t>wet supression (tons/yr)</t>
  </si>
  <si>
    <t>Actual throughtput w/</t>
  </si>
  <si>
    <t xml:space="preserve">Actual Annual </t>
  </si>
  <si>
    <t xml:space="preserve"> (lb/acre-day)</t>
  </si>
  <si>
    <t>Potential Uncontrolled</t>
  </si>
  <si>
    <t xml:space="preserve">Potential Controlled </t>
  </si>
  <si>
    <t xml:space="preserve">Potential Uncontrolled </t>
  </si>
  <si>
    <t xml:space="preserve">          PM-2.5</t>
  </si>
  <si>
    <t xml:space="preserve">          PM-10</t>
  </si>
  <si>
    <t xml:space="preserve">       7446-09-5</t>
  </si>
  <si>
    <t xml:space="preserve">           NOx</t>
  </si>
  <si>
    <t xml:space="preserve">           VOC</t>
  </si>
  <si>
    <t xml:space="preserve">        630-08-0</t>
  </si>
  <si>
    <t xml:space="preserve">        50-00-0</t>
  </si>
  <si>
    <t xml:space="preserve">          71-43-2</t>
  </si>
  <si>
    <t xml:space="preserve">  ID or CAS Number</t>
  </si>
  <si>
    <t xml:space="preserve">               Total Combined for all Generators &gt; 600 BHP:</t>
  </si>
  <si>
    <t xml:space="preserve">               Total Combined for all Generators ≤ 600 BHP:</t>
  </si>
  <si>
    <t>Full</t>
  </si>
  <si>
    <t xml:space="preserve"> (loaded)</t>
  </si>
  <si>
    <t xml:space="preserve">Empty </t>
  </si>
  <si>
    <t>(unloaded)</t>
  </si>
  <si>
    <t xml:space="preserve">Combined Maximum Hourly Design </t>
  </si>
  <si>
    <t>Rate for all Like Processes (tons/hr)</t>
  </si>
  <si>
    <t>Last Updated 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</si>
</sst>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0"/>
    <numFmt numFmtId="168" formatCode="0.00000"/>
    <numFmt numFmtId="169" formatCode="#,##0.00000"/>
    <numFmt numFmtId="170" formatCode="#,##0.0000"/>
  </numFmts>
  <fonts count="40" x14ac:knownFonts="1">
    <font>
      <sz val="11"/>
      <color theme="1"/>
      <name val="Calibri"/>
      <family val="2"/>
      <scheme val="minor"/>
    </font>
    <font>
      <sz val="8"/>
      <name val="Arial"/>
      <family val="2"/>
    </font>
    <font>
      <sz val="10"/>
      <name val="Arial"/>
      <family val="2"/>
    </font>
    <font>
      <sz val="11"/>
      <color indexed="8"/>
      <name val="Calibri"/>
      <family val="2"/>
    </font>
    <font>
      <sz val="9"/>
      <color indexed="81"/>
      <name val="Tahoma"/>
      <family val="2"/>
    </font>
    <font>
      <b/>
      <sz val="9"/>
      <color indexed="81"/>
      <name val="Tahoma"/>
      <family val="2"/>
    </font>
    <font>
      <b/>
      <sz val="9"/>
      <name val="Arial"/>
      <family val="2"/>
    </font>
    <font>
      <sz val="9"/>
      <name val="Arial"/>
      <family val="2"/>
    </font>
    <font>
      <b/>
      <sz val="10"/>
      <color indexed="81"/>
      <name val="Calibri"/>
      <family val="2"/>
    </font>
    <font>
      <b/>
      <sz val="10"/>
      <color indexed="60"/>
      <name val="Calibri"/>
      <family val="2"/>
    </font>
    <font>
      <b/>
      <sz val="11"/>
      <color theme="1"/>
      <name val="Calibri"/>
      <family val="2"/>
      <scheme val="minor"/>
    </font>
    <font>
      <sz val="11"/>
      <color rgb="FF000000"/>
      <name val="Calibri"/>
      <family val="2"/>
      <scheme val="minor"/>
    </font>
    <font>
      <sz val="10"/>
      <color theme="1"/>
      <name val="Calibri"/>
      <family val="2"/>
      <scheme val="minor"/>
    </font>
    <font>
      <b/>
      <sz val="12"/>
      <color rgb="FFFF0000"/>
      <name val="Calibri"/>
      <family val="2"/>
      <scheme val="minor"/>
    </font>
    <font>
      <i/>
      <sz val="11"/>
      <color theme="1"/>
      <name val="Calibri"/>
      <family val="2"/>
      <scheme val="minor"/>
    </font>
    <font>
      <sz val="9"/>
      <name val="Calibri"/>
      <family val="2"/>
      <scheme val="minor"/>
    </font>
    <font>
      <b/>
      <sz val="11"/>
      <color rgb="FF000000"/>
      <name val="Calibri"/>
      <family val="2"/>
      <scheme val="minor"/>
    </font>
    <font>
      <b/>
      <sz val="14"/>
      <color theme="1"/>
      <name val="Calibri"/>
      <family val="2"/>
      <scheme val="minor"/>
    </font>
    <font>
      <i/>
      <sz val="8"/>
      <color rgb="FFFF0000"/>
      <name val="Arial"/>
      <family val="2"/>
    </font>
    <font>
      <sz val="8"/>
      <color theme="1"/>
      <name val="Arial"/>
      <family val="2"/>
    </font>
    <font>
      <sz val="9"/>
      <color theme="1"/>
      <name val="Calibri"/>
      <family val="2"/>
      <scheme val="minor"/>
    </font>
    <font>
      <sz val="10"/>
      <color theme="1"/>
      <name val="Arial"/>
      <family val="2"/>
    </font>
    <font>
      <b/>
      <sz val="10"/>
      <color theme="1"/>
      <name val="Arial"/>
      <family val="2"/>
    </font>
    <font>
      <b/>
      <sz val="14"/>
      <name val="Calibri"/>
      <family val="2"/>
      <scheme val="minor"/>
    </font>
    <font>
      <sz val="11"/>
      <color theme="1"/>
      <name val="Arial"/>
      <family val="2"/>
    </font>
    <font>
      <sz val="9"/>
      <color theme="1"/>
      <name val="Arial"/>
      <family val="2"/>
    </font>
    <font>
      <b/>
      <sz val="11"/>
      <color theme="1"/>
      <name val="Arial"/>
      <family val="2"/>
    </font>
    <font>
      <b/>
      <sz val="9"/>
      <color theme="1"/>
      <name val="Arial"/>
      <family val="2"/>
    </font>
    <font>
      <b/>
      <sz val="10"/>
      <color theme="5" tint="-0.249977111117893"/>
      <name val="Arial"/>
      <family val="2"/>
    </font>
    <font>
      <b/>
      <sz val="12"/>
      <color theme="1"/>
      <name val="Calibri"/>
      <family val="2"/>
      <scheme val="minor"/>
    </font>
    <font>
      <sz val="8"/>
      <color rgb="FFFF0000"/>
      <name val="Calibri"/>
      <family val="2"/>
      <scheme val="minor"/>
    </font>
    <font>
      <b/>
      <sz val="10"/>
      <color theme="1"/>
      <name val="Calibri"/>
      <family val="2"/>
      <scheme val="minor"/>
    </font>
    <font>
      <b/>
      <i/>
      <sz val="11"/>
      <color rgb="FF00B0F0"/>
      <name val="Calibri"/>
      <family val="2"/>
      <scheme val="minor"/>
    </font>
    <font>
      <sz val="11"/>
      <name val="Calibri"/>
      <family val="2"/>
      <scheme val="minor"/>
    </font>
    <font>
      <sz val="9"/>
      <color indexed="81"/>
      <name val="Arial"/>
      <family val="2"/>
    </font>
    <font>
      <i/>
      <sz val="10"/>
      <color rgb="FFFF0000"/>
      <name val="Arial"/>
      <family val="2"/>
    </font>
    <font>
      <sz val="10"/>
      <color rgb="FFFF0000"/>
      <name val="Arial"/>
      <family val="2"/>
    </font>
    <font>
      <b/>
      <sz val="11"/>
      <color rgb="FFFF0000"/>
      <name val="Calibri"/>
      <family val="2"/>
      <scheme val="minor"/>
    </font>
    <font>
      <b/>
      <sz val="9"/>
      <color theme="1"/>
      <name val="Calibri"/>
      <family val="2"/>
      <scheme val="minor"/>
    </font>
    <font>
      <b/>
      <sz val="9"/>
      <color indexed="8"/>
      <name val="Calibri"/>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77111117893"/>
        <bgColor indexed="64"/>
      </patternFill>
    </fill>
  </fills>
  <borders count="33">
    <border>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right style="thin">
        <color auto="1"/>
      </right>
      <top/>
      <bottom style="thin">
        <color auto="1"/>
      </bottom>
      <diagonal/>
    </border>
  </borders>
  <cellStyleXfs count="3">
    <xf numFmtId="0" fontId="0" fillId="0" borderId="0"/>
    <xf numFmtId="0" fontId="2" fillId="0" borderId="0"/>
    <xf numFmtId="9" fontId="2" fillId="0" borderId="0" applyFont="0" applyFill="0" applyBorder="0" applyAlignment="0" applyProtection="0"/>
  </cellStyleXfs>
  <cellXfs count="377">
    <xf numFmtId="0" fontId="0" fillId="0" borderId="0" xfId="0"/>
    <xf numFmtId="0" fontId="0" fillId="0" borderId="1" xfId="0" applyBorder="1"/>
    <xf numFmtId="0" fontId="0" fillId="0" borderId="3" xfId="0" applyBorder="1"/>
    <xf numFmtId="0" fontId="0" fillId="0" borderId="4" xfId="0" applyBorder="1"/>
    <xf numFmtId="0" fontId="0" fillId="0" borderId="6" xfId="0" applyBorder="1" applyAlignment="1">
      <alignment horizontal="center"/>
    </xf>
    <xf numFmtId="0" fontId="0" fillId="0" borderId="7" xfId="0" applyBorder="1" applyAlignment="1">
      <alignment horizontal="center"/>
    </xf>
    <xf numFmtId="0" fontId="0" fillId="0" borderId="0" xfId="0" applyProtection="1"/>
    <xf numFmtId="0" fontId="0" fillId="0" borderId="0" xfId="0" applyAlignment="1" applyProtection="1">
      <alignment horizontal="center"/>
    </xf>
    <xf numFmtId="0" fontId="0" fillId="0" borderId="8" xfId="0" applyBorder="1" applyAlignment="1" applyProtection="1">
      <alignment horizontal="center"/>
    </xf>
    <xf numFmtId="2" fontId="0" fillId="0" borderId="0" xfId="0" applyNumberFormat="1" applyAlignment="1" applyProtection="1">
      <alignment horizontal="center"/>
    </xf>
    <xf numFmtId="2" fontId="11" fillId="0" borderId="0" xfId="0" applyNumberFormat="1" applyFont="1" applyAlignment="1" applyProtection="1">
      <alignment horizontal="center"/>
    </xf>
    <xf numFmtId="2" fontId="12" fillId="0" borderId="0" xfId="0" applyNumberFormat="1" applyFont="1" applyAlignment="1" applyProtection="1">
      <alignment horizontal="left"/>
    </xf>
    <xf numFmtId="0" fontId="0" fillId="0" borderId="0" xfId="0" applyBorder="1" applyProtection="1"/>
    <xf numFmtId="0" fontId="0" fillId="0" borderId="0" xfId="0" applyBorder="1" applyAlignment="1" applyProtection="1">
      <alignment horizontal="center"/>
    </xf>
    <xf numFmtId="0" fontId="13" fillId="0" borderId="0" xfId="0" applyFont="1" applyBorder="1" applyProtection="1"/>
    <xf numFmtId="0" fontId="0" fillId="3" borderId="8" xfId="0" applyFill="1" applyBorder="1" applyAlignment="1" applyProtection="1">
      <alignment horizontal="center"/>
      <protection locked="0"/>
    </xf>
    <xf numFmtId="0" fontId="0" fillId="0" borderId="0" xfId="0" applyFill="1" applyBorder="1" applyProtection="1"/>
    <xf numFmtId="0" fontId="14" fillId="0" borderId="0" xfId="0" applyFont="1" applyAlignment="1">
      <alignment horizontal="center"/>
    </xf>
    <xf numFmtId="0" fontId="0" fillId="0" borderId="0" xfId="0"/>
    <xf numFmtId="0" fontId="10" fillId="0" borderId="0" xfId="0" applyFont="1"/>
    <xf numFmtId="0" fontId="11" fillId="0" borderId="0" xfId="0" applyFont="1"/>
    <xf numFmtId="165" fontId="0" fillId="0" borderId="0" xfId="0" applyNumberFormat="1"/>
    <xf numFmtId="0" fontId="15" fillId="0" borderId="0" xfId="1" applyFont="1" applyAlignment="1" applyProtection="1">
      <alignment horizontal="left"/>
    </xf>
    <xf numFmtId="0" fontId="10" fillId="0" borderId="0" xfId="0" applyFont="1" applyAlignment="1">
      <alignment horizontal="left"/>
    </xf>
    <xf numFmtId="0" fontId="16" fillId="0" borderId="0" xfId="0" applyFont="1"/>
    <xf numFmtId="0" fontId="17" fillId="0" borderId="0" xfId="0" applyFont="1" applyProtection="1"/>
    <xf numFmtId="2" fontId="0" fillId="0" borderId="8" xfId="0" applyNumberFormat="1" applyBorder="1" applyAlignment="1" applyProtection="1">
      <alignment horizontal="center"/>
    </xf>
    <xf numFmtId="0" fontId="0" fillId="0" borderId="0" xfId="0" applyAlignment="1">
      <alignment horizontal="right"/>
    </xf>
    <xf numFmtId="0" fontId="2" fillId="0" borderId="0" xfId="1" applyProtection="1"/>
    <xf numFmtId="0" fontId="1" fillId="0" borderId="0" xfId="1" applyFont="1" applyProtection="1"/>
    <xf numFmtId="0" fontId="2" fillId="2" borderId="8" xfId="1" applyFill="1" applyBorder="1" applyAlignment="1" applyProtection="1">
      <alignment horizontal="center"/>
      <protection locked="0"/>
    </xf>
    <xf numFmtId="0" fontId="0" fillId="0" borderId="8" xfId="0" applyFill="1" applyBorder="1" applyAlignment="1" applyProtection="1">
      <alignment horizontal="center"/>
    </xf>
    <xf numFmtId="0" fontId="11" fillId="0" borderId="0" xfId="0" applyFont="1" applyBorder="1" applyAlignment="1" applyProtection="1">
      <alignment horizontal="center"/>
    </xf>
    <xf numFmtId="2" fontId="0" fillId="0" borderId="8" xfId="0" applyNumberFormat="1" applyFill="1" applyBorder="1" applyAlignment="1" applyProtection="1">
      <alignment horizontal="center"/>
    </xf>
    <xf numFmtId="0" fontId="0" fillId="0" borderId="3" xfId="0" applyFill="1" applyBorder="1"/>
    <xf numFmtId="0" fontId="17" fillId="0" borderId="0" xfId="0" applyFont="1"/>
    <xf numFmtId="0" fontId="18" fillId="0" borderId="0" xfId="0" applyFont="1" applyProtection="1"/>
    <xf numFmtId="0" fontId="19" fillId="0" borderId="0" xfId="0" applyFont="1" applyProtection="1"/>
    <xf numFmtId="4" fontId="0" fillId="0" borderId="0" xfId="0" applyNumberFormat="1" applyFill="1" applyBorder="1" applyProtection="1"/>
    <xf numFmtId="0" fontId="10" fillId="0" borderId="0" xfId="0" applyFont="1" applyFill="1" applyBorder="1" applyAlignment="1" applyProtection="1"/>
    <xf numFmtId="0" fontId="19" fillId="0" borderId="10" xfId="0" applyFont="1" applyBorder="1" applyAlignment="1" applyProtection="1">
      <alignment wrapText="1"/>
    </xf>
    <xf numFmtId="0" fontId="19" fillId="0" borderId="0" xfId="0" applyFont="1" applyFill="1" applyProtection="1"/>
    <xf numFmtId="2" fontId="0" fillId="0" borderId="0" xfId="0" applyNumberFormat="1" applyBorder="1" applyAlignment="1" applyProtection="1">
      <alignment horizontal="center"/>
    </xf>
    <xf numFmtId="0" fontId="12" fillId="0" borderId="0" xfId="0" applyFont="1" applyAlignment="1" applyProtection="1">
      <alignment horizontal="center"/>
    </xf>
    <xf numFmtId="0" fontId="20" fillId="3" borderId="8" xfId="0" applyFont="1" applyFill="1" applyBorder="1" applyAlignment="1" applyProtection="1">
      <alignment horizontal="center"/>
      <protection locked="0"/>
    </xf>
    <xf numFmtId="0" fontId="20" fillId="3" borderId="8" xfId="0" applyFont="1" applyFill="1" applyBorder="1" applyProtection="1">
      <protection locked="0"/>
    </xf>
    <xf numFmtId="4" fontId="20" fillId="3" borderId="8" xfId="0" applyNumberFormat="1" applyFont="1" applyFill="1" applyBorder="1" applyAlignment="1" applyProtection="1">
      <alignment horizontal="center"/>
      <protection locked="0"/>
    </xf>
    <xf numFmtId="0" fontId="7" fillId="0" borderId="8" xfId="1" applyFont="1" applyBorder="1" applyAlignment="1" applyProtection="1">
      <alignment horizontal="right"/>
    </xf>
    <xf numFmtId="4" fontId="20" fillId="0" borderId="8" xfId="0" applyNumberFormat="1" applyFont="1" applyBorder="1" applyAlignment="1" applyProtection="1">
      <alignment horizontal="center"/>
    </xf>
    <xf numFmtId="4" fontId="20" fillId="0" borderId="8" xfId="0" applyNumberFormat="1" applyFont="1" applyFill="1" applyBorder="1" applyAlignment="1" applyProtection="1">
      <alignment horizontal="center"/>
    </xf>
    <xf numFmtId="0" fontId="7" fillId="0" borderId="8" xfId="1" applyFont="1" applyBorder="1" applyAlignment="1" applyProtection="1">
      <alignment horizontal="center"/>
    </xf>
    <xf numFmtId="0" fontId="21" fillId="0" borderId="11" xfId="0" applyFont="1" applyBorder="1" applyAlignment="1" applyProtection="1"/>
    <xf numFmtId="0" fontId="21" fillId="3" borderId="12" xfId="0" applyFont="1" applyFill="1" applyBorder="1" applyProtection="1">
      <protection locked="0"/>
    </xf>
    <xf numFmtId="0" fontId="21" fillId="0" borderId="8" xfId="0" applyFont="1" applyBorder="1" applyAlignment="1" applyProtection="1">
      <alignment horizontal="center"/>
    </xf>
    <xf numFmtId="0" fontId="2" fillId="0" borderId="8" xfId="0" applyFont="1" applyBorder="1" applyAlignment="1" applyProtection="1">
      <alignment horizontal="center"/>
    </xf>
    <xf numFmtId="0" fontId="21" fillId="0" borderId="0" xfId="0" applyFont="1" applyProtection="1"/>
    <xf numFmtId="0" fontId="21" fillId="0" borderId="0" xfId="0" applyFont="1" applyAlignment="1" applyProtection="1">
      <alignment horizontal="left"/>
    </xf>
    <xf numFmtId="0" fontId="2" fillId="0" borderId="8" xfId="0" applyFont="1" applyBorder="1" applyProtection="1"/>
    <xf numFmtId="0" fontId="2" fillId="0" borderId="0" xfId="0" applyFont="1" applyBorder="1" applyProtection="1"/>
    <xf numFmtId="0" fontId="21" fillId="0" borderId="0" xfId="0" applyFont="1" applyFill="1" applyBorder="1" applyProtection="1"/>
    <xf numFmtId="0" fontId="21" fillId="0" borderId="0" xfId="0" applyFont="1" applyBorder="1" applyAlignment="1" applyProtection="1"/>
    <xf numFmtId="0" fontId="22" fillId="0" borderId="0" xfId="0" applyFont="1" applyProtection="1"/>
    <xf numFmtId="0" fontId="2" fillId="0" borderId="0" xfId="0" applyFont="1" applyBorder="1" applyAlignment="1" applyProtection="1">
      <alignment horizontal="left"/>
    </xf>
    <xf numFmtId="4" fontId="0" fillId="0" borderId="0" xfId="0" applyNumberFormat="1" applyProtection="1"/>
    <xf numFmtId="0" fontId="0" fillId="0" borderId="0" xfId="0" applyAlignment="1">
      <alignment horizontal="center"/>
    </xf>
    <xf numFmtId="0" fontId="0" fillId="3" borderId="8" xfId="0" applyFill="1" applyBorder="1" applyAlignment="1" applyProtection="1">
      <alignment wrapText="1"/>
      <protection locked="0"/>
    </xf>
    <xf numFmtId="0" fontId="22" fillId="0" borderId="0" xfId="0" applyFont="1" applyFill="1" applyBorder="1" applyProtection="1"/>
    <xf numFmtId="2" fontId="22" fillId="0" borderId="8" xfId="0" applyNumberFormat="1" applyFont="1" applyFill="1" applyBorder="1" applyAlignment="1" applyProtection="1">
      <alignment horizontal="center"/>
    </xf>
    <xf numFmtId="4" fontId="21" fillId="0" borderId="8" xfId="0" applyNumberFormat="1" applyFont="1" applyFill="1" applyBorder="1" applyAlignment="1" applyProtection="1">
      <alignment horizontal="center"/>
    </xf>
    <xf numFmtId="2" fontId="21" fillId="0" borderId="8" xfId="0" applyNumberFormat="1" applyFont="1" applyFill="1" applyBorder="1" applyAlignment="1" applyProtection="1">
      <alignment horizontal="center"/>
    </xf>
    <xf numFmtId="0" fontId="22" fillId="0" borderId="8" xfId="0" applyFont="1" applyFill="1" applyBorder="1" applyAlignment="1" applyProtection="1">
      <alignment horizontal="center"/>
    </xf>
    <xf numFmtId="0" fontId="7" fillId="3" borderId="8" xfId="0" applyFont="1" applyFill="1" applyBorder="1" applyAlignment="1" applyProtection="1">
      <alignment horizontal="center"/>
      <protection locked="0"/>
    </xf>
    <xf numFmtId="0" fontId="24" fillId="3" borderId="15" xfId="0" applyFont="1" applyFill="1" applyBorder="1" applyAlignment="1" applyProtection="1">
      <protection locked="0"/>
    </xf>
    <xf numFmtId="0" fontId="25" fillId="3" borderId="8" xfId="0" applyFont="1" applyFill="1" applyBorder="1" applyAlignment="1" applyProtection="1">
      <alignment horizontal="center"/>
      <protection locked="0"/>
    </xf>
    <xf numFmtId="0" fontId="24" fillId="3" borderId="8" xfId="0" applyFont="1" applyFill="1" applyBorder="1" applyAlignment="1" applyProtection="1">
      <alignment horizontal="center"/>
      <protection locked="0"/>
    </xf>
    <xf numFmtId="0" fontId="21" fillId="3" borderId="16" xfId="0" applyFont="1" applyFill="1" applyBorder="1" applyAlignment="1" applyProtection="1">
      <alignment horizontal="center"/>
      <protection locked="0"/>
    </xf>
    <xf numFmtId="0" fontId="25" fillId="3" borderId="17"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21" fillId="3" borderId="11" xfId="0" applyFont="1" applyFill="1" applyBorder="1" applyAlignment="1" applyProtection="1">
      <alignment horizontal="center"/>
      <protection locked="0"/>
    </xf>
    <xf numFmtId="0" fontId="22" fillId="0" borderId="8" xfId="0" applyFont="1" applyBorder="1" applyProtection="1"/>
    <xf numFmtId="0" fontId="24" fillId="0" borderId="0" xfId="0" applyFont="1" applyProtection="1"/>
    <xf numFmtId="0" fontId="25" fillId="0" borderId="0" xfId="0" applyFont="1" applyProtection="1"/>
    <xf numFmtId="0" fontId="26" fillId="0" borderId="8" xfId="0" applyFont="1" applyBorder="1" applyAlignment="1" applyProtection="1">
      <alignment wrapText="1"/>
    </xf>
    <xf numFmtId="0" fontId="24" fillId="0" borderId="8" xfId="0" applyFont="1" applyFill="1" applyBorder="1" applyProtection="1"/>
    <xf numFmtId="0" fontId="24" fillId="0" borderId="0" xfId="0" applyFont="1" applyFill="1" applyBorder="1" applyProtection="1"/>
    <xf numFmtId="0" fontId="21" fillId="0" borderId="8" xfId="0" applyFont="1" applyBorder="1" applyAlignment="1" applyProtection="1">
      <alignment horizontal="right" wrapText="1"/>
    </xf>
    <xf numFmtId="0" fontId="21" fillId="0" borderId="15" xfId="0" applyFont="1" applyBorder="1" applyAlignment="1" applyProtection="1">
      <alignment horizontal="right" wrapText="1"/>
    </xf>
    <xf numFmtId="0" fontId="21" fillId="0" borderId="0" xfId="0" applyFont="1" applyAlignment="1" applyProtection="1">
      <alignment horizontal="right"/>
    </xf>
    <xf numFmtId="0" fontId="22" fillId="0" borderId="0" xfId="0" applyFont="1" applyBorder="1" applyAlignment="1" applyProtection="1"/>
    <xf numFmtId="0" fontId="22" fillId="0" borderId="18" xfId="0" applyFont="1" applyBorder="1" applyAlignment="1" applyProtection="1"/>
    <xf numFmtId="0" fontId="24" fillId="0" borderId="0" xfId="0" applyFont="1" applyBorder="1" applyProtection="1"/>
    <xf numFmtId="0" fontId="21" fillId="0" borderId="8" xfId="0" applyFont="1" applyBorder="1" applyAlignment="1" applyProtection="1"/>
    <xf numFmtId="0" fontId="26" fillId="0" borderId="0" xfId="0" applyFont="1" applyBorder="1" applyAlignment="1" applyProtection="1">
      <alignment wrapText="1"/>
    </xf>
    <xf numFmtId="0" fontId="21" fillId="0" borderId="13" xfId="0" applyFont="1" applyBorder="1" applyAlignment="1" applyProtection="1">
      <alignment horizontal="right" wrapText="1"/>
    </xf>
    <xf numFmtId="0" fontId="21" fillId="0" borderId="0" xfId="0" applyFont="1" applyBorder="1" applyAlignment="1" applyProtection="1">
      <alignment horizontal="right" wrapText="1"/>
    </xf>
    <xf numFmtId="0" fontId="21" fillId="0" borderId="14" xfId="0" applyFont="1" applyBorder="1" applyAlignment="1" applyProtection="1">
      <alignment horizontal="center"/>
    </xf>
    <xf numFmtId="0" fontId="21" fillId="0" borderId="0" xfId="0" applyFont="1" applyBorder="1" applyAlignment="1" applyProtection="1">
      <alignment horizontal="center"/>
    </xf>
    <xf numFmtId="0" fontId="25" fillId="0" borderId="0" xfId="0" applyFont="1" applyBorder="1" applyProtection="1"/>
    <xf numFmtId="0" fontId="25" fillId="3" borderId="8" xfId="0" applyFont="1" applyFill="1" applyBorder="1" applyAlignment="1" applyProtection="1">
      <alignment horizontal="left"/>
      <protection locked="0"/>
    </xf>
    <xf numFmtId="0" fontId="2" fillId="0" borderId="11" xfId="0" applyFont="1" applyBorder="1" applyAlignment="1" applyProtection="1"/>
    <xf numFmtId="0" fontId="21" fillId="3" borderId="8" xfId="0" applyFont="1" applyFill="1" applyBorder="1" applyAlignment="1" applyProtection="1">
      <alignment horizontal="center"/>
    </xf>
    <xf numFmtId="0" fontId="2" fillId="0" borderId="0" xfId="0" applyFont="1" applyFill="1" applyBorder="1" applyAlignment="1" applyProtection="1">
      <alignment horizontal="center"/>
    </xf>
    <xf numFmtId="0" fontId="21" fillId="0" borderId="8" xfId="0" applyFont="1" applyFill="1" applyBorder="1" applyAlignment="1" applyProtection="1"/>
    <xf numFmtId="4" fontId="21" fillId="0" borderId="0" xfId="0" applyNumberFormat="1" applyFont="1" applyFill="1" applyBorder="1" applyAlignment="1" applyProtection="1">
      <alignment horizontal="center"/>
    </xf>
    <xf numFmtId="0" fontId="0" fillId="0" borderId="19" xfId="0" applyFill="1" applyBorder="1" applyProtection="1"/>
    <xf numFmtId="4" fontId="21" fillId="0" borderId="19" xfId="0" applyNumberFormat="1" applyFont="1" applyFill="1" applyBorder="1" applyAlignment="1" applyProtection="1">
      <alignment horizontal="center"/>
    </xf>
    <xf numFmtId="0" fontId="24" fillId="0" borderId="19" xfId="0" applyFont="1" applyBorder="1" applyProtection="1"/>
    <xf numFmtId="0" fontId="25" fillId="0" borderId="0" xfId="0" applyFont="1" applyAlignment="1" applyProtection="1">
      <alignment horizontal="left"/>
    </xf>
    <xf numFmtId="0" fontId="27" fillId="0" borderId="0" xfId="0" applyFont="1" applyProtection="1"/>
    <xf numFmtId="0" fontId="25" fillId="0" borderId="8" xfId="0" applyFont="1" applyBorder="1" applyProtection="1"/>
    <xf numFmtId="0" fontId="25" fillId="0" borderId="8" xfId="0" applyFont="1" applyBorder="1" applyAlignment="1" applyProtection="1">
      <alignment horizontal="center"/>
    </xf>
    <xf numFmtId="0" fontId="27" fillId="0" borderId="8" xfId="0" applyFont="1" applyBorder="1" applyProtection="1"/>
    <xf numFmtId="0" fontId="7" fillId="0" borderId="0" xfId="1" applyFont="1" applyBorder="1" applyAlignment="1" applyProtection="1">
      <alignment horizontal="center"/>
    </xf>
    <xf numFmtId="0" fontId="0" fillId="0" borderId="8" xfId="0" applyFill="1" applyBorder="1" applyAlignment="1" applyProtection="1">
      <alignment horizontal="left"/>
    </xf>
    <xf numFmtId="0" fontId="0" fillId="0" borderId="8" xfId="0" applyFill="1" applyBorder="1" applyProtection="1"/>
    <xf numFmtId="167" fontId="0" fillId="0" borderId="8" xfId="0" applyNumberFormat="1" applyFill="1" applyBorder="1" applyAlignment="1" applyProtection="1">
      <alignment horizontal="center"/>
    </xf>
    <xf numFmtId="164" fontId="0" fillId="0" borderId="8" xfId="0" applyNumberFormat="1" applyFill="1" applyBorder="1" applyAlignment="1" applyProtection="1">
      <alignment horizontal="center"/>
    </xf>
    <xf numFmtId="0" fontId="12" fillId="0" borderId="8" xfId="0" applyFont="1" applyFill="1" applyBorder="1" applyAlignment="1" applyProtection="1">
      <alignment horizontal="center"/>
    </xf>
    <xf numFmtId="0" fontId="0" fillId="0" borderId="0" xfId="0" applyFill="1"/>
    <xf numFmtId="2" fontId="0" fillId="0" borderId="2" xfId="0" applyNumberFormat="1" applyBorder="1" applyAlignment="1">
      <alignment horizontal="center"/>
    </xf>
    <xf numFmtId="2" fontId="0" fillId="0" borderId="9" xfId="0" applyNumberFormat="1" applyBorder="1" applyAlignment="1">
      <alignment horizontal="center"/>
    </xf>
    <xf numFmtId="2" fontId="0" fillId="0" borderId="5" xfId="0" applyNumberFormat="1" applyBorder="1" applyAlignment="1">
      <alignment horizontal="center"/>
    </xf>
    <xf numFmtId="0" fontId="29" fillId="0" borderId="0" xfId="0" applyFont="1"/>
    <xf numFmtId="0" fontId="30" fillId="0" borderId="0" xfId="0" applyFont="1"/>
    <xf numFmtId="0" fontId="21" fillId="0" borderId="16" xfId="0" applyFont="1" applyBorder="1" applyAlignment="1" applyProtection="1">
      <alignment horizontal="center"/>
    </xf>
    <xf numFmtId="0" fontId="21" fillId="0" borderId="0" xfId="0" applyFont="1" applyFill="1" applyBorder="1" applyAlignment="1" applyProtection="1">
      <alignment horizontal="center"/>
    </xf>
    <xf numFmtId="0" fontId="21" fillId="3" borderId="8" xfId="0" applyFont="1" applyFill="1" applyBorder="1" applyAlignment="1" applyProtection="1">
      <alignment horizontal="center"/>
      <protection locked="0"/>
    </xf>
    <xf numFmtId="0" fontId="27" fillId="0" borderId="0" xfId="0" applyFont="1" applyAlignment="1" applyProtection="1">
      <alignment horizontal="center"/>
    </xf>
    <xf numFmtId="0" fontId="23" fillId="0" borderId="0" xfId="0" applyFont="1" applyBorder="1" applyAlignment="1" applyProtection="1">
      <alignment horizontal="left"/>
    </xf>
    <xf numFmtId="0" fontId="0" fillId="0" borderId="0" xfId="0" applyAlignment="1">
      <alignment horizontal="center"/>
    </xf>
    <xf numFmtId="4" fontId="21" fillId="3" borderId="8" xfId="0" applyNumberFormat="1" applyFont="1" applyFill="1" applyBorder="1" applyAlignment="1" applyProtection="1">
      <alignment horizontal="center"/>
      <protection locked="0"/>
    </xf>
    <xf numFmtId="2" fontId="25" fillId="0" borderId="8" xfId="0" applyNumberFormat="1" applyFont="1" applyBorder="1" applyAlignment="1" applyProtection="1">
      <alignment horizontal="center"/>
    </xf>
    <xf numFmtId="2" fontId="25" fillId="0" borderId="13" xfId="0" applyNumberFormat="1" applyFont="1" applyBorder="1" applyAlignment="1" applyProtection="1">
      <alignment horizontal="center"/>
    </xf>
    <xf numFmtId="2" fontId="25" fillId="0" borderId="0" xfId="0" applyNumberFormat="1" applyFont="1" applyAlignment="1" applyProtection="1">
      <alignment horizontal="center"/>
    </xf>
    <xf numFmtId="2" fontId="25" fillId="0" borderId="0" xfId="0" applyNumberFormat="1" applyFont="1" applyBorder="1" applyAlignment="1" applyProtection="1">
      <alignment horizontal="center"/>
    </xf>
    <xf numFmtId="2" fontId="25" fillId="0" borderId="15" xfId="0" applyNumberFormat="1" applyFont="1" applyBorder="1" applyAlignment="1" applyProtection="1">
      <alignment horizontal="center"/>
    </xf>
    <xf numFmtId="4" fontId="25" fillId="0" borderId="8" xfId="0" applyNumberFormat="1" applyFont="1" applyBorder="1" applyAlignment="1" applyProtection="1">
      <alignment horizontal="center"/>
    </xf>
    <xf numFmtId="4" fontId="25" fillId="0" borderId="13" xfId="0" applyNumberFormat="1" applyFont="1" applyBorder="1" applyAlignment="1" applyProtection="1">
      <alignment horizontal="center"/>
    </xf>
    <xf numFmtId="4" fontId="25" fillId="0" borderId="0" xfId="0" applyNumberFormat="1" applyFont="1" applyAlignment="1" applyProtection="1">
      <alignment horizontal="center"/>
    </xf>
    <xf numFmtId="4" fontId="25" fillId="0" borderId="0" xfId="0" applyNumberFormat="1" applyFont="1" applyBorder="1" applyAlignment="1" applyProtection="1">
      <alignment horizontal="center"/>
    </xf>
    <xf numFmtId="4" fontId="25" fillId="0" borderId="15" xfId="0" applyNumberFormat="1" applyFont="1" applyBorder="1" applyAlignment="1" applyProtection="1">
      <alignment horizontal="center"/>
    </xf>
    <xf numFmtId="168" fontId="25" fillId="0" borderId="8" xfId="0" applyNumberFormat="1" applyFont="1" applyBorder="1" applyAlignment="1" applyProtection="1">
      <alignment horizontal="center"/>
    </xf>
    <xf numFmtId="168" fontId="25" fillId="0" borderId="0" xfId="0" applyNumberFormat="1" applyFont="1" applyAlignment="1" applyProtection="1">
      <alignment horizontal="center"/>
    </xf>
    <xf numFmtId="164" fontId="25" fillId="0" borderId="8" xfId="0" applyNumberFormat="1" applyFont="1" applyBorder="1" applyAlignment="1" applyProtection="1">
      <alignment horizontal="center"/>
    </xf>
    <xf numFmtId="164" fontId="25" fillId="0" borderId="0" xfId="0" applyNumberFormat="1" applyFont="1" applyAlignment="1" applyProtection="1">
      <alignment horizontal="center"/>
    </xf>
    <xf numFmtId="169" fontId="25" fillId="0" borderId="8" xfId="0" applyNumberFormat="1" applyFont="1" applyBorder="1" applyAlignment="1" applyProtection="1">
      <alignment horizontal="center"/>
    </xf>
    <xf numFmtId="169" fontId="25" fillId="0" borderId="0" xfId="0" applyNumberFormat="1" applyFont="1" applyAlignment="1" applyProtection="1">
      <alignment horizontal="center"/>
    </xf>
    <xf numFmtId="170" fontId="20" fillId="3" borderId="8"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11" fillId="0" borderId="8" xfId="0" applyFont="1" applyFill="1" applyBorder="1" applyAlignment="1" applyProtection="1">
      <alignment horizontal="center"/>
    </xf>
    <xf numFmtId="2" fontId="11" fillId="0" borderId="8" xfId="0" applyNumberFormat="1" applyFont="1" applyFill="1" applyBorder="1" applyAlignment="1" applyProtection="1">
      <alignment horizontal="center"/>
    </xf>
    <xf numFmtId="2" fontId="0" fillId="0" borderId="0" xfId="0" applyNumberFormat="1" applyFill="1" applyBorder="1" applyAlignment="1" applyProtection="1">
      <alignment horizontal="center"/>
    </xf>
    <xf numFmtId="2" fontId="0" fillId="0" borderId="0" xfId="0" applyNumberFormat="1" applyFill="1" applyAlignment="1" applyProtection="1">
      <alignment horizontal="center"/>
    </xf>
    <xf numFmtId="0" fontId="10" fillId="0" borderId="8" xfId="0" applyFont="1" applyBorder="1" applyProtection="1"/>
    <xf numFmtId="4" fontId="0" fillId="0" borderId="8" xfId="0" applyNumberFormat="1" applyFill="1" applyBorder="1" applyAlignment="1" applyProtection="1">
      <alignment horizontal="center"/>
    </xf>
    <xf numFmtId="166" fontId="0" fillId="0" borderId="0" xfId="0" applyNumberFormat="1" applyAlignment="1" applyProtection="1">
      <alignment horizontal="center"/>
    </xf>
    <xf numFmtId="2" fontId="0" fillId="0" borderId="0" xfId="0" applyNumberFormat="1" applyProtection="1"/>
    <xf numFmtId="2" fontId="0" fillId="0" borderId="12" xfId="0" applyNumberFormat="1" applyFill="1" applyBorder="1" applyAlignment="1" applyProtection="1">
      <alignment horizontal="center"/>
    </xf>
    <xf numFmtId="0" fontId="21" fillId="0" borderId="19" xfId="0" applyFont="1" applyFill="1" applyBorder="1" applyProtection="1"/>
    <xf numFmtId="0" fontId="24" fillId="3" borderId="15" xfId="0" applyFont="1" applyFill="1" applyBorder="1" applyAlignment="1" applyProtection="1">
      <alignment horizontal="center"/>
    </xf>
    <xf numFmtId="0" fontId="21" fillId="3" borderId="11" xfId="0" applyFont="1" applyFill="1" applyBorder="1" applyAlignment="1" applyProtection="1">
      <alignment horizontal="center"/>
    </xf>
    <xf numFmtId="0" fontId="24" fillId="0" borderId="0" xfId="0" applyFont="1" applyProtection="1">
      <protection locked="0"/>
    </xf>
    <xf numFmtId="0" fontId="21" fillId="0" borderId="14" xfId="0" applyFont="1" applyBorder="1" applyAlignment="1" applyProtection="1">
      <alignment horizontal="center"/>
      <protection locked="0"/>
    </xf>
    <xf numFmtId="0" fontId="21" fillId="0" borderId="0" xfId="0" applyFont="1" applyFill="1" applyBorder="1" applyAlignment="1" applyProtection="1">
      <alignment horizontal="center"/>
    </xf>
    <xf numFmtId="0" fontId="21" fillId="0" borderId="0" xfId="0" applyFont="1" applyFill="1" applyBorder="1" applyAlignment="1" applyProtection="1">
      <alignment horizontal="center"/>
      <protection locked="0"/>
    </xf>
    <xf numFmtId="0" fontId="25" fillId="0" borderId="8" xfId="0" applyFont="1" applyFill="1" applyBorder="1" applyAlignment="1" applyProtection="1">
      <alignment horizontal="center"/>
    </xf>
    <xf numFmtId="0" fontId="25" fillId="0" borderId="0" xfId="0" applyFont="1" applyFill="1" applyBorder="1" applyAlignment="1" applyProtection="1">
      <alignment horizontal="center"/>
    </xf>
    <xf numFmtId="0" fontId="7" fillId="3" borderId="17" xfId="0" applyFont="1" applyFill="1" applyBorder="1" applyAlignment="1" applyProtection="1">
      <alignment horizontal="center"/>
      <protection locked="0"/>
    </xf>
    <xf numFmtId="0" fontId="0" fillId="0" borderId="0" xfId="0" applyFill="1" applyBorder="1" applyAlignment="1" applyProtection="1"/>
    <xf numFmtId="0" fontId="0" fillId="0" borderId="0" xfId="0" applyBorder="1" applyAlignment="1" applyProtection="1"/>
    <xf numFmtId="4" fontId="20" fillId="0" borderId="0" xfId="0" applyNumberFormat="1" applyFont="1" applyProtection="1"/>
    <xf numFmtId="4" fontId="0" fillId="0" borderId="8" xfId="0" applyNumberFormat="1" applyBorder="1" applyProtection="1"/>
    <xf numFmtId="4" fontId="0" fillId="0" borderId="8" xfId="0" applyNumberFormat="1" applyBorder="1" applyAlignment="1" applyProtection="1">
      <alignment horizontal="center"/>
    </xf>
    <xf numFmtId="0" fontId="2" fillId="0" borderId="18" xfId="0" applyFont="1" applyBorder="1" applyAlignment="1" applyProtection="1"/>
    <xf numFmtId="4" fontId="0" fillId="3" borderId="8" xfId="0" applyNumberFormat="1" applyFill="1" applyBorder="1" applyAlignment="1" applyProtection="1">
      <alignment horizontal="center"/>
      <protection locked="0"/>
    </xf>
    <xf numFmtId="4" fontId="0" fillId="4" borderId="8" xfId="0" applyNumberFormat="1" applyFill="1" applyBorder="1" applyProtection="1"/>
    <xf numFmtId="0" fontId="0" fillId="0" borderId="8" xfId="0" applyFill="1" applyBorder="1" applyAlignment="1" applyProtection="1">
      <alignment horizontal="center"/>
      <protection locked="0"/>
    </xf>
    <xf numFmtId="0" fontId="32" fillId="0" borderId="0" xfId="0" applyFont="1" applyProtection="1"/>
    <xf numFmtId="4" fontId="0" fillId="0" borderId="16" xfId="0" applyNumberFormat="1" applyBorder="1" applyAlignment="1" applyProtection="1">
      <alignment horizontal="center"/>
    </xf>
    <xf numFmtId="4" fontId="33" fillId="0" borderId="16" xfId="0" applyNumberFormat="1" applyFont="1" applyFill="1" applyBorder="1" applyAlignment="1" applyProtection="1">
      <alignment horizontal="center"/>
    </xf>
    <xf numFmtId="4" fontId="0" fillId="0" borderId="16" xfId="0" applyNumberFormat="1" applyFill="1" applyBorder="1" applyAlignment="1" applyProtection="1">
      <alignment horizontal="center"/>
    </xf>
    <xf numFmtId="3" fontId="0" fillId="0" borderId="8" xfId="0" applyNumberFormat="1" applyBorder="1" applyProtection="1"/>
    <xf numFmtId="0" fontId="0" fillId="0" borderId="8" xfId="0" applyFont="1" applyBorder="1" applyProtection="1"/>
    <xf numFmtId="0" fontId="0" fillId="0" borderId="8" xfId="0" applyBorder="1" applyProtection="1"/>
    <xf numFmtId="4" fontId="7" fillId="3" borderId="8" xfId="0" applyNumberFormat="1" applyFont="1" applyFill="1" applyBorder="1" applyAlignment="1" applyProtection="1">
      <alignment horizontal="center"/>
      <protection locked="0"/>
    </xf>
    <xf numFmtId="4" fontId="24" fillId="0" borderId="0" xfId="0" applyNumberFormat="1" applyFont="1" applyProtection="1"/>
    <xf numFmtId="0" fontId="25" fillId="3" borderId="24" xfId="0" applyFont="1" applyFill="1" applyBorder="1" applyAlignment="1" applyProtection="1">
      <alignment horizontal="center"/>
      <protection locked="0"/>
    </xf>
    <xf numFmtId="0" fontId="25" fillId="3" borderId="13" xfId="0" applyFont="1" applyFill="1" applyBorder="1" applyAlignment="1" applyProtection="1">
      <alignment horizontal="center"/>
      <protection locked="0"/>
    </xf>
    <xf numFmtId="0" fontId="17" fillId="0" borderId="0" xfId="0" applyFont="1" applyAlignment="1">
      <alignment horizontal="left"/>
    </xf>
    <xf numFmtId="0" fontId="17" fillId="0" borderId="0" xfId="0" applyFont="1" applyAlignment="1">
      <alignment horizontal="left" vertical="center"/>
    </xf>
    <xf numFmtId="0" fontId="0" fillId="0" borderId="0" xfId="0" applyAlignment="1">
      <alignment horizontal="center"/>
    </xf>
    <xf numFmtId="0" fontId="0" fillId="0" borderId="0" xfId="0" applyFill="1" applyProtection="1"/>
    <xf numFmtId="0" fontId="10" fillId="0" borderId="0" xfId="0" applyFont="1" applyFill="1" applyBorder="1" applyAlignment="1" applyProtection="1">
      <alignment horizontal="left"/>
    </xf>
    <xf numFmtId="0" fontId="37" fillId="0" borderId="0" xfId="0" applyFont="1" applyFill="1" applyBorder="1" applyAlignment="1" applyProtection="1">
      <alignment horizontal="left"/>
    </xf>
    <xf numFmtId="0" fontId="10" fillId="0" borderId="8" xfId="0" applyFont="1" applyBorder="1" applyAlignment="1" applyProtection="1">
      <alignment horizontal="center"/>
    </xf>
    <xf numFmtId="0" fontId="31" fillId="0" borderId="8" xfId="0" applyFont="1" applyBorder="1" applyAlignment="1" applyProtection="1">
      <alignment horizontal="center"/>
    </xf>
    <xf numFmtId="0" fontId="17" fillId="0" borderId="0" xfId="0" applyFont="1" applyAlignment="1">
      <alignment horizontal="left" vertical="center"/>
    </xf>
    <xf numFmtId="0" fontId="0" fillId="0" borderId="0" xfId="0" applyAlignment="1">
      <alignment horizontal="center"/>
    </xf>
    <xf numFmtId="0" fontId="36" fillId="0" borderId="0" xfId="0" applyFont="1" applyAlignment="1" applyProtection="1">
      <alignment wrapText="1"/>
    </xf>
    <xf numFmtId="4" fontId="0" fillId="0" borderId="0" xfId="0" applyNumberFormat="1" applyAlignment="1" applyProtection="1">
      <alignment horizontal="center"/>
    </xf>
    <xf numFmtId="0" fontId="0" fillId="0" borderId="13" xfId="0" applyFill="1" applyBorder="1" applyAlignment="1" applyProtection="1">
      <alignment horizontal="center"/>
    </xf>
    <xf numFmtId="0" fontId="12" fillId="0" borderId="13" xfId="0" applyFont="1" applyFill="1" applyBorder="1" applyAlignment="1" applyProtection="1">
      <alignment horizontal="center"/>
    </xf>
    <xf numFmtId="2" fontId="0" fillId="0" borderId="13" xfId="0" applyNumberFormat="1" applyFill="1" applyBorder="1" applyAlignment="1" applyProtection="1">
      <alignment horizontal="center"/>
    </xf>
    <xf numFmtId="2" fontId="11" fillId="0" borderId="13" xfId="0" applyNumberFormat="1" applyFont="1" applyFill="1" applyBorder="1" applyAlignment="1" applyProtection="1">
      <alignment horizontal="center"/>
    </xf>
    <xf numFmtId="0" fontId="0" fillId="0" borderId="16" xfId="0" applyBorder="1" applyAlignment="1">
      <alignment horizontal="center"/>
    </xf>
    <xf numFmtId="0" fontId="0" fillId="0" borderId="14" xfId="0" applyBorder="1" applyAlignment="1">
      <alignment horizontal="center"/>
    </xf>
    <xf numFmtId="2" fontId="0" fillId="0" borderId="17" xfId="0" applyNumberFormat="1" applyBorder="1" applyAlignment="1" applyProtection="1">
      <alignment horizontal="right"/>
    </xf>
    <xf numFmtId="0" fontId="12" fillId="0" borderId="16" xfId="0" applyFont="1" applyBorder="1" applyAlignment="1" applyProtection="1">
      <alignment horizontal="center"/>
    </xf>
    <xf numFmtId="2" fontId="11" fillId="0" borderId="14" xfId="0" applyNumberFormat="1" applyFont="1" applyBorder="1" applyAlignment="1" applyProtection="1">
      <alignment horizontal="center"/>
    </xf>
    <xf numFmtId="0" fontId="0" fillId="0" borderId="16" xfId="0" applyBorder="1" applyAlignment="1" applyProtection="1">
      <alignment horizontal="center"/>
    </xf>
    <xf numFmtId="0" fontId="21" fillId="3" borderId="8" xfId="0" applyFont="1" applyFill="1" applyBorder="1" applyAlignment="1" applyProtection="1">
      <alignment horizontal="left"/>
      <protection locked="0"/>
    </xf>
    <xf numFmtId="0" fontId="21" fillId="0" borderId="8" xfId="0" applyFont="1" applyBorder="1" applyAlignment="1" applyProtection="1">
      <alignment horizontal="left"/>
    </xf>
    <xf numFmtId="0" fontId="25" fillId="0" borderId="8" xfId="0" applyFont="1" applyBorder="1" applyAlignment="1" applyProtection="1">
      <alignment horizontal="left"/>
    </xf>
    <xf numFmtId="0" fontId="22" fillId="0" borderId="0" xfId="0" applyFont="1" applyAlignment="1" applyProtection="1">
      <alignment horizontal="center" wrapText="1"/>
    </xf>
    <xf numFmtId="0" fontId="28" fillId="0" borderId="0" xfId="0" applyFont="1" applyFill="1" applyBorder="1" applyAlignment="1" applyProtection="1">
      <alignment horizontal="right"/>
    </xf>
    <xf numFmtId="0" fontId="27" fillId="0" borderId="0" xfId="0" applyFont="1" applyAlignment="1" applyProtection="1">
      <alignment horizontal="center" wrapText="1"/>
    </xf>
    <xf numFmtId="0" fontId="27" fillId="0" borderId="0" xfId="0" applyFont="1" applyAlignment="1" applyProtection="1">
      <alignment horizontal="center" vertical="center" wrapText="1"/>
    </xf>
    <xf numFmtId="0" fontId="22" fillId="0" borderId="18" xfId="0" applyFont="1" applyBorder="1" applyAlignment="1" applyProtection="1">
      <alignment horizontal="center" wrapText="1"/>
    </xf>
    <xf numFmtId="0" fontId="21" fillId="0" borderId="0" xfId="0" applyFont="1" applyFill="1" applyBorder="1" applyAlignment="1" applyProtection="1">
      <alignment horizontal="center"/>
    </xf>
    <xf numFmtId="0" fontId="21" fillId="3" borderId="8" xfId="0" applyFont="1" applyFill="1" applyBorder="1" applyAlignment="1" applyProtection="1">
      <alignment horizontal="center"/>
      <protection locked="0"/>
    </xf>
    <xf numFmtId="0" fontId="22" fillId="0" borderId="0" xfId="0" applyFont="1" applyBorder="1" applyAlignment="1" applyProtection="1">
      <alignment horizontal="center" wrapText="1"/>
    </xf>
    <xf numFmtId="0" fontId="27" fillId="0" borderId="0" xfId="0" applyFont="1" applyAlignment="1" applyProtection="1">
      <alignment horizontal="center"/>
    </xf>
    <xf numFmtId="0" fontId="10" fillId="0" borderId="8"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13" xfId="0" applyFont="1" applyBorder="1" applyAlignment="1" applyProtection="1">
      <alignment horizontal="center" wrapText="1"/>
    </xf>
    <xf numFmtId="0" fontId="10" fillId="0" borderId="15" xfId="0" applyFont="1" applyBorder="1" applyAlignment="1" applyProtection="1">
      <alignment horizontal="center" wrapText="1"/>
    </xf>
    <xf numFmtId="0" fontId="10" fillId="0" borderId="12" xfId="0" applyFont="1" applyBorder="1" applyAlignment="1" applyProtection="1">
      <alignment horizontal="center" wrapText="1"/>
    </xf>
    <xf numFmtId="0" fontId="10" fillId="0" borderId="8" xfId="0" applyFont="1" applyBorder="1" applyAlignment="1" applyProtection="1">
      <alignment horizontal="center" wrapText="1"/>
    </xf>
    <xf numFmtId="0" fontId="10" fillId="0" borderId="13"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0" fillId="0" borderId="8" xfId="0" applyBorder="1" applyAlignment="1" applyProtection="1">
      <alignment horizontal="right"/>
    </xf>
    <xf numFmtId="0" fontId="27" fillId="0" borderId="13" xfId="0" applyFont="1" applyBorder="1" applyAlignment="1" applyProtection="1">
      <alignment horizontal="center" wrapText="1"/>
    </xf>
    <xf numFmtId="0" fontId="27" fillId="0" borderId="15" xfId="0" applyFont="1" applyBorder="1" applyAlignment="1" applyProtection="1">
      <alignment horizontal="center" wrapText="1"/>
    </xf>
    <xf numFmtId="0" fontId="31" fillId="0" borderId="13" xfId="0" applyFont="1" applyBorder="1" applyAlignment="1" applyProtection="1">
      <alignment horizontal="center" wrapText="1"/>
    </xf>
    <xf numFmtId="0" fontId="31" fillId="0" borderId="12" xfId="0" applyFont="1" applyBorder="1" applyAlignment="1" applyProtection="1">
      <alignment horizontal="center" wrapText="1"/>
    </xf>
    <xf numFmtId="0" fontId="31" fillId="0" borderId="24" xfId="0" applyFont="1" applyBorder="1" applyAlignment="1" applyProtection="1">
      <alignment horizontal="center" wrapText="1"/>
    </xf>
    <xf numFmtId="0" fontId="31" fillId="0" borderId="15" xfId="0" applyFont="1" applyBorder="1" applyAlignment="1" applyProtection="1">
      <alignment horizontal="center" wrapText="1"/>
    </xf>
    <xf numFmtId="0" fontId="27" fillId="0" borderId="8" xfId="0" applyFont="1" applyBorder="1" applyAlignment="1" applyProtection="1">
      <alignment horizontal="center" wrapText="1"/>
    </xf>
    <xf numFmtId="0" fontId="10" fillId="0" borderId="8" xfId="0" applyFont="1" applyBorder="1" applyAlignment="1" applyProtection="1">
      <alignment horizontal="center"/>
    </xf>
    <xf numFmtId="0" fontId="10" fillId="0" borderId="14" xfId="0" applyFont="1" applyBorder="1" applyAlignment="1" applyProtection="1">
      <alignment horizontal="center" wrapText="1"/>
    </xf>
    <xf numFmtId="0" fontId="10" fillId="0" borderId="20" xfId="0" applyFont="1" applyBorder="1" applyAlignment="1" applyProtection="1">
      <alignment horizontal="center" wrapText="1"/>
    </xf>
    <xf numFmtId="0" fontId="10" fillId="0" borderId="11" xfId="0" applyFont="1" applyBorder="1" applyAlignment="1" applyProtection="1">
      <alignment horizontal="center" wrapText="1"/>
    </xf>
    <xf numFmtId="0" fontId="0" fillId="0" borderId="29" xfId="0" applyBorder="1" applyAlignment="1">
      <alignment horizontal="center"/>
    </xf>
    <xf numFmtId="0" fontId="17" fillId="0" borderId="0" xfId="0" applyFont="1" applyAlignment="1" applyProtection="1"/>
    <xf numFmtId="0" fontId="10" fillId="3" borderId="8" xfId="0" applyFont="1" applyFill="1" applyBorder="1" applyAlignment="1" applyProtection="1"/>
    <xf numFmtId="0" fontId="21" fillId="3" borderId="8" xfId="0" applyFont="1" applyFill="1" applyBorder="1" applyAlignment="1" applyProtection="1">
      <protection locked="0"/>
    </xf>
    <xf numFmtId="0" fontId="2" fillId="0" borderId="8" xfId="0" applyFont="1" applyBorder="1" applyAlignment="1" applyProtection="1"/>
    <xf numFmtId="0" fontId="2" fillId="0" borderId="18" xfId="0" applyFont="1" applyFill="1" applyBorder="1" applyAlignment="1" applyProtection="1">
      <alignment horizontal="left"/>
    </xf>
    <xf numFmtId="0" fontId="21" fillId="0" borderId="16" xfId="0" applyFont="1" applyBorder="1" applyAlignment="1" applyProtection="1"/>
    <xf numFmtId="0" fontId="2" fillId="0" borderId="16" xfId="0" applyFont="1" applyBorder="1" applyAlignment="1" applyProtection="1"/>
    <xf numFmtId="0" fontId="2" fillId="0" borderId="17" xfId="0" applyFont="1" applyBorder="1" applyAlignment="1" applyProtection="1"/>
    <xf numFmtId="0" fontId="2" fillId="0" borderId="16" xfId="0" applyFont="1" applyFill="1" applyBorder="1" applyAlignment="1" applyProtection="1"/>
    <xf numFmtId="0" fontId="21" fillId="0" borderId="15" xfId="0" applyFont="1" applyBorder="1" applyAlignment="1" applyProtection="1">
      <alignment horizontal="center"/>
    </xf>
    <xf numFmtId="0" fontId="21" fillId="3" borderId="16" xfId="0" applyFont="1" applyFill="1" applyBorder="1" applyAlignment="1" applyProtection="1">
      <protection locked="0"/>
    </xf>
    <xf numFmtId="0" fontId="21" fillId="3" borderId="17" xfId="0" applyFont="1" applyFill="1" applyBorder="1" applyAlignment="1" applyProtection="1">
      <protection locked="0"/>
    </xf>
    <xf numFmtId="0" fontId="21" fillId="3" borderId="20" xfId="0" applyFont="1" applyFill="1" applyBorder="1" applyAlignment="1" applyProtection="1">
      <protection locked="0"/>
    </xf>
    <xf numFmtId="0" fontId="21" fillId="3" borderId="15" xfId="0" applyFont="1" applyFill="1" applyBorder="1" applyAlignment="1" applyProtection="1">
      <alignment horizontal="center"/>
      <protection locked="0"/>
    </xf>
    <xf numFmtId="0" fontId="21" fillId="0" borderId="15" xfId="0" applyFont="1" applyFill="1" applyBorder="1" applyAlignment="1" applyProtection="1">
      <alignment horizontal="center"/>
    </xf>
    <xf numFmtId="0" fontId="21" fillId="3" borderId="15" xfId="0" applyFont="1" applyFill="1" applyBorder="1" applyAlignment="1" applyProtection="1">
      <alignment horizontal="left"/>
      <protection locked="0"/>
    </xf>
    <xf numFmtId="0" fontId="21" fillId="3" borderId="11" xfId="0" applyFont="1" applyFill="1" applyBorder="1" applyAlignment="1" applyProtection="1">
      <protection locked="0"/>
    </xf>
    <xf numFmtId="0" fontId="2" fillId="0" borderId="13" xfId="0" applyFont="1" applyBorder="1" applyAlignment="1" applyProtection="1">
      <alignment horizontal="center"/>
    </xf>
    <xf numFmtId="0" fontId="19" fillId="0" borderId="17" xfId="0" applyFont="1" applyBorder="1" applyProtection="1"/>
    <xf numFmtId="0" fontId="21" fillId="0" borderId="16" xfId="0" applyFont="1" applyFill="1" applyBorder="1" applyAlignment="1" applyProtection="1">
      <alignment horizontal="center"/>
    </xf>
    <xf numFmtId="0" fontId="21" fillId="5" borderId="18" xfId="0" applyFont="1" applyFill="1" applyBorder="1" applyAlignment="1" applyProtection="1">
      <protection locked="0"/>
    </xf>
    <xf numFmtId="0" fontId="21" fillId="5" borderId="32" xfId="0" applyFont="1" applyFill="1" applyBorder="1" applyAlignment="1" applyProtection="1">
      <protection locked="0"/>
    </xf>
    <xf numFmtId="0" fontId="21" fillId="5" borderId="16" xfId="0" applyFont="1" applyFill="1" applyBorder="1" applyAlignment="1" applyProtection="1">
      <protection locked="0"/>
    </xf>
    <xf numFmtId="0" fontId="21" fillId="5" borderId="17" xfId="0" applyFont="1" applyFill="1" applyBorder="1" applyAlignment="1" applyProtection="1">
      <protection locked="0"/>
    </xf>
    <xf numFmtId="0" fontId="21" fillId="5" borderId="31" xfId="0" applyFont="1" applyFill="1" applyBorder="1" applyAlignment="1" applyProtection="1">
      <protection locked="0"/>
    </xf>
    <xf numFmtId="0" fontId="21" fillId="5" borderId="24" xfId="0" applyFont="1" applyFill="1" applyBorder="1" applyAlignment="1" applyProtection="1">
      <protection locked="0"/>
    </xf>
    <xf numFmtId="0" fontId="21" fillId="5" borderId="14" xfId="0" applyFont="1" applyFill="1" applyBorder="1" applyAlignment="1" applyProtection="1">
      <protection locked="0"/>
    </xf>
    <xf numFmtId="0" fontId="21" fillId="5" borderId="20" xfId="0" applyFont="1" applyFill="1" applyBorder="1" applyAlignment="1" applyProtection="1">
      <protection locked="0"/>
    </xf>
    <xf numFmtId="0" fontId="21" fillId="5" borderId="11" xfId="0" applyFont="1" applyFill="1" applyBorder="1" applyAlignment="1" applyProtection="1">
      <protection locked="0"/>
    </xf>
    <xf numFmtId="0" fontId="0" fillId="0" borderId="16" xfId="0" applyBorder="1" applyProtection="1"/>
    <xf numFmtId="0" fontId="17" fillId="0" borderId="0" xfId="0" applyFont="1" applyAlignment="1" applyProtection="1">
      <alignment vertical="center"/>
    </xf>
    <xf numFmtId="0" fontId="24" fillId="3" borderId="8" xfId="0" applyFont="1" applyFill="1" applyBorder="1" applyAlignment="1" applyProtection="1"/>
    <xf numFmtId="0" fontId="25" fillId="0" borderId="0"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0" fontId="21" fillId="0" borderId="13" xfId="0" applyFont="1" applyFill="1" applyBorder="1" applyAlignment="1" applyProtection="1">
      <alignment horizontal="right" wrapText="1"/>
    </xf>
    <xf numFmtId="0" fontId="21" fillId="0" borderId="12" xfId="0" applyFont="1" applyFill="1" applyBorder="1" applyAlignment="1" applyProtection="1">
      <alignment horizontal="right" wrapText="1"/>
    </xf>
    <xf numFmtId="0" fontId="25" fillId="3" borderId="17" xfId="0" applyFont="1" applyFill="1" applyBorder="1" applyAlignment="1" applyProtection="1">
      <alignment vertical="center"/>
      <protection locked="0"/>
    </xf>
    <xf numFmtId="0" fontId="21" fillId="0" borderId="15" xfId="0" applyFont="1" applyFill="1" applyBorder="1" applyAlignment="1" applyProtection="1">
      <alignment horizontal="right" wrapText="1"/>
    </xf>
    <xf numFmtId="0" fontId="19" fillId="0" borderId="0" xfId="0" applyFont="1" applyBorder="1" applyAlignment="1" applyProtection="1">
      <alignment wrapText="1"/>
    </xf>
    <xf numFmtId="0" fontId="19" fillId="0" borderId="0" xfId="0" applyFont="1" applyBorder="1" applyAlignment="1" applyProtection="1">
      <alignment horizontal="left"/>
    </xf>
    <xf numFmtId="0" fontId="19" fillId="0" borderId="0" xfId="0" applyFont="1" applyBorder="1" applyAlignment="1" applyProtection="1"/>
    <xf numFmtId="0" fontId="35" fillId="0" borderId="31" xfId="0" applyFont="1" applyFill="1" applyBorder="1" applyAlignment="1" applyProtection="1">
      <alignment wrapText="1"/>
    </xf>
    <xf numFmtId="0" fontId="35" fillId="0" borderId="0" xfId="0" applyFont="1" applyFill="1" applyBorder="1" applyAlignment="1" applyProtection="1">
      <alignment wrapText="1"/>
    </xf>
    <xf numFmtId="0" fontId="35" fillId="0" borderId="31" xfId="0" applyFont="1" applyFill="1" applyBorder="1" applyAlignment="1" applyProtection="1">
      <alignment horizontal="left"/>
    </xf>
    <xf numFmtId="0" fontId="35" fillId="0" borderId="0" xfId="0" applyFont="1" applyFill="1" applyBorder="1" applyAlignment="1" applyProtection="1">
      <alignment horizontal="left"/>
    </xf>
    <xf numFmtId="0" fontId="17" fillId="0" borderId="18" xfId="0" applyFont="1" applyBorder="1" applyAlignment="1" applyProtection="1">
      <alignment vertical="center"/>
    </xf>
    <xf numFmtId="0" fontId="25" fillId="3" borderId="8" xfId="0" applyFont="1" applyFill="1" applyBorder="1" applyAlignment="1" applyProtection="1">
      <protection locked="0"/>
    </xf>
    <xf numFmtId="0" fontId="21" fillId="0" borderId="0" xfId="0" applyFont="1" applyFill="1" applyProtection="1"/>
    <xf numFmtId="0" fontId="0" fillId="3" borderId="15" xfId="0" applyFill="1" applyBorder="1" applyAlignment="1" applyProtection="1">
      <alignment wrapText="1"/>
      <protection locked="0"/>
    </xf>
    <xf numFmtId="0" fontId="10" fillId="0" borderId="0" xfId="0" applyFont="1" applyBorder="1" applyAlignment="1" applyProtection="1">
      <alignment vertical="center" wrapText="1"/>
    </xf>
    <xf numFmtId="0" fontId="10" fillId="0" borderId="10" xfId="0" applyFont="1" applyBorder="1" applyAlignment="1" applyProtection="1">
      <alignment horizontal="center" vertical="center" wrapText="1"/>
    </xf>
    <xf numFmtId="0" fontId="0" fillId="3" borderId="15" xfId="0" applyFill="1" applyBorder="1" applyAlignment="1" applyProtection="1">
      <alignment horizontal="center"/>
      <protection locked="0"/>
    </xf>
    <xf numFmtId="0" fontId="0" fillId="0" borderId="20" xfId="0" applyFill="1" applyBorder="1" applyProtection="1"/>
    <xf numFmtId="0" fontId="0" fillId="0" borderId="13" xfId="0" applyBorder="1" applyProtection="1"/>
    <xf numFmtId="0" fontId="10" fillId="0" borderId="21" xfId="0" applyFont="1" applyBorder="1" applyAlignment="1" applyProtection="1">
      <alignment horizontal="center" vertical="center" wrapText="1"/>
    </xf>
    <xf numFmtId="0" fontId="10" fillId="0" borderId="31" xfId="0" applyFont="1" applyBorder="1" applyAlignment="1" applyProtection="1">
      <alignment vertical="center" wrapText="1"/>
    </xf>
    <xf numFmtId="0" fontId="10" fillId="0" borderId="20" xfId="0" applyFont="1" applyBorder="1" applyAlignment="1" applyProtection="1"/>
    <xf numFmtId="0" fontId="10" fillId="0" borderId="31" xfId="0" applyFont="1" applyBorder="1" applyAlignment="1" applyProtection="1">
      <alignment horizontal="left"/>
    </xf>
    <xf numFmtId="0" fontId="10" fillId="0" borderId="24" xfId="0" applyFont="1" applyBorder="1" applyAlignment="1" applyProtection="1">
      <alignment horizontal="center" wrapText="1"/>
    </xf>
    <xf numFmtId="0" fontId="10" fillId="0" borderId="21" xfId="0" applyFont="1" applyBorder="1" applyAlignment="1" applyProtection="1">
      <alignment horizontal="center" wrapText="1"/>
    </xf>
    <xf numFmtId="0" fontId="10" fillId="0" borderId="32" xfId="0" applyFont="1" applyBorder="1" applyAlignment="1" applyProtection="1">
      <alignment horizontal="center" wrapText="1"/>
    </xf>
    <xf numFmtId="0" fontId="10" fillId="0" borderId="10" xfId="0" applyFont="1" applyBorder="1" applyAlignment="1" applyProtection="1">
      <alignment horizontal="center" wrapText="1"/>
    </xf>
    <xf numFmtId="4" fontId="0" fillId="3" borderId="15" xfId="0" applyNumberFormat="1" applyFill="1" applyBorder="1" applyAlignment="1" applyProtection="1">
      <alignment horizontal="center"/>
      <protection locked="0"/>
    </xf>
    <xf numFmtId="0" fontId="10" fillId="0" borderId="18" xfId="0" applyFont="1" applyBorder="1" applyAlignment="1" applyProtection="1">
      <alignment vertical="center" wrapText="1"/>
    </xf>
    <xf numFmtId="4" fontId="0" fillId="0" borderId="15" xfId="0" applyNumberFormat="1" applyFill="1" applyBorder="1" applyAlignment="1" applyProtection="1">
      <alignment horizontal="center"/>
    </xf>
    <xf numFmtId="0" fontId="10" fillId="0" borderId="16" xfId="0" applyFont="1" applyBorder="1" applyAlignment="1" applyProtection="1">
      <alignment horizontal="left" vertical="center"/>
    </xf>
    <xf numFmtId="0" fontId="0" fillId="0" borderId="14" xfId="0" applyBorder="1" applyProtection="1"/>
    <xf numFmtId="0" fontId="10" fillId="0" borderId="16" xfId="0" applyFont="1" applyBorder="1" applyAlignment="1" applyProtection="1">
      <alignment horizontal="center" vertical="center" wrapText="1"/>
    </xf>
    <xf numFmtId="0" fontId="0" fillId="0" borderId="15" xfId="0" applyFill="1" applyBorder="1" applyAlignment="1" applyProtection="1">
      <alignment horizontal="center"/>
      <protection locked="0"/>
    </xf>
    <xf numFmtId="4" fontId="0" fillId="0" borderId="15" xfId="0" applyNumberFormat="1" applyBorder="1" applyAlignment="1" applyProtection="1">
      <alignment horizontal="center"/>
    </xf>
    <xf numFmtId="0" fontId="10" fillId="3" borderId="10" xfId="0" applyFont="1" applyFill="1" applyBorder="1" applyAlignment="1" applyProtection="1"/>
    <xf numFmtId="0" fontId="10" fillId="3" borderId="0" xfId="0" applyFont="1" applyFill="1" applyBorder="1" applyAlignment="1" applyProtection="1"/>
    <xf numFmtId="0" fontId="23" fillId="0" borderId="0" xfId="0" applyFont="1" applyBorder="1" applyAlignment="1" applyProtection="1"/>
    <xf numFmtId="0" fontId="6" fillId="0" borderId="24" xfId="0" applyFont="1" applyFill="1" applyBorder="1" applyAlignment="1" applyProtection="1">
      <alignment horizontal="center" wrapText="1"/>
    </xf>
    <xf numFmtId="0" fontId="20" fillId="3" borderId="15" xfId="0" applyFont="1" applyFill="1" applyBorder="1" applyAlignment="1" applyProtection="1">
      <alignment horizontal="center"/>
      <protection locked="0"/>
    </xf>
    <xf numFmtId="0" fontId="10" fillId="0" borderId="0" xfId="0" applyFont="1" applyProtection="1"/>
    <xf numFmtId="0" fontId="6" fillId="0" borderId="32" xfId="0" applyFont="1" applyFill="1" applyBorder="1" applyAlignment="1" applyProtection="1">
      <alignment horizontal="center" wrapText="1"/>
    </xf>
    <xf numFmtId="4" fontId="38" fillId="0" borderId="0" xfId="0" applyNumberFormat="1" applyFont="1" applyProtection="1"/>
    <xf numFmtId="4" fontId="20" fillId="0" borderId="15" xfId="0" applyNumberFormat="1" applyFont="1" applyBorder="1" applyAlignment="1" applyProtection="1">
      <alignment horizontal="center"/>
    </xf>
    <xf numFmtId="0" fontId="31" fillId="0" borderId="0" xfId="0" applyFont="1" applyBorder="1" applyAlignment="1" applyProtection="1">
      <alignment horizontal="center" wrapText="1"/>
    </xf>
    <xf numFmtId="0" fontId="31" fillId="0" borderId="13" xfId="0" applyFont="1" applyFill="1" applyBorder="1" applyAlignment="1" applyProtection="1">
      <alignment horizontal="center" wrapText="1"/>
    </xf>
    <xf numFmtId="0" fontId="31" fillId="0" borderId="20" xfId="0" applyFont="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10" xfId="0" applyFont="1" applyBorder="1" applyAlignment="1" applyProtection="1">
      <alignment horizontal="center" wrapText="1"/>
    </xf>
    <xf numFmtId="0" fontId="31" fillId="0" borderId="32"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5" xfId="0" applyFont="1" applyFill="1" applyBorder="1" applyAlignment="1" applyProtection="1">
      <alignment horizontal="center" wrapText="1"/>
    </xf>
    <xf numFmtId="0" fontId="17" fillId="0" borderId="0" xfId="0" applyFont="1" applyAlignment="1"/>
    <xf numFmtId="0" fontId="29" fillId="0" borderId="18" xfId="0" applyFont="1" applyBorder="1" applyAlignment="1" applyProtection="1"/>
    <xf numFmtId="2" fontId="0" fillId="0" borderId="14" xfId="0" applyNumberFormat="1" applyBorder="1" applyAlignment="1" applyProtection="1">
      <alignment horizontal="center"/>
    </xf>
    <xf numFmtId="2" fontId="0" fillId="0" borderId="15" xfId="0" applyNumberFormat="1" applyFill="1" applyBorder="1" applyAlignment="1" applyProtection="1">
      <alignment horizontal="center"/>
    </xf>
    <xf numFmtId="0" fontId="10" fillId="0" borderId="13" xfId="0" applyFont="1" applyFill="1" applyBorder="1" applyAlignment="1" applyProtection="1">
      <alignment horizontal="center" wrapText="1"/>
    </xf>
    <xf numFmtId="0" fontId="17" fillId="0" borderId="0" xfId="0" applyFont="1" applyAlignment="1">
      <alignment vertical="center"/>
    </xf>
    <xf numFmtId="0" fontId="0" fillId="0" borderId="25" xfId="0" applyBorder="1" applyAlignment="1"/>
    <xf numFmtId="0" fontId="0" fillId="0" borderId="26" xfId="0" applyBorder="1" applyAlignment="1"/>
    <xf numFmtId="0" fontId="0" fillId="0" borderId="27" xfId="0" applyBorder="1" applyAlignment="1"/>
    <xf numFmtId="0" fontId="27" fillId="0" borderId="0" xfId="0" applyFont="1" applyAlignment="1" applyProtection="1">
      <alignment vertical="center" wrapText="1"/>
    </xf>
    <xf numFmtId="0" fontId="27" fillId="0" borderId="0" xfId="0" applyFont="1" applyAlignment="1" applyProtection="1">
      <alignment horizontal="center" vertical="center"/>
    </xf>
    <xf numFmtId="0" fontId="2" fillId="0" borderId="20" xfId="0" applyFont="1" applyBorder="1" applyAlignment="1"/>
    <xf numFmtId="0" fontId="0" fillId="0" borderId="24" xfId="0" applyBorder="1" applyAlignment="1"/>
    <xf numFmtId="0" fontId="2" fillId="0" borderId="10" xfId="0" applyFont="1" applyBorder="1" applyAlignment="1"/>
    <xf numFmtId="0" fontId="0" fillId="0" borderId="21" xfId="0" applyBorder="1" applyAlignment="1"/>
    <xf numFmtId="49" fontId="2" fillId="0" borderId="10" xfId="0" applyNumberFormat="1" applyFont="1" applyBorder="1" applyAlignment="1"/>
    <xf numFmtId="49" fontId="0" fillId="0" borderId="21" xfId="0" applyNumberFormat="1" applyBorder="1" applyAlignment="1"/>
    <xf numFmtId="49" fontId="2" fillId="0" borderId="21" xfId="0" applyNumberFormat="1" applyFont="1" applyBorder="1" applyAlignment="1"/>
    <xf numFmtId="0" fontId="0" fillId="0" borderId="10" xfId="0" applyBorder="1" applyAlignment="1"/>
    <xf numFmtId="0" fontId="0" fillId="0" borderId="0" xfId="0" applyAlignment="1"/>
    <xf numFmtId="0" fontId="0" fillId="0" borderId="22" xfId="0" applyBorder="1" applyAlignment="1"/>
    <xf numFmtId="0" fontId="0" fillId="0" borderId="23" xfId="0" applyBorder="1" applyAlignment="1"/>
    <xf numFmtId="0" fontId="0" fillId="0" borderId="30" xfId="0" applyBorder="1" applyAlignment="1"/>
    <xf numFmtId="0" fontId="0" fillId="0" borderId="29" xfId="0" applyBorder="1" applyAlignment="1"/>
    <xf numFmtId="0" fontId="0" fillId="0" borderId="30" xfId="0" applyBorder="1" applyAlignment="1">
      <alignment horizontal="left"/>
    </xf>
    <xf numFmtId="0" fontId="0" fillId="0" borderId="13" xfId="0" applyBorder="1"/>
    <xf numFmtId="0" fontId="0" fillId="0" borderId="12" xfId="0" applyBorder="1"/>
    <xf numFmtId="0" fontId="0" fillId="0" borderId="12" xfId="0" applyFill="1" applyBorder="1"/>
    <xf numFmtId="0" fontId="0" fillId="0" borderId="15" xfId="0" applyBorder="1"/>
    <xf numFmtId="0" fontId="0" fillId="0" borderId="28" xfId="0" applyBorder="1" applyAlignment="1"/>
    <xf numFmtId="0" fontId="0" fillId="0" borderId="8" xfId="0" applyBorder="1" applyAlignment="1" applyProtection="1"/>
    <xf numFmtId="0" fontId="0" fillId="0" borderId="16" xfId="0" applyBorder="1"/>
    <xf numFmtId="0" fontId="0" fillId="0" borderId="13" xfId="0" applyBorder="1" applyAlignment="1" applyProtection="1"/>
    <xf numFmtId="0" fontId="10" fillId="0" borderId="0" xfId="0" applyFont="1" applyBorder="1" applyAlignment="1" applyProtection="1">
      <alignment horizontal="left"/>
    </xf>
    <xf numFmtId="0" fontId="10" fillId="0" borderId="0" xfId="0" applyFont="1" applyBorder="1" applyAlignment="1" applyProtection="1">
      <alignment horizontal="center" vertical="center" wrapText="1"/>
    </xf>
    <xf numFmtId="0" fontId="10" fillId="0" borderId="10" xfId="0" applyFont="1" applyBorder="1" applyAlignment="1" applyProtection="1"/>
    <xf numFmtId="0" fontId="22" fillId="0" borderId="0" xfId="0" applyFont="1" applyAlignment="1" applyProtection="1">
      <alignment wrapText="1"/>
    </xf>
    <xf numFmtId="0" fontId="22" fillId="0" borderId="18" xfId="0" applyFont="1" applyBorder="1" applyAlignment="1" applyProtection="1">
      <alignment wrapText="1"/>
    </xf>
    <xf numFmtId="0" fontId="24" fillId="0" borderId="0" xfId="0" applyFont="1" applyAlignment="1" applyProtection="1">
      <alignment horizontal="center"/>
    </xf>
    <xf numFmtId="0" fontId="21" fillId="0" borderId="0" xfId="0" applyFont="1" applyFill="1" applyBorder="1" applyAlignment="1" applyProtection="1"/>
    <xf numFmtId="0" fontId="22" fillId="0" borderId="0" xfId="0" applyFont="1" applyAlignment="1" applyProtection="1">
      <alignment horizontal="center"/>
    </xf>
    <xf numFmtId="0" fontId="22" fillId="0" borderId="0" xfId="0" applyFont="1" applyAlignment="1" applyProtection="1">
      <alignment horizontal="right" wrapText="1"/>
    </xf>
  </cellXfs>
  <cellStyles count="3">
    <cellStyle name="Normal" xfId="0" builtinId="0"/>
    <cellStyle name="Normal 2" xfId="1" xr:uid="{00000000-0005-0000-0000-000001000000}"/>
    <cellStyle name="Percent 2" xfId="2" xr:uid="{00000000-0005-0000-0000-000002000000}"/>
  </cellStyles>
  <dxfs count="605">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owa.gov.state.ia.us\data\My%20Drive\IAEAP\MSEI\Calculators\2020%20Calculators\Finished\Portable_Crushing_Pla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Information"/>
      <sheetName val="Limestone Plant (LP-1)"/>
      <sheetName val="Limestone Plant (LP-2)"/>
      <sheetName val="Limestone Plant (LP-3)"/>
      <sheetName val="Limestone Plant (LP-4)"/>
      <sheetName val="Limestone Plant (LP-5)"/>
      <sheetName val="Limestone Plant (LP-6)"/>
      <sheetName val="Limestone Plant (LP-7)"/>
      <sheetName val="Limestone Plant (LP-8)"/>
      <sheetName val="Limestone Plant (LP-9)"/>
      <sheetName val="Limestone Plant (LP-10)"/>
      <sheetName val="Haul Roads"/>
      <sheetName val="Permitted Diesel Engines"/>
      <sheetName val="Emission Calculations"/>
      <sheetName val="Facility Wide Emissions"/>
      <sheetName val="Emission 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D8">
            <v>8.0999999999999996E-4</v>
          </cell>
        </row>
        <row r="20">
          <cell r="D20">
            <v>1E-4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2"/>
  <sheetViews>
    <sheetView tabSelected="1" topLeftCell="B1" workbookViewId="0">
      <selection activeCell="B1" sqref="B1"/>
    </sheetView>
  </sheetViews>
  <sheetFormatPr defaultColWidth="8.85546875" defaultRowHeight="15" x14ac:dyDescent="0.25"/>
  <cols>
    <col min="1" max="1" width="27.28515625" style="6" hidden="1" customWidth="1"/>
    <col min="2" max="2" width="30.28515625" style="6" customWidth="1"/>
    <col min="3" max="3" width="38.85546875" style="6" customWidth="1"/>
    <col min="4" max="4" width="15.42578125" style="6" customWidth="1"/>
    <col min="5" max="6" width="13.42578125" style="6" customWidth="1"/>
    <col min="7" max="7" width="22.85546875" style="6" customWidth="1"/>
    <col min="8" max="8" width="8.5703125" style="6" customWidth="1"/>
    <col min="9" max="9" width="13.28515625" style="6" customWidth="1"/>
    <col min="10" max="10" width="10.85546875" style="6" customWidth="1"/>
    <col min="11" max="11" width="8.140625" style="6" hidden="1" customWidth="1"/>
    <col min="12" max="12" width="13.7109375" style="6" customWidth="1"/>
    <col min="13" max="13" width="11.7109375" style="6" customWidth="1"/>
    <col min="14" max="16384" width="8.85546875" style="6"/>
  </cols>
  <sheetData>
    <row r="1" spans="2:12" ht="18.75" x14ac:dyDescent="0.3">
      <c r="B1" s="247" t="s">
        <v>90</v>
      </c>
      <c r="D1" s="247"/>
      <c r="E1" s="177" t="s">
        <v>183</v>
      </c>
      <c r="H1" s="36" t="s">
        <v>322</v>
      </c>
    </row>
    <row r="2" spans="2:12" x14ac:dyDescent="0.25">
      <c r="B2" s="248" t="s">
        <v>196</v>
      </c>
      <c r="C2" s="39"/>
      <c r="H2" s="6" t="s">
        <v>186</v>
      </c>
    </row>
    <row r="3" spans="2:12" x14ac:dyDescent="0.25">
      <c r="C3" s="37"/>
    </row>
    <row r="4" spans="2:12" x14ac:dyDescent="0.25">
      <c r="B4" s="252" t="s">
        <v>94</v>
      </c>
      <c r="C4" s="257"/>
      <c r="D4" s="276"/>
      <c r="E4" s="266" t="s">
        <v>108</v>
      </c>
      <c r="F4" s="265"/>
      <c r="G4" s="258"/>
      <c r="H4" s="37"/>
      <c r="I4" s="37"/>
      <c r="J4" s="37"/>
      <c r="K4" s="37"/>
      <c r="L4" s="37"/>
    </row>
    <row r="5" spans="2:12" ht="15" customHeight="1" x14ac:dyDescent="0.25">
      <c r="B5" s="253" t="s">
        <v>95</v>
      </c>
      <c r="C5" s="249"/>
      <c r="D5" s="269"/>
      <c r="E5" s="270"/>
      <c r="F5" s="51" t="s">
        <v>107</v>
      </c>
      <c r="G5" s="52"/>
      <c r="H5" s="37" t="s">
        <v>28</v>
      </c>
      <c r="I5" s="286" t="s">
        <v>194</v>
      </c>
      <c r="J5" s="285"/>
      <c r="K5" s="285"/>
      <c r="L5" s="285"/>
    </row>
    <row r="6" spans="2:12" x14ac:dyDescent="0.25">
      <c r="B6" s="253" t="s">
        <v>96</v>
      </c>
      <c r="C6" s="259"/>
      <c r="D6" s="274"/>
      <c r="E6" s="271"/>
      <c r="F6" s="271"/>
      <c r="G6" s="272"/>
      <c r="H6" s="40"/>
      <c r="I6" s="287" t="s">
        <v>195</v>
      </c>
      <c r="J6" s="285"/>
      <c r="K6" s="285"/>
      <c r="L6" s="285"/>
    </row>
    <row r="7" spans="2:12" x14ac:dyDescent="0.25">
      <c r="B7" s="253" t="s">
        <v>97</v>
      </c>
      <c r="C7" s="257"/>
      <c r="D7" s="269"/>
      <c r="E7" s="273"/>
      <c r="F7" s="273"/>
      <c r="G7" s="270"/>
      <c r="H7" s="37"/>
      <c r="I7" s="37"/>
      <c r="J7" s="37"/>
      <c r="K7" s="37"/>
      <c r="L7" s="37"/>
    </row>
    <row r="8" spans="2:12" x14ac:dyDescent="0.25">
      <c r="B8" s="253" t="s">
        <v>98</v>
      </c>
      <c r="C8" s="263"/>
      <c r="D8" s="256" t="s">
        <v>105</v>
      </c>
      <c r="E8" s="260"/>
      <c r="F8" s="261" t="s">
        <v>106</v>
      </c>
      <c r="G8" s="262"/>
      <c r="H8" s="37"/>
      <c r="I8" s="37"/>
      <c r="J8" s="37"/>
      <c r="K8" s="37"/>
      <c r="L8" s="37"/>
    </row>
    <row r="9" spans="2:12" x14ac:dyDescent="0.25">
      <c r="B9" s="253" t="s">
        <v>99</v>
      </c>
      <c r="C9" s="259"/>
      <c r="D9" s="264" t="s">
        <v>104</v>
      </c>
      <c r="E9" s="259"/>
      <c r="F9" s="269"/>
      <c r="G9" s="270"/>
      <c r="H9" s="37"/>
      <c r="I9" s="37"/>
      <c r="J9" s="37"/>
      <c r="K9" s="37" t="s">
        <v>65</v>
      </c>
      <c r="L9" s="37"/>
    </row>
    <row r="10" spans="2:12" x14ac:dyDescent="0.25">
      <c r="B10" s="255" t="s">
        <v>100</v>
      </c>
      <c r="C10" s="259"/>
      <c r="D10" s="274"/>
      <c r="E10" s="271"/>
      <c r="F10" s="271"/>
      <c r="G10" s="272"/>
      <c r="H10" s="37"/>
      <c r="I10" s="37"/>
      <c r="J10" s="37"/>
      <c r="K10" s="37" t="s">
        <v>66</v>
      </c>
      <c r="L10" s="37"/>
    </row>
    <row r="11" spans="2:12" x14ac:dyDescent="0.25">
      <c r="B11" s="255" t="s">
        <v>101</v>
      </c>
      <c r="C11" s="257"/>
      <c r="D11" s="269"/>
      <c r="E11" s="273"/>
      <c r="F11" s="273"/>
      <c r="G11" s="270"/>
      <c r="H11" s="37"/>
      <c r="I11" s="37"/>
      <c r="J11" s="37"/>
      <c r="K11" s="37"/>
      <c r="L11" s="37"/>
    </row>
    <row r="12" spans="2:12" x14ac:dyDescent="0.25">
      <c r="B12" s="255" t="s">
        <v>102</v>
      </c>
      <c r="C12" s="263"/>
      <c r="D12" s="275"/>
      <c r="E12" s="267"/>
      <c r="F12" s="267"/>
      <c r="G12" s="268"/>
      <c r="H12" s="37"/>
      <c r="I12" s="37"/>
      <c r="J12" s="37"/>
      <c r="K12" s="37"/>
      <c r="L12" s="37"/>
    </row>
    <row r="13" spans="2:12" x14ac:dyDescent="0.25">
      <c r="B13" s="253" t="s">
        <v>98</v>
      </c>
      <c r="C13" s="263"/>
      <c r="D13" s="256" t="s">
        <v>105</v>
      </c>
      <c r="E13" s="260"/>
      <c r="F13" s="261" t="s">
        <v>106</v>
      </c>
      <c r="G13" s="262"/>
      <c r="H13" s="37"/>
      <c r="I13" s="37"/>
      <c r="J13" s="37"/>
      <c r="K13" s="37" t="s">
        <v>67</v>
      </c>
      <c r="L13" s="37"/>
    </row>
    <row r="14" spans="2:12" x14ac:dyDescent="0.25">
      <c r="B14" s="255" t="s">
        <v>103</v>
      </c>
      <c r="C14" s="257"/>
      <c r="D14" s="54" t="s">
        <v>104</v>
      </c>
      <c r="E14" s="257"/>
      <c r="F14" s="269"/>
      <c r="G14" s="270"/>
      <c r="H14" s="37"/>
      <c r="I14" s="37"/>
      <c r="J14" s="37"/>
      <c r="K14" s="37" t="s">
        <v>68</v>
      </c>
      <c r="L14" s="37"/>
    </row>
    <row r="15" spans="2:12" x14ac:dyDescent="0.25">
      <c r="B15" s="251"/>
      <c r="C15" s="55"/>
      <c r="D15" s="55"/>
      <c r="E15" s="56"/>
      <c r="F15" s="55"/>
      <c r="G15" s="55"/>
      <c r="H15" s="37"/>
      <c r="I15" s="37"/>
      <c r="J15" s="41"/>
      <c r="K15" s="41"/>
      <c r="L15" s="37"/>
    </row>
    <row r="16" spans="2:12" x14ac:dyDescent="0.25">
      <c r="B16" s="57" t="s">
        <v>109</v>
      </c>
      <c r="C16" s="211">
        <v>1422</v>
      </c>
      <c r="E16" s="55"/>
      <c r="F16" s="55"/>
      <c r="G16" s="55"/>
      <c r="H16" s="37"/>
      <c r="I16" s="37"/>
      <c r="J16" s="37"/>
      <c r="K16" s="37"/>
      <c r="L16" s="37"/>
    </row>
    <row r="17" spans="1:13" x14ac:dyDescent="0.25">
      <c r="B17" s="57" t="s">
        <v>110</v>
      </c>
      <c r="C17" s="211">
        <v>212312</v>
      </c>
      <c r="E17" s="55"/>
      <c r="F17" s="55"/>
      <c r="G17" s="55"/>
      <c r="I17" s="37"/>
      <c r="J17" s="37"/>
      <c r="K17" s="37"/>
      <c r="L17" s="37"/>
    </row>
    <row r="18" spans="1:13" x14ac:dyDescent="0.25">
      <c r="B18" s="57" t="s">
        <v>111</v>
      </c>
      <c r="C18" s="212" t="s">
        <v>84</v>
      </c>
      <c r="E18" s="55"/>
      <c r="F18" s="55"/>
      <c r="G18" s="55"/>
      <c r="H18" s="37"/>
      <c r="I18" s="37"/>
      <c r="J18" s="37"/>
      <c r="K18" s="37"/>
      <c r="L18" s="37"/>
    </row>
    <row r="19" spans="1:13" x14ac:dyDescent="0.25">
      <c r="A19" s="58"/>
      <c r="C19" s="55"/>
      <c r="D19" s="55"/>
      <c r="E19" s="55"/>
      <c r="F19" s="55"/>
      <c r="G19" s="37"/>
      <c r="H19" s="37"/>
      <c r="I19" s="37"/>
      <c r="J19" s="37"/>
      <c r="K19" s="37"/>
      <c r="L19" s="37"/>
    </row>
    <row r="20" spans="1:13" x14ac:dyDescent="0.25">
      <c r="B20" s="250" t="s">
        <v>134</v>
      </c>
      <c r="C20" s="210"/>
      <c r="D20" s="55"/>
      <c r="E20" s="55"/>
      <c r="F20" s="37"/>
      <c r="G20" s="37"/>
      <c r="H20" s="37"/>
      <c r="I20" s="37"/>
      <c r="J20" s="37"/>
      <c r="K20" s="37"/>
    </row>
    <row r="21" spans="1:13" x14ac:dyDescent="0.25">
      <c r="B21" s="91" t="str">
        <f>"Number of Plants Operated in "&amp;'Facility Information'!G5&amp;":"</f>
        <v>Number of Plants Operated in :</v>
      </c>
      <c r="C21" s="210"/>
      <c r="D21" s="55"/>
      <c r="E21" s="55"/>
      <c r="F21" s="37"/>
      <c r="G21" s="37"/>
      <c r="H21" s="37"/>
      <c r="I21" s="37"/>
      <c r="J21" s="37"/>
      <c r="K21" s="37"/>
    </row>
    <row r="22" spans="1:13" x14ac:dyDescent="0.25">
      <c r="B22" s="62"/>
      <c r="C22" s="55"/>
      <c r="D22" s="55"/>
      <c r="E22" s="55"/>
      <c r="F22" s="55"/>
      <c r="G22" s="55"/>
      <c r="H22" s="37"/>
      <c r="I22" s="37"/>
      <c r="J22" s="37"/>
      <c r="K22" s="37"/>
      <c r="L22" s="37"/>
      <c r="M22" s="37"/>
    </row>
  </sheetData>
  <sheetProtection algorithmName="SHA-512" hashValue="05Y8fCxRq5naeshANGQ+/AQ5Miz4IQ24V4emyuV2XQuKV7vHNk4vnvUQoEZGek6pd+K6b4te1LQlvpzEGSuMeg==" saltValue="0OvFlsT4OuFu41RViLErBA==" spinCount="100000" sheet="1" objects="1" scenarios="1"/>
  <dataConsolidate/>
  <dataValidations count="3">
    <dataValidation type="list" allowBlank="1" showInputMessage="1" showErrorMessage="1" sqref="K13:K14" xr:uid="{00000000-0002-0000-0000-000000000000}">
      <formula1>Employ</formula1>
    </dataValidation>
    <dataValidation type="list" allowBlank="1" showInputMessage="1" showErrorMessage="1" sqref="C4" xr:uid="{00000000-0002-0000-0000-000001000000}">
      <formula1>Submit</formula1>
    </dataValidation>
    <dataValidation type="list" allowBlank="1" showInputMessage="1" showErrorMessage="1" sqref="G4" xr:uid="{00000000-0002-0000-0000-000002000000}">
      <formula1>NoEmploy</formula1>
    </dataValidation>
  </dataValidations>
  <pageMargins left="0.7" right="0.7" top="0.75" bottom="0.75" header="0.3" footer="0.3"/>
  <pageSetup scale="91" fitToHeight="0"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68"/>
  <sheetViews>
    <sheetView topLeftCell="B1" workbookViewId="0">
      <selection activeCell="B1" sqref="B1"/>
    </sheetView>
  </sheetViews>
  <sheetFormatPr defaultColWidth="8.85546875" defaultRowHeight="14.25" customHeight="1" x14ac:dyDescent="0.2"/>
  <cols>
    <col min="1" max="1" width="16.42578125" style="80" hidden="1" customWidth="1"/>
    <col min="2" max="2" width="30.85546875" style="80" customWidth="1"/>
    <col min="3" max="3" width="24.85546875" style="80" customWidth="1"/>
    <col min="4" max="4" width="2.85546875" style="80" customWidth="1"/>
    <col min="5" max="5" width="13.85546875" style="80" customWidth="1"/>
    <col min="6" max="6" width="14" style="80" customWidth="1"/>
    <col min="7" max="7" width="26.42578125" style="80" customWidth="1"/>
    <col min="8" max="8" width="33.7109375" style="80" customWidth="1"/>
    <col min="9" max="9" width="28.5703125" style="80" customWidth="1"/>
    <col min="10" max="10" width="11.42578125" style="81" hidden="1" customWidth="1"/>
    <col min="11" max="11" width="14" style="81" hidden="1" customWidth="1"/>
    <col min="12" max="12" width="7" style="80" customWidth="1"/>
    <col min="13" max="13" width="26.85546875" style="80" customWidth="1"/>
    <col min="14" max="14" width="18.140625" style="80" customWidth="1"/>
    <col min="15" max="15" width="21" style="80" customWidth="1"/>
    <col min="16" max="16" width="20.42578125" style="80" hidden="1" customWidth="1"/>
    <col min="17" max="17" width="17.42578125" style="80" hidden="1" customWidth="1"/>
    <col min="18" max="18" width="16.42578125" style="80" hidden="1" customWidth="1"/>
    <col min="19" max="19" width="21.28515625" style="80" customWidth="1"/>
    <col min="20" max="16384" width="8.85546875" style="80"/>
  </cols>
  <sheetData>
    <row r="1" spans="2:19" ht="14.25" customHeight="1" x14ac:dyDescent="0.2">
      <c r="B1" s="277" t="s">
        <v>139</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48"/>
      <c r="M4" s="221" t="s">
        <v>0</v>
      </c>
      <c r="N4" s="215" t="s">
        <v>296</v>
      </c>
      <c r="O4" s="215" t="s">
        <v>298</v>
      </c>
      <c r="Q4" s="198" t="s">
        <v>187</v>
      </c>
      <c r="R4" s="198"/>
      <c r="S4" s="215" t="s">
        <v>298</v>
      </c>
    </row>
    <row r="5" spans="2:19" ht="14.25" customHeight="1" x14ac:dyDescent="0.2">
      <c r="B5" s="101"/>
      <c r="C5" s="101"/>
      <c r="D5" s="125"/>
      <c r="E5" s="125"/>
      <c r="F5" s="148"/>
      <c r="M5" s="109" t="s">
        <v>38</v>
      </c>
      <c r="N5" s="136">
        <f ca="1">MAX((IFERROR(OFFSET(G20,MATCH("primary crusher",$G$21:$G$28,0),1),0)),((IFERROR((OFFSET($G$36,MATCH("primary crusher",$G$37:$G$44,0),1)),0))),((IFERROR((OFFSET($G$51,MATCH("primary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crusher",$G$21:$G$28,0),3),0)),((IFERROR((OFFSET($G$36,MATCH("primary crusher",$G$37:$G$44,0),3)),0))),((IFERROR((OFFSET($G$51,MATCH("primary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crusher",$G$21:$G$28,0),4),0)),((IFERROR((OFFSET($G$36,MATCH("primary crusher",$G$37:$G$44,0),4)),0))),((IFERROR((OFFSET($G$51,MATCH("primary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$36,MATCH("screening",$G$37:$G$44,0)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$36,MATCH("screening",$G$37:$G$44,0)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$36,MATCH("screening",$G$37:$G$44,0)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crusher",$G$21:$G$28,0),1),0)),((IFERROR((OFFSET($G$36,MATCH("secondary crusher",$G$37:$G$44,0),1)),0))),((IFERROR((OFFSET($G$51,MATCH("secondary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crusher",$G$21:$G$28,0),3),0)),((IFERROR((OFFSET($G$36,MATCH("secondary crusher",$G$37:$G$44,0),3)),0))),((IFERROR((OFFSET($G$51,MATCH("secondary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crusher",$G$21:$G$28,0),4),0)),((IFERROR((OFFSET($G$36,MATCH("secondary crusher",$G$37:$G$44,0),4)),0))),((IFERROR((OFFSET($G$51,MATCH("secondary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crusher",$G$21:$G$28,0),1),0)),((IFERROR((OFFSET($G$36,MATCH("tertiary crusher",$G$37:$G$44,0),1)),0))),((IFERROR((OFFSET($G$51,MATCH("tertiary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crusher",$G$21:$G$28,0),3),0)),((IFERROR((OFFSET($G$36,MATCH("tertiary crusher",$G$37:$G$44,0),3)),0))),((IFERROR((OFFSET($G$51,MATCH("tertiary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crusher",$G$21:$G$28,0),4),0)),((IFERROR((OFFSET($G$36,MATCH("tertiary crusher",$G$37:$G$44,0),4)),0))),((IFERROR((OFFSET($G$51,MATCH("tertiary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crushing",$G$21:$G$28,0),1),0)),((IFERROR((OFFSET($G$36,MATCH("fines crushing",$G$37:$G$44,0),1)),0))),((IFERROR((OFFSET($G$51,MATCH("fines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crushing",$G$21:$G$28,0),3),0)),((IFERROR((OFFSET($G$36,MATCH("fines crushing",$G$37:$G$44,0),3)),0))),((IFERROR((OFFSET($G$51,MATCH("fines crushing",$G$52:$G$59,0),3)),0))),((IFERROR((OFFSET($G$66,MATCH("fines crushing",$G$67:$G$74,0),3)),0))),((IFERROR((OFFSET($G$81,MATCH("fines crushing",$G$82:$G$89,0),3)),0))),((IFERROR((OFFSET(G96,MATCH("fines crushing",$G$97:$G$104,0),3)),0))),((IFERROR((OFFSET(G111,ATCH("fines crushing",$G$112:$G$119,0),3)),0))),((IFERROR((OFFSET(G126,MATCH("fines crushing",$G$127:$G$134,0),3)),0))),((IFERROR((OFFSET(G141,MATCH("fines crushing",$G$142:$G$149,0),3)),0))),((IFERROR((OFFSET($G$156,MATCH("fines crushing",$G$157:$G$164,0),3)),0))))</f>
        <v>0</v>
      </c>
      <c r="S9" s="136">
        <f ca="1">SUM((IFERROR(OFFSET(G20,MATCH("fines crushing",$G$21:$G$28,0),4),0)),((IFERROR((OFFSET($G$36,MATCH("fines crushing",$G$37:$G$44,0),4)),0))),((IFERROR((OFFSET($G$51,MATCH("fines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screening",$G$21:$G$28,0),1),0)),((IFERROR((OFFSET($G$36,MATCH("fines screening",$G$37:$G$44,0),1)),0))),((IFERROR((OFFSET($G$51,MATCH("fines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screening",$G$21:$G$28,0),3),0)),((IFERROR((OFFSET($G$36,MATCH("fines screening",$G$37:$G$44,0),3)),0))),((IFERROR((OFFSET($G$51,MATCH("fines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screening",$G$21:$G$28,0),4),0)),((IFERROR((OFFSET($G$36,MATCH("fines screening",$G$37:$G$44,0),4)),0))),((IFERROR((OFFSET($G$51,MATCH("fines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stone",$G$21:$G$28,0),1),0)),((IFERROR((OFFSET($G$36,MATCH("wet drilling: unfragmented stone",$G$37:$G$44,0),1)),0))),((IFERROR((OFFSET($G$51,MATCH("wet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stone",$G$21:$G$28,0),3),0)),((IFERROR((OFFSET($G$36,MATCH("wet drilling: unfragmented stone",$G$37:$G$44,0),3)),0))),((IFERROR((OFFSET($G$51,MATCH("wet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stone",$G$21:$G$28,0),4),0)),((IFERROR((OFFSET($G$36,MATCH("wet drilling: unfragmented stone",$G$37:$G$44,0),4)),0))),((IFERROR((OFFSET($G$51,MATCH("wet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points",$G$21:$G$28,0),1),0)),((IFERROR((OFFSET($G$36,MATCH("conveyor transfer points",$G$37:$G$44,0),1)),0))),((IFERROR((OFFSET($G$51,MATCH("conveyor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points",$G$112:$G$119,0),1)),0))),((IFERROR((OFFSET(G127,MATCH("conveyor transfer points",$G$127:$G$134,0),1)),0))),((IFERROR((OFFSET(G141,MATCH("conveyor transfer points",$G$142:$G$149,0),1)),0))),((IFERROR((OFFSET($G$156,MATCH("conveyor transfer points",$G$157:$G$164,0),1)),0))))</f>
        <v>0</v>
      </c>
      <c r="O12" s="136">
        <f ca="1">SUM((IFERROR(OFFSET(G20,MATCH("conveyor transfer points",$G$21:$G$28,0),3),0)),((IFERROR((OFFSET($G$36,MATCH("conveyor transfer points",$G$37:$G$44,0),3)),0))),((IFERROR((OFFSET($G$51,MATCH("conveyor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points",$G$21:$G$28,0),4),0)),((IFERROR((OFFSET($G$36,MATCH("conveyor transfer points",$G$37:$G$44,0),4)),0))),((IFERROR((OFFSET($G$51,MATCH("conveyor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SUM(G32,G48,G63,G78,G93,G108,G123,G138,G153,G168)</f>
        <v>0</v>
      </c>
      <c r="O14" s="110">
        <f>SUM(H32*I32,H48*I48,H63*I63,H78*I78,H93*I93,H108*I108,H123*I123,H138*I138,H153*I153,H168*I168)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A18" s="84"/>
      <c r="B18" s="173"/>
      <c r="C18" s="59"/>
      <c r="N18" s="216" t="s">
        <v>295</v>
      </c>
      <c r="P18" s="216" t="s">
        <v>302</v>
      </c>
      <c r="Q18" s="216" t="s">
        <v>303</v>
      </c>
      <c r="R18" s="216" t="s">
        <v>291</v>
      </c>
      <c r="S18" s="216" t="s">
        <v>300</v>
      </c>
    </row>
    <row r="19" spans="1:19" ht="14.25" customHeight="1" x14ac:dyDescent="0.25">
      <c r="B19" s="82" t="s">
        <v>85</v>
      </c>
      <c r="C19" s="83" t="s">
        <v>136</v>
      </c>
      <c r="E19" s="213" t="s">
        <v>245</v>
      </c>
      <c r="F19" s="213" t="s">
        <v>204</v>
      </c>
      <c r="G19" s="373"/>
      <c r="H19" s="220" t="s">
        <v>320</v>
      </c>
      <c r="I19" s="373"/>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213" t="str">
        <f>('Facility Information'!G5&amp;" Annual Throughput (tons)")</f>
        <v xml:space="preserve"> Annual Throughput (tons)</v>
      </c>
      <c r="J20" s="81" t="s">
        <v>132</v>
      </c>
      <c r="K20" s="81" t="s">
        <v>133</v>
      </c>
      <c r="M20" s="109" t="s">
        <v>38</v>
      </c>
      <c r="N20" s="131">
        <f t="shared" ref="N20:N27" ca="1" si="0">N5</f>
        <v>0</v>
      </c>
      <c r="O20" s="141">
        <f ca="1">IF(N20=0,0,IF(OR($C$25="no",$C$41="no",$C$56="no",$C$71="no",$C$86="no",$C$102="no",$C$117="no",$C$132="no",$C$147="no",$C$162="no"),'Emission Factors'!D8,'Emission Factors'!D20))</f>
        <v>0</v>
      </c>
      <c r="P20" s="131" t="str">
        <f t="shared" ref="P20:P27" si="1">IF(OR($C$25="no",$C$41="no",$C$56="no",$C$71="no",$C$86="no",$C$102="no",$C$117="no",$C$132="no",$C$147="no",$C$162="no"),N20*O20,"")</f>
        <v/>
      </c>
      <c r="Q20" s="131">
        <f t="shared" ref="Q20:Q27" ca="1" si="2">IF($F$10&gt;0,$F$10,IF(OR($C$25="no",$C$41="no",$C$56="no",$C$71="no",$C$86="no",$C$102="no",$C$117="no",$C$132="no",$C$147="no",$C$162="no"),"",N20*O20))</f>
        <v>0</v>
      </c>
      <c r="R20" s="131">
        <f ca="1">IF($G$10&gt;0,$G$10,IF($C$9&gt;0,$C$9*O20/2000,IF($C$10&gt;0,$C$10*365*O20/2000,IF($C$11&gt;0,$C$11*365*O20*N20/2000,IF(Q20="",P20*8760/2000,Q20*8760/2000)))))</f>
        <v>0</v>
      </c>
      <c r="S20" s="143">
        <f ca="1">(O5*'Emission Factors'!D8/2000)+('Emission Factors'!D20*S5/2000)</f>
        <v>0</v>
      </c>
    </row>
    <row r="21" spans="1:19" ht="14.25" customHeight="1" x14ac:dyDescent="0.2">
      <c r="A21" s="80" t="s">
        <v>33</v>
      </c>
      <c r="B21" s="85" t="s">
        <v>91</v>
      </c>
      <c r="C21" s="73"/>
      <c r="D21" s="55"/>
      <c r="E21" s="165" t="str">
        <f>IF(G21="","","LP-1 EP-1")</f>
        <v/>
      </c>
      <c r="F21" s="165" t="str">
        <f>IF(G21="","",IF(G21="primary crusher","LP-1 EU-1",IF(G21="screening","LP-1 EU-2",IF(G21="secondary crusher","LP-1 EU-3",IF(G21="tertiary crusher","LP-1 EU-4",IF(G21="fines crushing","LP-1 EU-5",IF(G21="fines screening","LP-1 EU-6",IF(G21="wet drilling: unfragmented stone","LP-1 EU-7",IF(G21="conveyor transfer points","LP-1 EU-8")))))))))</f>
        <v/>
      </c>
      <c r="G21" s="98"/>
      <c r="H21" s="71"/>
      <c r="I21" s="184"/>
      <c r="J21" s="81">
        <f>IF($C25="no",I21,0)</f>
        <v>0</v>
      </c>
      <c r="K21" s="81">
        <f t="shared" ref="K21:K28" si="3">IF($C$25="yes",I21,0)</f>
        <v>0</v>
      </c>
      <c r="M21" s="109" t="s">
        <v>36</v>
      </c>
      <c r="N21" s="131">
        <f t="shared" ca="1" si="0"/>
        <v>0</v>
      </c>
      <c r="O21" s="141">
        <f ca="1">IF(N21=0,0,IF(OR($C$25="no",$C$41="no",$C$56="no",$C$71="no",$C$86="no",$C$102="no",$C$117="no",$C$132="no",$C$147="no",$C$162="no"),'Emission Factors'!D9,'Emission Factors'!D21))</f>
        <v>0</v>
      </c>
      <c r="P21" s="131" t="str">
        <f t="shared" si="1"/>
        <v/>
      </c>
      <c r="Q21" s="131">
        <f t="shared" ca="1" si="2"/>
        <v>0</v>
      </c>
      <c r="R21" s="131">
        <f t="shared" ref="R21:R27" ca="1" si="4">IF($G$10&gt;0,"",IF($C$9&gt;0,$C$9*O21/2000,IF($C$10&gt;0,$C$10*365*O21/2000,IF($C$11&gt;0,$C$11*365*O21*N21/2000,IF(Q21="",P21*8760/2000,Q21*8760/2000)))))</f>
        <v>0</v>
      </c>
      <c r="S21" s="143">
        <f ca="1">(O6*'Emission Factors'!D9/2000)+('Emission Factors'!D21*S6/2000)</f>
        <v>0</v>
      </c>
    </row>
    <row r="22" spans="1:19" ht="14.25" customHeight="1" x14ac:dyDescent="0.2">
      <c r="A22" s="80" t="s">
        <v>34</v>
      </c>
      <c r="B22" s="85" t="s">
        <v>92</v>
      </c>
      <c r="C22" s="73"/>
      <c r="D22" s="55"/>
      <c r="E22" s="165" t="str">
        <f t="shared" ref="E22:E28" si="5">IF(G22="","","LP-1 EP-1")</f>
        <v/>
      </c>
      <c r="F22" s="165" t="str">
        <f t="shared" ref="F22:F28" si="6">IF(G22="","",IF(G22="primary crusher","LP-1 EU-1",IF(G22="screening","LP-1 EU-2",IF(G22="secondary crusher","LP-1 EU-3",IF(G22="tertiary crusher","LP-1 EU-4",IF(G22="fines crushing","LP-1 EU-5",IF(G22="fines screening","LP-1 EU-6",IF(G22="wet drilling: unfragmented stone","LP-1 EU-7",IF(G22="conveyor transfer points","LP-1 EU-8")))))))))</f>
        <v/>
      </c>
      <c r="G22" s="98"/>
      <c r="H22" s="71"/>
      <c r="I22" s="184"/>
      <c r="J22" s="81">
        <f t="shared" ref="J22:J28" si="7">IF($C$25="no",I22,0)</f>
        <v>0</v>
      </c>
      <c r="K22" s="81">
        <f t="shared" si="3"/>
        <v>0</v>
      </c>
      <c r="M22" s="109" t="s">
        <v>37</v>
      </c>
      <c r="N22" s="131">
        <f t="shared" ca="1" si="0"/>
        <v>0</v>
      </c>
      <c r="O22" s="141">
        <f ca="1">IF(N22=0,0,IF(OR($C$25="no",$C$41="no",$C$56="no",$C$71="no",$C$86="no",$C$102="no",$C$117="no",$C$132="no",$C$147="no",$C$162="no"),'Emission Factors'!D10,'Emission Factors'!D22))</f>
        <v>0</v>
      </c>
      <c r="P22" s="131" t="str">
        <f t="shared" si="1"/>
        <v/>
      </c>
      <c r="Q22" s="131">
        <f t="shared" ca="1" si="2"/>
        <v>0</v>
      </c>
      <c r="R22" s="131">
        <f t="shared" ca="1" si="4"/>
        <v>0</v>
      </c>
      <c r="S22" s="143">
        <f ca="1">(O7*'Emission Factors'!D10/2000)+('Emission Factors'!D22*S7/2000)</f>
        <v>0</v>
      </c>
    </row>
    <row r="23" spans="1:19" ht="14.25" customHeight="1" x14ac:dyDescent="0.2">
      <c r="B23" s="85" t="s">
        <v>93</v>
      </c>
      <c r="C23" s="73"/>
      <c r="D23" s="55"/>
      <c r="E23" s="165" t="str">
        <f>IF(G23="","","LP-1 EP-1")</f>
        <v/>
      </c>
      <c r="F23" s="165" t="str">
        <f t="shared" si="6"/>
        <v/>
      </c>
      <c r="G23" s="98"/>
      <c r="H23" s="71"/>
      <c r="I23" s="184"/>
      <c r="J23" s="81">
        <f t="shared" si="7"/>
        <v>0</v>
      </c>
      <c r="K23" s="81">
        <f t="shared" si="3"/>
        <v>0</v>
      </c>
      <c r="M23" s="109" t="s">
        <v>39</v>
      </c>
      <c r="N23" s="131">
        <f t="shared" ca="1" si="0"/>
        <v>0</v>
      </c>
      <c r="O23" s="141">
        <f ca="1">IF(N23=0,0,IF(OR(C25="no",C41="no",C56="no",C71="no",C86="no",C102="no",C117="no",C132="no",C147="no",C162="no"),'Emission Factors'!D12,'Emission Factors'!D24))</f>
        <v>0</v>
      </c>
      <c r="P23" s="131" t="str">
        <f t="shared" si="1"/>
        <v/>
      </c>
      <c r="Q23" s="131">
        <f t="shared" ca="1" si="2"/>
        <v>0</v>
      </c>
      <c r="R23" s="131">
        <f t="shared" ca="1" si="4"/>
        <v>0</v>
      </c>
      <c r="S23" s="143">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1">
        <f t="shared" ca="1" si="0"/>
        <v>0</v>
      </c>
      <c r="O24" s="141">
        <f ca="1">IF(N24=0,0,IF(OR($C$25="no",$C$41="no",$C$56="no",$C$71="no",$C$86="no",$C$102="no",$C$117="no",$C$132="no",$C$147="no",$C$162="no"),'Emission Factors'!D6,'Emission Factors'!D18))</f>
        <v>0</v>
      </c>
      <c r="P24" s="131" t="str">
        <f t="shared" si="1"/>
        <v/>
      </c>
      <c r="Q24" s="131">
        <f t="shared" ca="1" si="2"/>
        <v>0</v>
      </c>
      <c r="R24" s="131">
        <f t="shared" ca="1" si="4"/>
        <v>0</v>
      </c>
      <c r="S24" s="143">
        <f ca="1">(O9*'Emission Factors'!D6/2000)+('Emission Factors'!D18*S9/2000)</f>
        <v>0</v>
      </c>
    </row>
    <row r="25" spans="1:19" ht="14.25" customHeight="1" x14ac:dyDescent="0.25">
      <c r="A25" s="6" t="s">
        <v>36</v>
      </c>
      <c r="B25" s="282" t="s">
        <v>192</v>
      </c>
      <c r="C25" s="283"/>
      <c r="D25" s="55"/>
      <c r="E25" s="165" t="str">
        <f t="shared" si="5"/>
        <v/>
      </c>
      <c r="F25" s="165" t="str">
        <f t="shared" si="6"/>
        <v/>
      </c>
      <c r="G25" s="98"/>
      <c r="H25" s="71"/>
      <c r="I25" s="184"/>
      <c r="J25" s="81">
        <f t="shared" si="7"/>
        <v>0</v>
      </c>
      <c r="K25" s="81">
        <f t="shared" si="3"/>
        <v>0</v>
      </c>
      <c r="M25" s="109" t="s">
        <v>41</v>
      </c>
      <c r="N25" s="131">
        <f t="shared" ca="1" si="0"/>
        <v>0</v>
      </c>
      <c r="O25" s="141">
        <f ca="1">IF(N25=0,0,IF(OR($C$25="no",$C$41="no",$C$56="no",$C$71="no",$C$86="no",$C$102="no",$C$117="no",$C$132="no",$C$147="no",$C$162="no"),'Emission Factors'!D7,'Emission Factors'!D19))</f>
        <v>0</v>
      </c>
      <c r="P25" s="131" t="str">
        <f t="shared" si="1"/>
        <v/>
      </c>
      <c r="Q25" s="131">
        <f t="shared" ca="1" si="2"/>
        <v>0</v>
      </c>
      <c r="R25" s="131">
        <f t="shared" ca="1" si="4"/>
        <v>0</v>
      </c>
      <c r="S25" s="143">
        <f ca="1">(O10*'Emission Factors'!D7/2000)+('Emission Factors'!D19*S10/2000)</f>
        <v>0</v>
      </c>
    </row>
    <row r="26" spans="1:19" ht="14.25" customHeight="1" x14ac:dyDescent="0.25">
      <c r="A26" s="6" t="s">
        <v>37</v>
      </c>
      <c r="B26" s="284" t="s">
        <v>193</v>
      </c>
      <c r="C26" s="279"/>
      <c r="D26" s="55"/>
      <c r="E26" s="165" t="str">
        <f t="shared" si="5"/>
        <v/>
      </c>
      <c r="F26" s="165" t="str">
        <f t="shared" si="6"/>
        <v/>
      </c>
      <c r="G26" s="98"/>
      <c r="H26" s="71"/>
      <c r="I26" s="184"/>
      <c r="J26" s="81">
        <f t="shared" si="7"/>
        <v>0</v>
      </c>
      <c r="K26" s="81">
        <f t="shared" si="3"/>
        <v>0</v>
      </c>
      <c r="M26" s="109" t="s">
        <v>42</v>
      </c>
      <c r="N26" s="131">
        <f t="shared" ca="1" si="0"/>
        <v>0</v>
      </c>
      <c r="O26" s="141">
        <f ca="1">IF(N26=0,0,IF(OR(C25="no",C41="no",C56="no",C71="no",C86="no",C102="no",C117="no",C132="no",C147="no",C162="no"),'Emission Factors'!D13,'Emission Factors'!D25))</f>
        <v>0</v>
      </c>
      <c r="P26" s="132" t="str">
        <f t="shared" si="1"/>
        <v/>
      </c>
      <c r="Q26" s="131">
        <f t="shared" ca="1" si="2"/>
        <v>0</v>
      </c>
      <c r="R26" s="131">
        <f t="shared" ca="1" si="4"/>
        <v>0</v>
      </c>
      <c r="S26" s="143">
        <f ca="1">(O11*'Emission Factors'!D13/2000)+('Emission Factors'!D25*S11/2000)</f>
        <v>0</v>
      </c>
    </row>
    <row r="27" spans="1:19" ht="14.25" customHeight="1" x14ac:dyDescent="0.25">
      <c r="A27" s="6" t="s">
        <v>39</v>
      </c>
      <c r="B27" s="55"/>
      <c r="C27" s="55"/>
      <c r="D27" s="55"/>
      <c r="E27" s="165" t="str">
        <f t="shared" si="5"/>
        <v/>
      </c>
      <c r="F27" s="165" t="str">
        <f t="shared" si="6"/>
        <v/>
      </c>
      <c r="G27" s="98"/>
      <c r="H27" s="71"/>
      <c r="I27" s="184"/>
      <c r="J27" s="81">
        <f t="shared" si="7"/>
        <v>0</v>
      </c>
      <c r="K27" s="81">
        <f t="shared" si="3"/>
        <v>0</v>
      </c>
      <c r="M27" s="109" t="s">
        <v>43</v>
      </c>
      <c r="N27" s="131">
        <f t="shared" ca="1" si="0"/>
        <v>0</v>
      </c>
      <c r="O27" s="141">
        <f ca="1">IF(N27=0,0,IF(OR(C25="no",C41="no",C56="no",C71="no",C86="no",C102="no",C117="no",C132="no",C147="no",C162="no"),'Emission Factors'!D5,'Emission Factors'!D17))</f>
        <v>0</v>
      </c>
      <c r="P27" s="131" t="str">
        <f t="shared" si="1"/>
        <v/>
      </c>
      <c r="Q27" s="131">
        <f t="shared" ca="1" si="2"/>
        <v>0</v>
      </c>
      <c r="R27" s="131">
        <f t="shared" ca="1" si="4"/>
        <v>0</v>
      </c>
      <c r="S27" s="143">
        <f ca="1">(O12*'Emission Factors'!D5/2000)+('Emission Factors'!D17*S12/2000)</f>
        <v>0</v>
      </c>
    </row>
    <row r="28" spans="1:19" ht="14.25" customHeight="1" x14ac:dyDescent="0.25">
      <c r="A28" s="6" t="s">
        <v>40</v>
      </c>
      <c r="B28" s="55"/>
      <c r="C28" s="55"/>
      <c r="D28" s="55"/>
      <c r="E28" s="165" t="str">
        <f t="shared" si="5"/>
        <v/>
      </c>
      <c r="F28" s="165" t="str">
        <f t="shared" si="6"/>
        <v/>
      </c>
      <c r="G28" s="98"/>
      <c r="H28" s="71"/>
      <c r="I28" s="184"/>
      <c r="J28" s="81">
        <f t="shared" si="7"/>
        <v>0</v>
      </c>
      <c r="K28" s="81">
        <f t="shared" si="3"/>
        <v>0</v>
      </c>
      <c r="M28" s="108" t="s">
        <v>16</v>
      </c>
      <c r="N28" s="133"/>
      <c r="O28" s="142"/>
      <c r="P28" s="134"/>
      <c r="Q28" s="134"/>
      <c r="R28" s="134"/>
      <c r="S28" s="144"/>
    </row>
    <row r="29" spans="1:19" ht="14.25" customHeight="1" x14ac:dyDescent="0.25">
      <c r="A29" s="6" t="s">
        <v>41</v>
      </c>
      <c r="B29" s="55"/>
      <c r="D29" s="55"/>
      <c r="E29" s="55"/>
      <c r="F29" s="55"/>
      <c r="M29" s="109" t="s">
        <v>38</v>
      </c>
      <c r="N29" s="131">
        <f ca="1">N5</f>
        <v>0</v>
      </c>
      <c r="O29" s="141">
        <f ca="1">IF(N29=0,0,IF(OR($C$25="no",$C$41="no",$C$56="no",$C$71="no",$C$86="no",$C$102="no",$C$117="no",$C$132="no",$C$147="no",$C$162="no"),'Emission Factors'!F8,'Emission Factors'!F20))</f>
        <v>0</v>
      </c>
      <c r="P29" s="131" t="str">
        <f t="shared" ref="P29:P36" si="8">IF(OR($C$25="no",$C$41="no",$C$56="no",$C$71="no",$C$86="no",$C$102="no",$C$117="no",$C$132="no",$C$147="no",$C$162="no"),N29*O29,"")</f>
        <v/>
      </c>
      <c r="Q29" s="131">
        <f t="shared" ref="Q29:Q36" ca="1" si="9">IF($F$11&gt;0,$F$11,IF(OR($C$25="no",$C$41="no",$C$56="no",$C$71="no",$C$86="no",$C$102="no",$C$117="no",$C$132="no",$C$147="no",$C$162="no"),"",N29*O29))</f>
        <v>0</v>
      </c>
      <c r="R29" s="131">
        <f ca="1">IF($G$11&gt;0,$G$11,IF($C$9&gt;0,$C$9*O29/2000,IF($C$10&gt;0,$C$10*365*O29/2000,IF($C$11&gt;0,$C$11*365*O29*N29/2000,IF(Q29="",P29*8760/2000,Q29*8760/2000)))))</f>
        <v>0</v>
      </c>
      <c r="S29" s="143">
        <f ca="1">(O5*'Emission Factors'!F8/2000)+('Emission Factors'!F20*S5/2000)</f>
        <v>0</v>
      </c>
    </row>
    <row r="30" spans="1:19" ht="14.25" customHeight="1" x14ac:dyDescent="0.25">
      <c r="A30" s="6" t="s">
        <v>42</v>
      </c>
      <c r="B30" s="55"/>
      <c r="E30" s="88" t="s">
        <v>86</v>
      </c>
      <c r="F30" s="88"/>
      <c r="G30" s="89"/>
      <c r="M30" s="109" t="s">
        <v>36</v>
      </c>
      <c r="N30" s="131">
        <f t="shared" ref="N30:N36" ca="1" si="10">N6</f>
        <v>0</v>
      </c>
      <c r="O30" s="141">
        <f ca="1">IF(N30=0,0,IF(OR($C$25="no",$C$41="no",$C$56="no",$C$71="no",$C$86="no",$C$102="no",$C$117="no",$C$132="no",$C$147="no",$C$162="no"),'Emission Factors'!F9,'Emission Factors'!F21))</f>
        <v>0</v>
      </c>
      <c r="P30" s="135" t="str">
        <f t="shared" si="8"/>
        <v/>
      </c>
      <c r="Q30" s="131">
        <f t="shared" ca="1" si="9"/>
        <v>0</v>
      </c>
      <c r="R30" s="131">
        <f t="shared" ref="R30:R36" ca="1" si="11">IF($G$11&gt;0,"",IF($C$9&gt;0,$C$9*O30/2000,IF($C$10&gt;0,$C$10*365*O30/2000,IF($C$11&gt;0,$C$11*365*O30*N30/2000,IF(Q30="",P30*8760/2000,Q30*8760/2000)))))</f>
        <v>0</v>
      </c>
      <c r="S30" s="143">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1">
        <f t="shared" ca="1" si="10"/>
        <v>0</v>
      </c>
      <c r="O31" s="141">
        <f ca="1">IF(N31=0,0,IF(OR($C$25="no",$C$41="no",$C$56="no",$C$71="no",$C$86="no",$C$102="no",$C$117="no",$C$132="no",$C$147="no",$C$162="no"),'Emission Factors'!F10,'Emission Factors'!F22))</f>
        <v>0</v>
      </c>
      <c r="P31" s="131" t="str">
        <f t="shared" si="8"/>
        <v/>
      </c>
      <c r="Q31" s="131">
        <f t="shared" ca="1" si="9"/>
        <v>0</v>
      </c>
      <c r="R31" s="131">
        <f t="shared" ca="1" si="11"/>
        <v>0</v>
      </c>
      <c r="S31" s="143">
        <f ca="1">(O7*'Emission Factors'!F10/2000)+('Emission Factors'!F22*S7/2000)</f>
        <v>0</v>
      </c>
    </row>
    <row r="32" spans="1:19" ht="14.25" customHeight="1" x14ac:dyDescent="0.2">
      <c r="B32" s="55"/>
      <c r="F32" s="74"/>
      <c r="G32" s="126"/>
      <c r="H32" s="75"/>
      <c r="I32" s="126"/>
      <c r="M32" s="109" t="s">
        <v>39</v>
      </c>
      <c r="N32" s="131">
        <f t="shared" ca="1" si="10"/>
        <v>0</v>
      </c>
      <c r="O32" s="141">
        <f ca="1">IF(N32=0,0,IF(OR(C25="no",C41="no",C56="no",C71="no",C86="no",C102="no",C117="no",C132="no",C147="no",C162="no"),'Emission Factors'!F12,'Emission Factors'!F24))</f>
        <v>0</v>
      </c>
      <c r="P32" s="131" t="str">
        <f t="shared" si="8"/>
        <v/>
      </c>
      <c r="Q32" s="131">
        <f t="shared" ca="1" si="9"/>
        <v>0</v>
      </c>
      <c r="R32" s="131">
        <f t="shared" ca="1" si="11"/>
        <v>0</v>
      </c>
      <c r="S32" s="143">
        <f ca="1">(O8*'Emission Factors'!F12/2000)+('Emission Factors'!F24*S8/2000)</f>
        <v>0</v>
      </c>
    </row>
    <row r="33" spans="1:19" ht="14.25" customHeight="1" x14ac:dyDescent="0.2">
      <c r="B33" s="55"/>
      <c r="M33" s="109" t="s">
        <v>40</v>
      </c>
      <c r="N33" s="131">
        <f t="shared" ca="1" si="10"/>
        <v>0</v>
      </c>
      <c r="O33" s="141">
        <f ca="1">IF(N33=0,0,IF(OR(C25="no",C41="no",C56="no",C71="no",C86="no",C102="no",C117="no",C132="no",C147="no",C162="no"),'Emission Factors'!F6,'Emission Factors'!F18))</f>
        <v>0</v>
      </c>
      <c r="P33" s="131" t="str">
        <f t="shared" si="8"/>
        <v/>
      </c>
      <c r="Q33" s="131">
        <f t="shared" ca="1" si="9"/>
        <v>0</v>
      </c>
      <c r="R33" s="131">
        <f t="shared" ca="1" si="11"/>
        <v>0</v>
      </c>
      <c r="S33" s="143">
        <f ca="1">(O9*'Emission Factors'!F6/2000)+('Emission Factors'!F18*S9/2000)</f>
        <v>0</v>
      </c>
    </row>
    <row r="34" spans="1:19" ht="14.25" customHeight="1" x14ac:dyDescent="0.2">
      <c r="A34" s="80">
        <f>C21</f>
        <v>0</v>
      </c>
      <c r="M34" s="109" t="s">
        <v>41</v>
      </c>
      <c r="N34" s="131">
        <f t="shared" ca="1" si="10"/>
        <v>0</v>
      </c>
      <c r="O34" s="141">
        <f ca="1">IF(N34=0,0,IF(OR(C25="no",C41="no",C56="no",C71="no",C86="no",C102="no",C117="no",C132="no",C147="no",C162="no"),'Emission Factors'!F7,'Emission Factors'!F19))</f>
        <v>0</v>
      </c>
      <c r="P34" s="131" t="str">
        <f t="shared" si="8"/>
        <v/>
      </c>
      <c r="Q34" s="131">
        <f t="shared" ca="1" si="9"/>
        <v>0</v>
      </c>
      <c r="R34" s="131">
        <f t="shared" ca="1" si="11"/>
        <v>0</v>
      </c>
      <c r="S34" s="143">
        <f ca="1">(O10*'Emission Factors'!F7/2000)+('Emission Factors'!F19*S10/2000)</f>
        <v>0</v>
      </c>
    </row>
    <row r="35" spans="1:19" ht="28.5" customHeight="1" x14ac:dyDescent="0.25">
      <c r="A35" s="80">
        <f>C37</f>
        <v>0</v>
      </c>
      <c r="B35" s="92" t="str">
        <f>IF('Limestone Plant (LP-1)'!$E$4&gt;1,"CRUSHER PLANT","")</f>
        <v/>
      </c>
      <c r="C35" s="84" t="str">
        <f>IF('Limestone Plant (LP-1)'!$E$4&gt;1,"Site 2","")</f>
        <v/>
      </c>
      <c r="E35" s="213" t="str">
        <f>IF('Limestone Plant (LP-1)'!$E$4&gt;1,"Emission Point #","")</f>
        <v/>
      </c>
      <c r="F35" s="213" t="str">
        <f>IF('Limestone Plant (LP-1)'!$E$4&gt;1,"Emission     Unit #","")</f>
        <v/>
      </c>
      <c r="G35" s="213" t="str">
        <f>IF('Limestone Plant (LP-1)'!$E$4&gt;1,"Processes","")</f>
        <v/>
      </c>
      <c r="H35" s="220" t="str">
        <f>IF('Limestone Plant (LP-1)'!$E$4&gt;1,"Combined Maximum Hourly Design Rate for all Like Processes (tons/hr)","")</f>
        <v/>
      </c>
      <c r="I35" s="213" t="str">
        <f>IF('Limestone Plant (LP-1)'!$E$4&gt;1,('Facility Information'!G5&amp;" Annual Throughput (tons)"),"")</f>
        <v/>
      </c>
      <c r="M35" s="109" t="s">
        <v>42</v>
      </c>
      <c r="N35" s="131">
        <f t="shared" ca="1" si="10"/>
        <v>0</v>
      </c>
      <c r="O35" s="141">
        <f ca="1">IF(N35=0,0,IF(OR(C25="no",C41="no",C56="no",C71="no",C86="no",C102="no",C117="no",C132="no",C147="no",C162="no"),'Emission Factors'!F13,'Emission Factors'!F25))</f>
        <v>0</v>
      </c>
      <c r="P35" s="131" t="str">
        <f t="shared" si="8"/>
        <v/>
      </c>
      <c r="Q35" s="131">
        <f t="shared" ca="1" si="9"/>
        <v>0</v>
      </c>
      <c r="R35" s="131">
        <f t="shared" ca="1" si="11"/>
        <v>0</v>
      </c>
      <c r="S35" s="143">
        <f ca="1">(O11*'Emission Factors'!F13/2000)+('Emission Factors'!F25*S11/2000)</f>
        <v>0</v>
      </c>
    </row>
    <row r="36" spans="1:19" ht="14.25" customHeight="1" x14ac:dyDescent="0.2">
      <c r="A36" s="80">
        <f>C52</f>
        <v>0</v>
      </c>
      <c r="B36" s="84"/>
      <c r="D36" s="55"/>
      <c r="F36" s="371"/>
      <c r="G36" s="371"/>
      <c r="H36" s="372"/>
      <c r="I36" s="372"/>
      <c r="M36" s="109" t="s">
        <v>43</v>
      </c>
      <c r="N36" s="131">
        <f t="shared" ca="1" si="10"/>
        <v>0</v>
      </c>
      <c r="O36" s="141">
        <f ca="1">IF(N36=0,0,IF(OR(C25="no",C41="no",C56="no",C71="no",C86="no",C102="no",C117="no",C132="no",C147="no",C162="no"),'Emission Factors'!F5,'Emission Factors'!F17))</f>
        <v>0</v>
      </c>
      <c r="P36" s="131" t="str">
        <f t="shared" si="8"/>
        <v/>
      </c>
      <c r="Q36" s="131">
        <f t="shared" ca="1" si="9"/>
        <v>0</v>
      </c>
      <c r="R36" s="131">
        <f t="shared" ca="1" si="11"/>
        <v>0</v>
      </c>
      <c r="S36" s="143">
        <f ca="1">(O12*'Emission Factors'!F5/2000)+('Emission Factors'!F17*S12/2000)</f>
        <v>0</v>
      </c>
    </row>
    <row r="37" spans="1:19" ht="14.25" customHeight="1" x14ac:dyDescent="0.2">
      <c r="A37" s="80">
        <f>C67</f>
        <v>0</v>
      </c>
      <c r="B37" s="94" t="str">
        <f>IF('Limestone Plant (LP-1)'!$E$4&gt;1,"Site Name:","")</f>
        <v/>
      </c>
      <c r="C37" s="76"/>
      <c r="D37" s="55"/>
      <c r="E37" s="166" t="str">
        <f>IF(G37="","","LP-1 EP-1")</f>
        <v/>
      </c>
      <c r="F37" s="166" t="str">
        <f>IF(G37="","",IF(G37="primary crusher","LP-1 EU-1",IF(G37="screening","LP-1 EU-2",IF(G37="secondary crusher","LP-1 EU-3",IF(G37="tertiary crusher","LP-1 EU-4",IF(G37="fines crushing","LP-1 EU-5",IF(G37="fines screening","LP-1 EU-6",IF(G37="wet drilling: unfragmented stone","LP-1 EU-7",IF(G37="conveyor transfer points","LP-1 EU-8")))))))))</f>
        <v/>
      </c>
      <c r="G37" s="98"/>
      <c r="H37" s="71"/>
      <c r="I37" s="184"/>
      <c r="J37" s="81">
        <f t="shared" ref="J37:J44" si="12">IF($C$41="no",I37,0)</f>
        <v>0</v>
      </c>
      <c r="K37" s="81">
        <f t="shared" ref="K37:K44" si="13">IF($C$41="yes",I37,0)</f>
        <v>0</v>
      </c>
    </row>
    <row r="38" spans="1:19" ht="14.25" customHeight="1" x14ac:dyDescent="0.2">
      <c r="A38" s="80">
        <f>C82</f>
        <v>0</v>
      </c>
      <c r="B38" s="94" t="str">
        <f>IF('Limestone Plant (LP-1)'!$E$4&gt;1,"County:","")</f>
        <v/>
      </c>
      <c r="C38" s="76"/>
      <c r="D38" s="55"/>
      <c r="E38" s="166" t="str">
        <f t="shared" ref="E38:E44" si="14">IF(G38="","","LP-1 EP-1")</f>
        <v/>
      </c>
      <c r="F38" s="166" t="str">
        <f t="shared" ref="F38:F44" si="15">IF(G38="","",IF(G38="primary crusher","LP-1 EU-1",IF(G38="screening","LP-1 EU-2",IF(G38="secondary crusher","LP-1 EU-3",IF(G38="tertiary crusher","LP-1 EU-4",IF(G38="fines crushing","LP-1 EU-5",IF(G38="fines screening","LP-1 EU-6",IF(G38="wet drilling: unfragmented stone","LP-1 EU-7",IF(G38="conveyor transfer points","LP-1 EU-8")))))))))</f>
        <v/>
      </c>
      <c r="G38" s="98"/>
      <c r="H38" s="71"/>
      <c r="I38" s="184"/>
      <c r="J38" s="81">
        <f t="shared" si="12"/>
        <v>0</v>
      </c>
      <c r="K38" s="81">
        <f t="shared" si="13"/>
        <v>0</v>
      </c>
      <c r="N38" s="216" t="s">
        <v>295</v>
      </c>
      <c r="O38" s="216" t="s">
        <v>13</v>
      </c>
      <c r="P38" s="345" t="s">
        <v>304</v>
      </c>
      <c r="Q38" s="216" t="s">
        <v>303</v>
      </c>
      <c r="R38" s="216" t="s">
        <v>289</v>
      </c>
      <c r="S38" s="216" t="s">
        <v>300</v>
      </c>
    </row>
    <row r="39" spans="1:19" ht="14.25" customHeight="1" x14ac:dyDescent="0.2">
      <c r="A39" s="80">
        <f>C98</f>
        <v>0</v>
      </c>
      <c r="B39" s="94" t="str">
        <f>IF('Limestone Plant (LP-1)'!$E$4&gt;1,"Crushing Period (Dates):","")</f>
        <v/>
      </c>
      <c r="C39" s="76"/>
      <c r="D39" s="55"/>
      <c r="E39" s="166" t="str">
        <f t="shared" si="14"/>
        <v/>
      </c>
      <c r="F39" s="166" t="str">
        <f t="shared" si="15"/>
        <v/>
      </c>
      <c r="G39" s="98"/>
      <c r="H39" s="71"/>
      <c r="I39" s="184"/>
      <c r="J39" s="81">
        <f t="shared" si="12"/>
        <v>0</v>
      </c>
      <c r="K39" s="81">
        <f t="shared" si="13"/>
        <v>0</v>
      </c>
      <c r="M39" s="81" t="s">
        <v>44</v>
      </c>
      <c r="N39" s="216" t="s">
        <v>296</v>
      </c>
      <c r="O39" s="221" t="s">
        <v>301</v>
      </c>
      <c r="P39" s="345" t="s">
        <v>249</v>
      </c>
      <c r="Q39" s="216" t="s">
        <v>249</v>
      </c>
      <c r="R39" s="216" t="s">
        <v>253</v>
      </c>
      <c r="S39" s="216" t="s">
        <v>253</v>
      </c>
    </row>
    <row r="40" spans="1:19" ht="14.25" customHeight="1" x14ac:dyDescent="0.2">
      <c r="A40" s="80">
        <f>C113</f>
        <v>0</v>
      </c>
      <c r="B40" s="281" t="str">
        <f>IF('Limestone Plant (LP-1)'!$E$4&gt;1,"Controlled with Dust Suppressant or","")</f>
        <v/>
      </c>
      <c r="D40" s="55"/>
      <c r="E40" s="166" t="str">
        <f t="shared" si="14"/>
        <v/>
      </c>
      <c r="F40" s="166" t="str">
        <f t="shared" si="15"/>
        <v/>
      </c>
      <c r="G40" s="98"/>
      <c r="H40" s="71"/>
      <c r="I40" s="184"/>
      <c r="J40" s="81">
        <f t="shared" si="12"/>
        <v>0</v>
      </c>
      <c r="K40" s="81">
        <f t="shared" si="13"/>
        <v>0</v>
      </c>
      <c r="M40" s="111" t="s">
        <v>143</v>
      </c>
      <c r="N40" s="110">
        <f>N14</f>
        <v>0</v>
      </c>
      <c r="O40" s="110">
        <v>3.64</v>
      </c>
      <c r="P40" s="110">
        <f>N40*O40*(1/24)</f>
        <v>0</v>
      </c>
      <c r="Q40" s="110"/>
      <c r="R40" s="110">
        <f>N40*O40*365/2000</f>
        <v>0</v>
      </c>
      <c r="S40" s="110">
        <f>O14*O40/2000</f>
        <v>0</v>
      </c>
    </row>
    <row r="41" spans="1:19" ht="14.25" customHeight="1" x14ac:dyDescent="0.2">
      <c r="A41" s="80">
        <f>C128</f>
        <v>0</v>
      </c>
      <c r="B41" s="282" t="str">
        <f>IF('Limestone Plant (LP-1)'!$E$4&gt;1,"Material Being Processed has","")</f>
        <v/>
      </c>
      <c r="C41" s="283"/>
      <c r="D41" s="55"/>
      <c r="E41" s="166" t="str">
        <f t="shared" si="14"/>
        <v/>
      </c>
      <c r="F41" s="166" t="str">
        <f t="shared" si="15"/>
        <v/>
      </c>
      <c r="G41" s="98"/>
      <c r="H41" s="71"/>
      <c r="I41" s="184"/>
      <c r="J41" s="81">
        <f t="shared" si="12"/>
        <v>0</v>
      </c>
      <c r="K41" s="81">
        <f t="shared" si="13"/>
        <v>0</v>
      </c>
    </row>
    <row r="42" spans="1:19" ht="14.25" customHeight="1" x14ac:dyDescent="0.2">
      <c r="A42" s="80">
        <f>C143</f>
        <v>0</v>
      </c>
      <c r="B42" s="284" t="str">
        <f>IF('Limestone Plant (LP-1)'!$E$4&gt;1,"Moisture Content &gt; 1.5%?","")</f>
        <v/>
      </c>
      <c r="C42" s="279"/>
      <c r="D42" s="55"/>
      <c r="E42" s="166" t="str">
        <f t="shared" si="14"/>
        <v/>
      </c>
      <c r="F42" s="166" t="str">
        <f t="shared" si="15"/>
        <v/>
      </c>
      <c r="G42" s="98"/>
      <c r="H42" s="71"/>
      <c r="I42" s="184"/>
      <c r="J42" s="81">
        <f t="shared" si="12"/>
        <v>0</v>
      </c>
      <c r="K42" s="81">
        <f t="shared" si="13"/>
        <v>0</v>
      </c>
      <c r="N42" s="81"/>
      <c r="O42" s="81"/>
      <c r="P42" s="81"/>
    </row>
    <row r="43" spans="1:19" ht="14.25" customHeight="1" x14ac:dyDescent="0.2">
      <c r="A43" s="80">
        <f>C158</f>
        <v>0</v>
      </c>
      <c r="B43" s="55"/>
      <c r="C43" s="55"/>
      <c r="D43" s="55"/>
      <c r="E43" s="166" t="str">
        <f t="shared" si="14"/>
        <v/>
      </c>
      <c r="F43" s="166" t="str">
        <f t="shared" si="15"/>
        <v/>
      </c>
      <c r="G43" s="98"/>
      <c r="H43" s="71"/>
      <c r="I43" s="184"/>
      <c r="J43" s="81">
        <f t="shared" si="12"/>
        <v>0</v>
      </c>
      <c r="K43" s="81">
        <f t="shared" si="13"/>
        <v>0</v>
      </c>
      <c r="N43" s="81"/>
      <c r="O43" s="81"/>
      <c r="P43" s="81"/>
    </row>
    <row r="44" spans="1:19" ht="14.25" customHeight="1" x14ac:dyDescent="0.2">
      <c r="B44" s="55"/>
      <c r="C44" s="55"/>
      <c r="D44" s="55"/>
      <c r="E44" s="166" t="str">
        <f t="shared" si="14"/>
        <v/>
      </c>
      <c r="F44" s="166" t="str">
        <f t="shared" si="15"/>
        <v/>
      </c>
      <c r="G44" s="98"/>
      <c r="H44" s="71"/>
      <c r="I44" s="184"/>
      <c r="J44" s="81">
        <f t="shared" si="12"/>
        <v>0</v>
      </c>
      <c r="K44" s="81">
        <f t="shared" si="13"/>
        <v>0</v>
      </c>
      <c r="N44" s="81"/>
      <c r="O44" s="81"/>
      <c r="P44" s="81"/>
    </row>
    <row r="45" spans="1:19" ht="14.25" customHeight="1" x14ac:dyDescent="0.2">
      <c r="B45" s="55"/>
      <c r="C45" s="55"/>
      <c r="D45" s="55"/>
      <c r="E45" s="55"/>
      <c r="F45" s="55"/>
      <c r="N45" s="81"/>
      <c r="O45" s="81"/>
      <c r="P45" s="81"/>
    </row>
    <row r="46" spans="1:19" ht="14.25" customHeight="1" x14ac:dyDescent="0.2">
      <c r="B46" s="55"/>
      <c r="E46" s="88" t="str">
        <f>IF('Limestone Plant (LP-1)'!$E$4&gt;1,"Stock Pile Area","")</f>
        <v/>
      </c>
      <c r="F46" s="88"/>
      <c r="G46" s="89"/>
      <c r="N46" s="81"/>
      <c r="O46" s="81"/>
      <c r="P46" s="81"/>
    </row>
    <row r="47" spans="1:19" ht="14.25" customHeight="1" x14ac:dyDescent="0.2">
      <c r="B47" s="55"/>
      <c r="D47" s="90"/>
      <c r="F47" s="60" t="str">
        <f>IF('Limestone Plant (LP-1)'!$E$4&gt;1,"Emission Unit #","")</f>
        <v/>
      </c>
      <c r="G47" s="95" t="str">
        <f>IF('Limestone Plant (LP-1)'!$E$4&gt;1,"Maximum Storage Area (acres)","")</f>
        <v/>
      </c>
      <c r="H47" s="96" t="str">
        <f>IF('Limestone Plant (LP-1)'!$E$4&gt;1,"Actual Storage Area (acres)","")</f>
        <v/>
      </c>
      <c r="I47" s="95" t="str">
        <f>IF('Limestone Plant (LP-1)'!$E$4&gt;1,"Actual Days in Existence (days)","")</f>
        <v/>
      </c>
      <c r="J47" s="97"/>
      <c r="K47" s="97"/>
      <c r="L47" s="90"/>
      <c r="N47" s="81"/>
      <c r="O47" s="81"/>
      <c r="P47" s="81"/>
    </row>
    <row r="48" spans="1:19" ht="14.25" customHeight="1" x14ac:dyDescent="0.2">
      <c r="B48" s="55"/>
      <c r="F48" s="77"/>
      <c r="G48" s="126"/>
      <c r="H48" s="78"/>
      <c r="I48" s="126"/>
      <c r="N48" s="81"/>
      <c r="O48" s="81"/>
      <c r="P48" s="81"/>
    </row>
    <row r="49" spans="2:16" ht="22.5" customHeight="1" x14ac:dyDescent="0.2">
      <c r="B49" s="84"/>
      <c r="C49" s="125"/>
      <c r="D49" s="374"/>
      <c r="E49" s="374"/>
      <c r="F49" s="148"/>
      <c r="G49" s="125"/>
      <c r="H49" s="125"/>
      <c r="N49" s="81"/>
      <c r="O49" s="81"/>
      <c r="P49" s="81"/>
    </row>
    <row r="50" spans="2:16" ht="29.25" customHeight="1" x14ac:dyDescent="0.25">
      <c r="B50" s="92" t="str">
        <f>IF('Limestone Plant (LP-1)'!$E$4&gt;2,"CRUSHER PLANT","")</f>
        <v/>
      </c>
      <c r="C50" s="84" t="str">
        <f>IF('Limestone Plant (LP-1)'!$E$4&gt;2,"Site 3","")</f>
        <v/>
      </c>
      <c r="E50" s="213" t="str">
        <f>IF('Limestone Plant (LP-1)'!$E$4&gt;2,"Emission Point #","")</f>
        <v/>
      </c>
      <c r="F50" s="213" t="str">
        <f>IF('Limestone Plant (LP-1)'!$E$4&gt;2,"Emission     Unit #","")</f>
        <v/>
      </c>
      <c r="G50" s="213" t="str">
        <f>IF('Limestone Plant (LP-1)'!$E$4&gt;2,"Processes","")</f>
        <v/>
      </c>
      <c r="H50" s="220" t="str">
        <f>IF('Limestone Plant (LP-1)'!$E$4&gt;2,"Combined Maximum Hourly Design Rate for all Like Processes (tons/hr)","")</f>
        <v/>
      </c>
      <c r="I50" s="213" t="str">
        <f>IF('Limestone Plant (LP-1)'!$E$4&gt;2,('Facility Information'!G5&amp;" Annual Throughput (tons)"),"")</f>
        <v/>
      </c>
      <c r="N50" s="81"/>
      <c r="O50" s="81"/>
      <c r="P50" s="81"/>
    </row>
    <row r="51" spans="2:16" ht="14.25" customHeight="1" x14ac:dyDescent="0.2">
      <c r="B51" s="84"/>
      <c r="D51" s="55"/>
      <c r="E51" s="371"/>
      <c r="F51" s="371"/>
      <c r="G51" s="372"/>
      <c r="H51" s="372"/>
      <c r="I51" s="372"/>
      <c r="N51" s="81"/>
      <c r="O51" s="81"/>
      <c r="P51" s="81"/>
    </row>
    <row r="52" spans="2:16" ht="14.25" customHeight="1" x14ac:dyDescent="0.2">
      <c r="B52" s="94" t="str">
        <f>IF('Limestone Plant (LP-1)'!$E$4&gt;2,"Site Name:","")</f>
        <v/>
      </c>
      <c r="C52" s="76"/>
      <c r="D52" s="55"/>
      <c r="E52" s="166" t="str">
        <f>IF(G52="","","LP-1 EP-1")</f>
        <v/>
      </c>
      <c r="F52" s="166" t="str">
        <f>IF(G52="","",IF(G52="primary crusher","LP-1 EU-1",IF(G52="screening","LP-1 EU-2",IF(G52="secondary crusher","LP-1 EU-3",IF(G52="tertiary crusher","LP-1 EU-4",IF(G52="fines crushing","LP-1 EU-5",IF(G52="fines screening","LP-1 EU-6",IF(G52="wet drilling: unfragmented stone","LP-1 EU-7",IF(G52="conveyor transfer points","LP-1 EU-8")))))))))</f>
        <v/>
      </c>
      <c r="G52" s="98"/>
      <c r="H52" s="71"/>
      <c r="I52" s="184"/>
      <c r="J52" s="81">
        <f t="shared" ref="J52:J59" si="16">IF($C$56="no",I52,0)</f>
        <v>0</v>
      </c>
      <c r="K52" s="81">
        <f t="shared" ref="K52:K59" si="17">IF($C$56="yes",I52,0)</f>
        <v>0</v>
      </c>
    </row>
    <row r="53" spans="2:16" ht="14.25" customHeight="1" x14ac:dyDescent="0.2">
      <c r="B53" s="94" t="str">
        <f>IF('Limestone Plant (LP-1)'!$E$4&gt;2,"County:","")</f>
        <v/>
      </c>
      <c r="C53" s="76"/>
      <c r="D53" s="55"/>
      <c r="E53" s="166" t="str">
        <f t="shared" ref="E53:E59" si="18">IF(G53="","","LP-1 EP-1")</f>
        <v/>
      </c>
      <c r="F53" s="166" t="str">
        <f t="shared" ref="F53:F59" si="19">IF(G53="","",IF(G53="primary crusher","LP-1 EU-1",IF(G53="screening","LP-1 EU-2",IF(G53="secondary crusher","LP-1 EU-3",IF(G53="tertiary crusher","LP-1 EU-4",IF(G53="fines crushing","LP-1 EU-5",IF(G53="fines screening","LP-1 EU-6",IF(G53="wet drilling: unfragmented stone","LP-1 EU-7",IF(G53="conveyor transfer points","LP-1 EU-8")))))))))</f>
        <v/>
      </c>
      <c r="G53" s="98"/>
      <c r="H53" s="71"/>
      <c r="I53" s="184"/>
      <c r="J53" s="81">
        <f t="shared" si="16"/>
        <v>0</v>
      </c>
      <c r="K53" s="81">
        <f t="shared" si="17"/>
        <v>0</v>
      </c>
    </row>
    <row r="54" spans="2:16" ht="14.25" customHeight="1" x14ac:dyDescent="0.2">
      <c r="B54" s="94" t="str">
        <f>IF('Limestone Plant (LP-1)'!$E$4&gt;2,"Crushing Period (Dates):","")</f>
        <v/>
      </c>
      <c r="C54" s="76"/>
      <c r="D54" s="55"/>
      <c r="E54" s="166" t="str">
        <f t="shared" si="18"/>
        <v/>
      </c>
      <c r="F54" s="166" t="str">
        <f t="shared" si="19"/>
        <v/>
      </c>
      <c r="G54" s="98"/>
      <c r="H54" s="71"/>
      <c r="I54" s="184"/>
      <c r="J54" s="81">
        <f t="shared" si="16"/>
        <v>0</v>
      </c>
      <c r="K54" s="81">
        <f t="shared" si="17"/>
        <v>0</v>
      </c>
    </row>
    <row r="55" spans="2:16" ht="14.25" customHeight="1" x14ac:dyDescent="0.2">
      <c r="B55" s="281" t="str">
        <f>IF('Limestone Plant (LP-1)'!$E$4&gt;2,"Controlled with Dust Suppressant or","")</f>
        <v/>
      </c>
      <c r="D55" s="55"/>
      <c r="E55" s="166" t="str">
        <f t="shared" si="18"/>
        <v/>
      </c>
      <c r="F55" s="166" t="str">
        <f t="shared" si="19"/>
        <v/>
      </c>
      <c r="G55" s="98"/>
      <c r="H55" s="71"/>
      <c r="I55" s="184"/>
      <c r="J55" s="81">
        <f t="shared" si="16"/>
        <v>0</v>
      </c>
      <c r="K55" s="81">
        <f t="shared" si="17"/>
        <v>0</v>
      </c>
    </row>
    <row r="56" spans="2:16" ht="14.25" customHeight="1" x14ac:dyDescent="0.2">
      <c r="B56" s="282" t="str">
        <f>IF('Limestone Plant (LP-1)'!$E$4&gt;2,"Material Being Processed has","")</f>
        <v/>
      </c>
      <c r="C56" s="280"/>
      <c r="D56" s="55"/>
      <c r="E56" s="166" t="str">
        <f t="shared" si="18"/>
        <v/>
      </c>
      <c r="F56" s="166" t="str">
        <f t="shared" si="19"/>
        <v/>
      </c>
      <c r="G56" s="98"/>
      <c r="H56" s="71"/>
      <c r="I56" s="184"/>
      <c r="J56" s="81">
        <f t="shared" si="16"/>
        <v>0</v>
      </c>
      <c r="K56" s="81">
        <f t="shared" si="17"/>
        <v>0</v>
      </c>
    </row>
    <row r="57" spans="2:16" ht="14.25" customHeight="1" x14ac:dyDescent="0.2">
      <c r="B57" s="284" t="str">
        <f>IF('Limestone Plant (LP-1)'!$E$4&gt;2,"Moisture Content &gt; 1.5%?","")</f>
        <v/>
      </c>
      <c r="C57" s="279"/>
      <c r="D57" s="55"/>
      <c r="E57" s="166" t="str">
        <f t="shared" si="18"/>
        <v/>
      </c>
      <c r="F57" s="166" t="str">
        <f t="shared" si="19"/>
        <v/>
      </c>
      <c r="G57" s="98"/>
      <c r="H57" s="71"/>
      <c r="I57" s="184"/>
      <c r="J57" s="81">
        <f t="shared" si="16"/>
        <v>0</v>
      </c>
      <c r="K57" s="81">
        <f t="shared" si="17"/>
        <v>0</v>
      </c>
    </row>
    <row r="58" spans="2:16" ht="14.25" customHeight="1" x14ac:dyDescent="0.2">
      <c r="B58" s="55"/>
      <c r="C58" s="55"/>
      <c r="D58" s="55"/>
      <c r="E58" s="166" t="str">
        <f t="shared" si="18"/>
        <v/>
      </c>
      <c r="F58" s="166" t="str">
        <f t="shared" si="19"/>
        <v/>
      </c>
      <c r="G58" s="98"/>
      <c r="H58" s="71"/>
      <c r="I58" s="184"/>
      <c r="J58" s="81">
        <f t="shared" si="16"/>
        <v>0</v>
      </c>
      <c r="K58" s="81">
        <f t="shared" si="17"/>
        <v>0</v>
      </c>
    </row>
    <row r="59" spans="2:16" ht="14.25" customHeight="1" x14ac:dyDescent="0.2">
      <c r="B59" s="55"/>
      <c r="C59" s="55"/>
      <c r="D59" s="55"/>
      <c r="E59" s="166" t="str">
        <f t="shared" si="18"/>
        <v/>
      </c>
      <c r="F59" s="166" t="str">
        <f t="shared" si="19"/>
        <v/>
      </c>
      <c r="G59" s="98"/>
      <c r="H59" s="71"/>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(LP-1)'!$E$4&gt;2,"Stock Pile Area","")</f>
        <v/>
      </c>
      <c r="F61" s="88"/>
      <c r="G61" s="89"/>
    </row>
    <row r="62" spans="2:16" ht="14.25" customHeight="1" x14ac:dyDescent="0.2">
      <c r="B62" s="55"/>
      <c r="D62" s="90"/>
      <c r="F62" s="60" t="str">
        <f>IF('Limestone Plant (LP-1)'!$E$4&gt;2,"Emission Unit #","")</f>
        <v/>
      </c>
      <c r="G62" s="95" t="str">
        <f>IF('Limestone Plant (LP-1)'!$E$4&gt;2,"Maximum Storage Area (acres)","")</f>
        <v/>
      </c>
      <c r="H62" s="96" t="str">
        <f>IF('Limestone Plant (LP-1)'!$E$4&gt;2,"Actual Storage Area (acres)","")</f>
        <v/>
      </c>
      <c r="I62" s="95" t="str">
        <f>IF('Limestone Plant (LP-1)'!$E$4&gt;2,"Actual Days in Existence (days)","")</f>
        <v/>
      </c>
    </row>
    <row r="63" spans="2:16" ht="14.25" customHeight="1" x14ac:dyDescent="0.2">
      <c r="B63" s="55"/>
      <c r="F63" s="77"/>
      <c r="G63" s="126"/>
      <c r="H63" s="78"/>
      <c r="I63" s="126"/>
    </row>
    <row r="64" spans="2:16" ht="29.25" customHeight="1" x14ac:dyDescent="0.2"/>
    <row r="65" spans="2:11" ht="28.5" customHeight="1" x14ac:dyDescent="0.25">
      <c r="B65" s="92" t="str">
        <f>IF('Limestone Plant (LP-1)'!$E$4&gt;3,"CRUSHER PLANT","")</f>
        <v/>
      </c>
      <c r="C65" s="84" t="str">
        <f>IF('Limestone Plant (LP-1)'!$E$4&gt;3,"Site 4","")</f>
        <v/>
      </c>
      <c r="E65" s="213" t="str">
        <f>IF('Limestone Plant (LP-1)'!$E$4&gt;3,"Emission Point #","")</f>
        <v/>
      </c>
      <c r="F65" s="213" t="str">
        <f>IF('Limestone Plant (LP-1)'!$E$4&gt;3,"Emission     Unit #","")</f>
        <v/>
      </c>
      <c r="G65" s="213" t="str">
        <f>IF('Limestone Plant (LP-1)'!$E$4&gt;3,"Processes","")</f>
        <v/>
      </c>
      <c r="H65" s="220" t="str">
        <f>IF('Limestone Plant (LP-1)'!$E$4&gt;3,"Combined Maximum Hourly Design Rate for all Like Processes (tons/hr)","")</f>
        <v/>
      </c>
      <c r="I65" s="213" t="str">
        <f>IF('Limestone Plant (LP-1)'!$E$4&gt;3,('Facility Information'!G5&amp;" Annual Throughput (tons)"),"")</f>
        <v/>
      </c>
    </row>
    <row r="66" spans="2:11" ht="14.25" customHeight="1" x14ac:dyDescent="0.2">
      <c r="B66" s="84"/>
      <c r="D66" s="55"/>
      <c r="E66" s="371"/>
      <c r="F66" s="371"/>
      <c r="G66" s="372"/>
      <c r="H66" s="372"/>
      <c r="I66" s="372"/>
    </row>
    <row r="67" spans="2:11" ht="14.25" customHeight="1" x14ac:dyDescent="0.2">
      <c r="B67" s="94" t="str">
        <f>IF('Limestone Plant (LP-1)'!$E$4&gt;3,"Site Name:","")</f>
        <v/>
      </c>
      <c r="C67" s="76"/>
      <c r="D67" s="55"/>
      <c r="E67" s="166" t="str">
        <f>IF(G67="","","LP-1 EP-1")</f>
        <v/>
      </c>
      <c r="F67" s="166" t="str">
        <f>IF(G67="","",IF(G67="primary crusher","LP-1 EU-1",IF(G67="screening","LP-1 EU-2",IF(G67="secondary crusher","LP-1 EU-3",IF(G67="tertiary crusher","LP-1 EU-4",IF(G67="fines crushing","LP-1 EU-5",IF(G67="fines screening","LP-1 EU-6",IF(G67="wet drilling: unfragmented stone","LP-1 EU-7",IF(G67="conveyor transfer points","LP-1 EU-8")))))))))</f>
        <v/>
      </c>
      <c r="G67" s="98"/>
      <c r="H67" s="71"/>
      <c r="I67" s="184"/>
      <c r="J67" s="81">
        <f t="shared" ref="J67:J74" si="20">IF($C$71="no",I67,0)</f>
        <v>0</v>
      </c>
      <c r="K67" s="81">
        <f t="shared" ref="K67:K74" si="21">IF($C$71="yes",I67,0)</f>
        <v>0</v>
      </c>
    </row>
    <row r="68" spans="2:11" ht="14.25" customHeight="1" x14ac:dyDescent="0.2">
      <c r="B68" s="94" t="str">
        <f>IF('Limestone Plant (LP-1)'!$E$4&gt;3,"County:","")</f>
        <v/>
      </c>
      <c r="C68" s="76"/>
      <c r="D68" s="55"/>
      <c r="E68" s="166" t="str">
        <f t="shared" ref="E68:E74" si="22">IF(G68="","","LP-1 EP-1")</f>
        <v/>
      </c>
      <c r="F68" s="166" t="str">
        <f t="shared" ref="F68:F74" si="23">IF(G68="","",IF(G68="primary crusher","LP-1 EU-1",IF(G68="screening","LP-1 EU-2",IF(G68="secondary crusher","LP-1 EU-3",IF(G68="tertiary crusher","LP-1 EU-4",IF(G68="fines crushing","LP-1 EU-5",IF(G68="fines screening","LP-1 EU-6",IF(G68="wet drilling: unfragmented stone","LP-1 EU-7",IF(G68="conveyor transfer points","LP-1 EU-8")))))))))</f>
        <v/>
      </c>
      <c r="G68" s="98"/>
      <c r="H68" s="71"/>
      <c r="I68" s="184"/>
      <c r="J68" s="81">
        <f t="shared" si="20"/>
        <v>0</v>
      </c>
      <c r="K68" s="81">
        <f t="shared" si="21"/>
        <v>0</v>
      </c>
    </row>
    <row r="69" spans="2:11" ht="14.25" customHeight="1" x14ac:dyDescent="0.2">
      <c r="B69" s="94" t="str">
        <f>IF('Limestone Plant (LP-1)'!$E$4&gt;3,"Crushing Period (Dates):","")</f>
        <v/>
      </c>
      <c r="C69" s="76"/>
      <c r="D69" s="55"/>
      <c r="E69" s="166" t="str">
        <f t="shared" si="22"/>
        <v/>
      </c>
      <c r="F69" s="166" t="str">
        <f t="shared" si="23"/>
        <v/>
      </c>
      <c r="G69" s="98"/>
      <c r="H69" s="71"/>
      <c r="I69" s="184"/>
      <c r="J69" s="81">
        <f t="shared" si="20"/>
        <v>0</v>
      </c>
      <c r="K69" s="81">
        <f t="shared" si="21"/>
        <v>0</v>
      </c>
    </row>
    <row r="70" spans="2:11" ht="14.25" customHeight="1" x14ac:dyDescent="0.2">
      <c r="B70" s="281" t="str">
        <f>IF('Limestone Plant (LP-1)'!$E$4&gt;3,"Controlled with Dust Suppressant or","")</f>
        <v/>
      </c>
      <c r="D70" s="55"/>
      <c r="E70" s="166" t="str">
        <f t="shared" si="22"/>
        <v/>
      </c>
      <c r="F70" s="166" t="str">
        <f t="shared" si="23"/>
        <v/>
      </c>
      <c r="G70" s="98"/>
      <c r="H70" s="71"/>
      <c r="I70" s="184"/>
      <c r="J70" s="81">
        <f t="shared" si="20"/>
        <v>0</v>
      </c>
      <c r="K70" s="81">
        <f t="shared" si="21"/>
        <v>0</v>
      </c>
    </row>
    <row r="71" spans="2:11" ht="14.25" customHeight="1" x14ac:dyDescent="0.2">
      <c r="B71" s="282" t="str">
        <f>IF('Limestone Plant (LP-1)'!$E$4&gt;3,"Material Being Processed has","")</f>
        <v/>
      </c>
      <c r="C71" s="293"/>
      <c r="D71" s="55"/>
      <c r="E71" s="166" t="str">
        <f t="shared" si="22"/>
        <v/>
      </c>
      <c r="F71" s="166" t="str">
        <f t="shared" si="23"/>
        <v/>
      </c>
      <c r="G71" s="98"/>
      <c r="H71" s="71"/>
      <c r="I71" s="184"/>
      <c r="J71" s="81">
        <f t="shared" si="20"/>
        <v>0</v>
      </c>
      <c r="K71" s="81">
        <f t="shared" si="21"/>
        <v>0</v>
      </c>
    </row>
    <row r="72" spans="2:11" ht="14.25" customHeight="1" x14ac:dyDescent="0.2">
      <c r="B72" s="284" t="str">
        <f>IF('Limestone Plant (LP-1)'!$E$4&gt;3,"Moisture Content &gt; 1.5%?","")</f>
        <v/>
      </c>
      <c r="C72" s="55"/>
      <c r="D72" s="55"/>
      <c r="E72" s="166" t="str">
        <f t="shared" si="22"/>
        <v/>
      </c>
      <c r="F72" s="166" t="str">
        <f t="shared" si="23"/>
        <v/>
      </c>
      <c r="G72" s="98"/>
      <c r="H72" s="71"/>
      <c r="I72" s="184"/>
      <c r="J72" s="81">
        <f t="shared" si="20"/>
        <v>0</v>
      </c>
      <c r="K72" s="81">
        <f t="shared" si="21"/>
        <v>0</v>
      </c>
    </row>
    <row r="73" spans="2:11" ht="14.25" customHeight="1" x14ac:dyDescent="0.2">
      <c r="B73" s="55"/>
      <c r="C73" s="55"/>
      <c r="D73" s="55"/>
      <c r="E73" s="166" t="str">
        <f t="shared" si="22"/>
        <v/>
      </c>
      <c r="F73" s="166" t="str">
        <f t="shared" si="23"/>
        <v/>
      </c>
      <c r="G73" s="98"/>
      <c r="H73" s="71"/>
      <c r="I73" s="184"/>
      <c r="J73" s="81">
        <f t="shared" si="20"/>
        <v>0</v>
      </c>
      <c r="K73" s="81">
        <f t="shared" si="21"/>
        <v>0</v>
      </c>
    </row>
    <row r="74" spans="2:11" ht="14.25" customHeight="1" x14ac:dyDescent="0.2">
      <c r="B74" s="55"/>
      <c r="D74" s="55"/>
      <c r="E74" s="166" t="str">
        <f t="shared" si="22"/>
        <v/>
      </c>
      <c r="F74" s="166" t="str">
        <f t="shared" si="23"/>
        <v/>
      </c>
      <c r="G74" s="98"/>
      <c r="H74" s="71"/>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(LP-1)'!$E$4&gt;3,"Stock Pile Area","")</f>
        <v/>
      </c>
      <c r="F76" s="88"/>
      <c r="G76" s="89"/>
    </row>
    <row r="77" spans="2:11" ht="14.25" customHeight="1" x14ac:dyDescent="0.2">
      <c r="B77" s="55"/>
      <c r="D77" s="90"/>
      <c r="F77" s="60" t="str">
        <f>IF('Limestone Plant (LP-1)'!$E$4&gt;3,"Emission Unit #","")</f>
        <v/>
      </c>
      <c r="G77" s="95" t="str">
        <f>IF('Limestone Plant (LP-1)'!$E$4&gt;3,"Maximum Storage Area (acres)","")</f>
        <v/>
      </c>
      <c r="H77" s="96" t="str">
        <f>IF('Limestone Plant (LP-1)'!$E$4&gt;3,"Actual Storage Area (acres)","")</f>
        <v/>
      </c>
      <c r="I77" s="95" t="str">
        <f>IF('Limestone Plant (LP-1)'!$E$4&gt;3,"Actual Days in Existence (days)","")</f>
        <v/>
      </c>
    </row>
    <row r="78" spans="2:11" ht="14.25" customHeight="1" x14ac:dyDescent="0.2">
      <c r="B78" s="55"/>
      <c r="F78" s="77"/>
      <c r="G78" s="126"/>
      <c r="H78" s="78"/>
      <c r="I78" s="126"/>
    </row>
    <row r="79" spans="2:11" ht="24.75" customHeight="1" x14ac:dyDescent="0.2"/>
    <row r="80" spans="2:11" ht="28.5" customHeight="1" x14ac:dyDescent="0.25">
      <c r="B80" s="92" t="str">
        <f>IF('Limestone Plant (LP-1)'!$E$4&gt;4,"CRUSHER PLANT","")</f>
        <v/>
      </c>
      <c r="C80" s="84" t="str">
        <f>IF('Limestone Plant (LP-1)'!$E$4&gt;4,"Site 5","")</f>
        <v/>
      </c>
      <c r="E80" s="213" t="str">
        <f>IF('Limestone Plant (LP-1)'!$E$4&gt;4,"Emission Point #","")</f>
        <v/>
      </c>
      <c r="F80" s="213" t="str">
        <f>IF('Limestone Plant (LP-1)'!$E$4&gt;4,"Emission     Unit #","")</f>
        <v/>
      </c>
      <c r="G80" s="213" t="str">
        <f>IF('Limestone Plant (LP-1)'!$E$4&gt;4,"Processes","")</f>
        <v/>
      </c>
      <c r="H80" s="220" t="str">
        <f>IF('Limestone Plant (LP-1)'!$E$4&gt;4,"Combined Maximum Hourly Design Rate for all Like Processes (tons/hr)","")</f>
        <v/>
      </c>
      <c r="I80" s="213" t="str">
        <f>IF('Limestone Plant (LP-1)'!$E$4&gt;4,('Facility Information'!G5&amp;" Annual Throughput (tons)"),"")</f>
        <v/>
      </c>
    </row>
    <row r="81" spans="2:11" ht="14.25" customHeight="1" x14ac:dyDescent="0.2">
      <c r="B81" s="84"/>
      <c r="D81" s="55"/>
      <c r="E81" s="220"/>
      <c r="F81" s="220"/>
      <c r="G81" s="217"/>
      <c r="H81" s="217"/>
      <c r="I81" s="217"/>
    </row>
    <row r="82" spans="2:11" ht="14.25" customHeight="1" x14ac:dyDescent="0.2">
      <c r="B82" s="94" t="str">
        <f>IF('Limestone Plant (LP-1)'!$E$4&gt;4,"Site Name:","")</f>
        <v/>
      </c>
      <c r="C82" s="76"/>
      <c r="D82" s="55"/>
      <c r="E82" s="166" t="str">
        <f>IF(G82="","","LP-1 EP-1")</f>
        <v/>
      </c>
      <c r="F82" s="166" t="str">
        <f>IF(G82="","",IF(G82="primary crusher","LP-1 EU-1",IF(G82="screening","LP-1 EU-2",IF(G82="secondary crusher","LP-1 EU-3",IF(G82="tertiary crusher","LP-1 EU-4",IF(G82="fines crushing","LP-1 EU-5",IF(G82="fines screening","LP-1 EU-6",IF(G82="wet drilling: unfragmented stone","LP-1 EU-7",IF(G82="conveyor transfer points","LP-1 EU-8")))))))))</f>
        <v/>
      </c>
      <c r="G82" s="98"/>
      <c r="H82" s="71"/>
      <c r="I82" s="184"/>
      <c r="J82" s="81">
        <f t="shared" ref="J82:J89" si="24">IF($C$86="no",I82,0)</f>
        <v>0</v>
      </c>
      <c r="K82" s="81">
        <f t="shared" ref="K82:K89" si="25">IF($C$86="yes",I82,0)</f>
        <v>0</v>
      </c>
    </row>
    <row r="83" spans="2:11" ht="14.25" customHeight="1" x14ac:dyDescent="0.2">
      <c r="B83" s="94" t="str">
        <f>IF('Limestone Plant (LP-1)'!$E$4&gt;4,"County:","")</f>
        <v/>
      </c>
      <c r="C83" s="76"/>
      <c r="D83" s="55"/>
      <c r="E83" s="166" t="str">
        <f t="shared" ref="E83:E89" si="26">IF(G83="","","LP-1 EP-1")</f>
        <v/>
      </c>
      <c r="F83" s="166" t="str">
        <f t="shared" ref="F83:F89" si="27">IF(G83="","",IF(G83="primary crusher","LP-1 EU-1",IF(G83="screening","LP-1 EU-2",IF(G83="secondary crusher","LP-1 EU-3",IF(G83="tertiary crusher","LP-1 EU-4",IF(G83="fines crushing","LP-1 EU-5",IF(G83="fines screening","LP-1 EU-6",IF(G83="wet drilling: unfragmented stone","LP-1 EU-7",IF(G83="conveyor transfer points","LP-1 EU-8")))))))))</f>
        <v/>
      </c>
      <c r="G83" s="98"/>
      <c r="H83" s="71"/>
      <c r="I83" s="184"/>
      <c r="J83" s="81">
        <f t="shared" si="24"/>
        <v>0</v>
      </c>
      <c r="K83" s="81">
        <f t="shared" si="25"/>
        <v>0</v>
      </c>
    </row>
    <row r="84" spans="2:11" ht="14.25" customHeight="1" x14ac:dyDescent="0.2">
      <c r="B84" s="94" t="str">
        <f>IF('Limestone Plant (LP-1)'!$E$4&gt;4,"Crushing Period (Dates):","")</f>
        <v/>
      </c>
      <c r="C84" s="76"/>
      <c r="D84" s="55"/>
      <c r="E84" s="166" t="str">
        <f t="shared" si="26"/>
        <v/>
      </c>
      <c r="F84" s="166" t="str">
        <f t="shared" si="27"/>
        <v/>
      </c>
      <c r="G84" s="98"/>
      <c r="H84" s="71"/>
      <c r="I84" s="184"/>
      <c r="J84" s="81">
        <f t="shared" si="24"/>
        <v>0</v>
      </c>
      <c r="K84" s="81">
        <f t="shared" si="25"/>
        <v>0</v>
      </c>
    </row>
    <row r="85" spans="2:11" ht="14.25" customHeight="1" x14ac:dyDescent="0.2">
      <c r="B85" s="281" t="str">
        <f>IF('Limestone Plant (LP-1)'!$E$4&gt;4,"Controlled with Dust Suppressant or","" )</f>
        <v/>
      </c>
      <c r="D85" s="55"/>
      <c r="E85" s="166" t="str">
        <f t="shared" si="26"/>
        <v/>
      </c>
      <c r="F85" s="166" t="str">
        <f t="shared" si="27"/>
        <v/>
      </c>
      <c r="G85" s="98"/>
      <c r="H85" s="71"/>
      <c r="I85" s="184"/>
      <c r="J85" s="81">
        <f t="shared" si="24"/>
        <v>0</v>
      </c>
      <c r="K85" s="81">
        <f t="shared" si="25"/>
        <v>0</v>
      </c>
    </row>
    <row r="86" spans="2:11" ht="14.25" customHeight="1" x14ac:dyDescent="0.2">
      <c r="B86" s="282" t="str">
        <f>IF('Limestone Plant (LP-1)'!$E$4&gt;4,"Material Being Processed has","")</f>
        <v/>
      </c>
      <c r="C86" s="280"/>
      <c r="D86" s="55"/>
      <c r="E86" s="166" t="str">
        <f t="shared" si="26"/>
        <v/>
      </c>
      <c r="F86" s="166" t="str">
        <f t="shared" si="27"/>
        <v/>
      </c>
      <c r="G86" s="98"/>
      <c r="H86" s="71"/>
      <c r="I86" s="184"/>
      <c r="J86" s="81">
        <f t="shared" si="24"/>
        <v>0</v>
      </c>
      <c r="K86" s="81">
        <f t="shared" si="25"/>
        <v>0</v>
      </c>
    </row>
    <row r="87" spans="2:11" ht="14.25" customHeight="1" x14ac:dyDescent="0.2">
      <c r="B87" s="284" t="str">
        <f>IF('Limestone Plant (LP-1)'!$E$4&gt;4,"Moisture Content &gt; 1.5%?","")</f>
        <v/>
      </c>
      <c r="C87" s="55"/>
      <c r="D87" s="55"/>
      <c r="E87" s="166" t="str">
        <f t="shared" si="26"/>
        <v/>
      </c>
      <c r="F87" s="166" t="str">
        <f t="shared" si="27"/>
        <v/>
      </c>
      <c r="G87" s="98"/>
      <c r="H87" s="71"/>
      <c r="I87" s="184"/>
      <c r="J87" s="81">
        <f t="shared" si="24"/>
        <v>0</v>
      </c>
      <c r="K87" s="81">
        <f t="shared" si="25"/>
        <v>0</v>
      </c>
    </row>
    <row r="88" spans="2:11" ht="14.25" customHeight="1" x14ac:dyDescent="0.2">
      <c r="B88" s="55"/>
      <c r="C88" s="55"/>
      <c r="D88" s="55"/>
      <c r="E88" s="166" t="str">
        <f t="shared" si="26"/>
        <v/>
      </c>
      <c r="F88" s="166" t="str">
        <f t="shared" si="27"/>
        <v/>
      </c>
      <c r="G88" s="98"/>
      <c r="H88" s="71"/>
      <c r="I88" s="184"/>
      <c r="J88" s="81">
        <f t="shared" si="24"/>
        <v>0</v>
      </c>
      <c r="K88" s="81">
        <f t="shared" si="25"/>
        <v>0</v>
      </c>
    </row>
    <row r="89" spans="2:11" ht="14.25" customHeight="1" x14ac:dyDescent="0.2">
      <c r="B89" s="55"/>
      <c r="D89" s="55"/>
      <c r="E89" s="166" t="str">
        <f t="shared" si="26"/>
        <v/>
      </c>
      <c r="F89" s="166" t="str">
        <f t="shared" si="27"/>
        <v/>
      </c>
      <c r="G89" s="98"/>
      <c r="H89" s="71"/>
      <c r="I89" s="184"/>
      <c r="J89" s="81">
        <f t="shared" si="24"/>
        <v>0</v>
      </c>
      <c r="K89" s="81">
        <f t="shared" si="25"/>
        <v>0</v>
      </c>
    </row>
    <row r="90" spans="2:11" ht="14.25" customHeight="1" x14ac:dyDescent="0.2">
      <c r="B90" s="55"/>
      <c r="D90" s="55"/>
      <c r="E90" s="55"/>
      <c r="F90" s="55"/>
      <c r="I90" s="185"/>
    </row>
    <row r="91" spans="2:11" ht="14.25" customHeight="1" x14ac:dyDescent="0.2">
      <c r="B91" s="55"/>
      <c r="E91" s="88" t="str">
        <f>IF('Limestone Plant (LP-1)'!$E$4&gt;4,"Stock Pile Area","")</f>
        <v/>
      </c>
      <c r="F91" s="88"/>
      <c r="G91" s="89"/>
    </row>
    <row r="92" spans="2:11" ht="14.25" customHeight="1" x14ac:dyDescent="0.2">
      <c r="B92" s="55"/>
      <c r="D92" s="90"/>
      <c r="F92" s="60" t="str">
        <f>IF('Limestone Plant (LP-1)'!$E$4&gt;4,"Emission Unit #","")</f>
        <v/>
      </c>
      <c r="G92" s="95" t="str">
        <f>IF('Limestone Plant (LP-1)'!$E$4&gt;4,"Maximum Storage Area (acres)","")</f>
        <v/>
      </c>
      <c r="H92" s="96" t="str">
        <f>IF('Limestone Plant (LP-1)'!$E$4&gt;4,"Actual Storage Area (acres)","")</f>
        <v/>
      </c>
      <c r="I92" s="95" t="str">
        <f>IF('Limestone Plant (LP-1)'!$E$4&gt;4,"Actual Days in Existence (days)","")</f>
        <v/>
      </c>
    </row>
    <row r="93" spans="2:11" ht="14.25" customHeight="1" x14ac:dyDescent="0.2">
      <c r="B93" s="55"/>
      <c r="F93" s="72"/>
      <c r="G93" s="126"/>
      <c r="H93" s="78"/>
      <c r="I93" s="126"/>
    </row>
    <row r="94" spans="2:11" ht="20.25" customHeight="1" x14ac:dyDescent="0.2"/>
    <row r="96" spans="2:11" ht="27.75" customHeight="1" x14ac:dyDescent="0.25">
      <c r="B96" s="92" t="str">
        <f>IF('Limestone Plant (LP-1)'!$E$4&gt;5,"CRUSHER PLANT","")</f>
        <v/>
      </c>
      <c r="C96" s="84" t="str">
        <f>IF('Limestone Plant (LP-1)'!$E$4&gt;5,"Site 6","")</f>
        <v/>
      </c>
      <c r="E96" s="213" t="str">
        <f>IF('Limestone Plant (LP-1)'!$E$4&gt;5,"Emission Point #","")</f>
        <v/>
      </c>
      <c r="F96" s="213" t="str">
        <f>IF('Limestone Plant (LP-1)'!$E$4&gt;5,"Emission     Unit #","")</f>
        <v/>
      </c>
      <c r="G96" s="213" t="str">
        <f>IF('Limestone Plant (LP-1)'!$E$4&gt;5,"Processes","")</f>
        <v/>
      </c>
      <c r="H96" s="220" t="str">
        <f>IF('Limestone Plant (LP-1)'!$E$4&gt;5,"Combined Maximum Hourly Design Rate for all Like Processes (tons/hr)","")</f>
        <v/>
      </c>
      <c r="I96" s="213" t="str">
        <f>IF('Limestone Plant (LP-1)'!$E$4&gt;5,('Facility Information'!G5&amp;" Annual Throughput (tons)"),"")</f>
        <v/>
      </c>
    </row>
    <row r="97" spans="2:11" ht="14.25" customHeight="1" x14ac:dyDescent="0.2">
      <c r="B97" s="84"/>
      <c r="D97" s="55"/>
      <c r="E97" s="166" t="str">
        <f>IF(G97="","","LP-1 EP-1")</f>
        <v/>
      </c>
      <c r="F97" s="166" t="str">
        <f>IF(G97="","",IF(G97="primary crusher","LP-1 EU-1",IF(G97="screening","LP-1 EU-2",IF(G97="secondary crusher","LP-1 EU-3",IF(G97="tertiary crusher","LP-1 EU-4",IF(G97="fines crushing","LP-1 EU-5",IF(G97="fines screening","LP-1 EU-6",IF(G97="wet drilling: unfragmented stone","LP-1 EU-7",IF(G97="conveyor transfer points","LP-1 EU-8")))))))))</f>
        <v/>
      </c>
      <c r="G97" s="98"/>
      <c r="H97" s="71"/>
      <c r="I97" s="184"/>
    </row>
    <row r="98" spans="2:11" ht="14.25" customHeight="1" x14ac:dyDescent="0.2">
      <c r="B98" s="94" t="str">
        <f>IF('Limestone Plant (LP-1)'!$E$4&gt;5,"Site Name:","")</f>
        <v/>
      </c>
      <c r="C98" s="76"/>
      <c r="D98" s="55"/>
      <c r="E98" s="166" t="str">
        <f t="shared" ref="E98:E104" si="28">IF(G98="","","LP-1 EP-1")</f>
        <v/>
      </c>
      <c r="F98" s="166" t="str">
        <f t="shared" ref="F98:F104" si="29">IF(G98="","",IF(G98="primary crusher","LP-1 EU-1",IF(G98="screening","LP-1 EU-2",IF(G98="secondary crusher","LP-1 EU-3",IF(G98="tertiary crusher","LP-1 EU-4",IF(G98="fines crushing","LP-1 EU-5",IF(G98="fines screening","LP-1 EU-6",IF(G98="wet drilling: unfragmented stone","LP-1 EU-7",IF(G98="conveyor transfer points","LP-1 EU-8")))))))))</f>
        <v/>
      </c>
      <c r="G98" s="98"/>
      <c r="H98" s="71"/>
      <c r="I98" s="184"/>
      <c r="J98" s="81">
        <f t="shared" ref="J98:J105" si="30">IF($C$102="no",I97,0)</f>
        <v>0</v>
      </c>
      <c r="K98" s="81">
        <f t="shared" ref="K98:K105" si="31">IF($C$102="yes",I97,0)</f>
        <v>0</v>
      </c>
    </row>
    <row r="99" spans="2:11" ht="14.25" customHeight="1" x14ac:dyDescent="0.2">
      <c r="B99" s="94" t="str">
        <f>IF('Limestone Plant (LP-1)'!$E$4&gt;5,"County:","")</f>
        <v/>
      </c>
      <c r="C99" s="76"/>
      <c r="D99" s="55"/>
      <c r="E99" s="166" t="str">
        <f t="shared" si="28"/>
        <v/>
      </c>
      <c r="F99" s="166" t="str">
        <f t="shared" si="29"/>
        <v/>
      </c>
      <c r="G99" s="98"/>
      <c r="H99" s="71"/>
      <c r="I99" s="184"/>
      <c r="J99" s="81">
        <f t="shared" si="30"/>
        <v>0</v>
      </c>
      <c r="K99" s="81">
        <f t="shared" si="31"/>
        <v>0</v>
      </c>
    </row>
    <row r="100" spans="2:11" ht="14.25" customHeight="1" x14ac:dyDescent="0.2">
      <c r="B100" s="94" t="str">
        <f>IF('Limestone Plant (LP-1)'!$E$4&gt;5,"Crushing Period (Dates):","")</f>
        <v/>
      </c>
      <c r="C100" s="76"/>
      <c r="D100" s="55"/>
      <c r="E100" s="166" t="str">
        <f t="shared" si="28"/>
        <v/>
      </c>
      <c r="F100" s="166" t="str">
        <f t="shared" si="29"/>
        <v/>
      </c>
      <c r="G100" s="98"/>
      <c r="H100" s="71"/>
      <c r="I100" s="184"/>
      <c r="J100" s="81">
        <f t="shared" si="30"/>
        <v>0</v>
      </c>
      <c r="K100" s="81">
        <f t="shared" si="31"/>
        <v>0</v>
      </c>
    </row>
    <row r="101" spans="2:11" ht="14.25" customHeight="1" x14ac:dyDescent="0.2">
      <c r="B101" s="281" t="str">
        <f>IF('Limestone Plant (LP-1)'!$E$4&gt;5,"Controlled with Dust Suppressant or","")</f>
        <v/>
      </c>
      <c r="D101" s="55"/>
      <c r="E101" s="166" t="str">
        <f t="shared" si="28"/>
        <v/>
      </c>
      <c r="F101" s="166" t="str">
        <f t="shared" si="29"/>
        <v/>
      </c>
      <c r="G101" s="98"/>
      <c r="H101" s="71"/>
      <c r="I101" s="184"/>
      <c r="J101" s="81">
        <f t="shared" si="30"/>
        <v>0</v>
      </c>
      <c r="K101" s="81">
        <f t="shared" si="31"/>
        <v>0</v>
      </c>
    </row>
    <row r="102" spans="2:11" ht="14.25" customHeight="1" x14ac:dyDescent="0.2">
      <c r="B102" s="282" t="str">
        <f>IF('Limestone Plant (LP-1)'!$E$4&gt;5,"Material Being Processed has","")</f>
        <v/>
      </c>
      <c r="C102" s="280"/>
      <c r="D102" s="55"/>
      <c r="E102" s="166" t="str">
        <f t="shared" si="28"/>
        <v/>
      </c>
      <c r="F102" s="166" t="str">
        <f t="shared" si="29"/>
        <v/>
      </c>
      <c r="G102" s="98"/>
      <c r="H102" s="71"/>
      <c r="I102" s="184"/>
      <c r="J102" s="81">
        <f t="shared" si="30"/>
        <v>0</v>
      </c>
      <c r="K102" s="81">
        <f t="shared" si="31"/>
        <v>0</v>
      </c>
    </row>
    <row r="103" spans="2:11" ht="14.25" customHeight="1" x14ac:dyDescent="0.2">
      <c r="B103" s="284" t="str">
        <f>IF('Limestone Plant (LP-1)'!$E$4&gt;5,"Moisture Content &gt; 1.5%?","")</f>
        <v/>
      </c>
      <c r="C103" s="55"/>
      <c r="D103" s="55"/>
      <c r="E103" s="166" t="str">
        <f t="shared" si="28"/>
        <v/>
      </c>
      <c r="F103" s="166" t="str">
        <f t="shared" si="29"/>
        <v/>
      </c>
      <c r="G103" s="98"/>
      <c r="H103" s="71"/>
      <c r="I103" s="184"/>
      <c r="J103" s="81">
        <f t="shared" si="30"/>
        <v>0</v>
      </c>
      <c r="K103" s="81">
        <f t="shared" si="31"/>
        <v>0</v>
      </c>
    </row>
    <row r="104" spans="2:11" ht="14.25" customHeight="1" x14ac:dyDescent="0.2">
      <c r="B104" s="55"/>
      <c r="C104" s="55"/>
      <c r="D104" s="55"/>
      <c r="E104" s="166" t="str">
        <f t="shared" si="28"/>
        <v/>
      </c>
      <c r="F104" s="166" t="str">
        <f t="shared" si="29"/>
        <v/>
      </c>
      <c r="G104" s="98"/>
      <c r="H104" s="71"/>
      <c r="I104" s="184"/>
      <c r="J104" s="81">
        <f t="shared" si="30"/>
        <v>0</v>
      </c>
      <c r="K104" s="81">
        <f t="shared" si="31"/>
        <v>0</v>
      </c>
    </row>
    <row r="105" spans="2:11" ht="14.25" customHeight="1" x14ac:dyDescent="0.2">
      <c r="B105" s="55"/>
      <c r="D105" s="55"/>
      <c r="E105" s="55"/>
      <c r="F105" s="55"/>
      <c r="J105" s="81">
        <f t="shared" si="30"/>
        <v>0</v>
      </c>
      <c r="K105" s="81">
        <f t="shared" si="31"/>
        <v>0</v>
      </c>
    </row>
    <row r="106" spans="2:11" ht="14.25" customHeight="1" x14ac:dyDescent="0.2">
      <c r="B106" s="55"/>
      <c r="D106" s="55"/>
      <c r="E106" s="88" t="str">
        <f>IF('Limestone Plant (LP-1)'!$E$4&gt;5,"Stock Pile Area","")</f>
        <v/>
      </c>
      <c r="F106" s="88"/>
      <c r="G106" s="89"/>
    </row>
    <row r="107" spans="2:11" ht="14.25" customHeight="1" x14ac:dyDescent="0.2">
      <c r="B107" s="55"/>
      <c r="F107" s="60" t="str">
        <f>IF('Limestone Plant (LP-1)'!$E$4&gt;5,"Emission Unit #","")</f>
        <v/>
      </c>
      <c r="G107" s="95" t="str">
        <f>IF('Limestone Plant (LP-1)'!$E$4&gt;5,"Maximum Storage Area (acres)","")</f>
        <v/>
      </c>
      <c r="H107" s="96" t="str">
        <f>IF('Limestone Plant (LP-1)'!$E$4&gt;5,"Actual Storage Area (acres)","")</f>
        <v/>
      </c>
      <c r="I107" s="95" t="str">
        <f>IF('Limestone Plant (LP-1)'!$E$4&gt;5,"Actual Days in Existence (days)","")</f>
        <v/>
      </c>
    </row>
    <row r="108" spans="2:11" ht="14.25" customHeight="1" x14ac:dyDescent="0.2">
      <c r="B108" s="55"/>
      <c r="D108" s="90"/>
      <c r="F108" s="77"/>
      <c r="G108" s="126"/>
      <c r="H108" s="78"/>
      <c r="I108" s="126"/>
    </row>
    <row r="109" spans="2:11" ht="21.75" customHeight="1" x14ac:dyDescent="0.2">
      <c r="B109" s="55"/>
    </row>
    <row r="111" spans="2:11" ht="27.75" customHeight="1" x14ac:dyDescent="0.25">
      <c r="B111" s="92" t="str">
        <f>IF('Limestone Plant (LP-1)'!$E$4&gt;6,"CRUSHER PLANT","")</f>
        <v/>
      </c>
      <c r="C111" s="84" t="str">
        <f>IF('Limestone Plant (LP-1)'!$E$4&gt;6,"Site 7","")</f>
        <v/>
      </c>
      <c r="E111" s="213" t="str">
        <f>IF('Limestone Plant (LP-1)'!$E$4&gt;6,"Emission Point #","")</f>
        <v/>
      </c>
      <c r="F111" s="213" t="str">
        <f>IF('Limestone Plant (LP-1)'!$E$4&gt;6,"Emission     Unit #","")</f>
        <v/>
      </c>
      <c r="G111" s="213" t="str">
        <f>IF('Limestone Plant (LP-1)'!$E$4&gt;6,"Processes","")</f>
        <v/>
      </c>
      <c r="H111" s="220" t="str">
        <f>IF('Limestone Plant (LP-1)'!$E$4&gt;6,"Combined Maximum Hourly Design Rate for all Like Processes (tons/hr)","")</f>
        <v/>
      </c>
      <c r="I111" s="213" t="str">
        <f>IF('Limestone Plant (LP-1)'!$E$4&gt;6,('Facility Information'!G5&amp;" Annual Throughput (tons)"),"")</f>
        <v/>
      </c>
    </row>
    <row r="112" spans="2:11" ht="14.25" customHeight="1" x14ac:dyDescent="0.2">
      <c r="B112" s="84"/>
      <c r="D112" s="55"/>
      <c r="E112" s="166" t="str">
        <f>IF(G112="","","LP-1 EP-1")</f>
        <v/>
      </c>
      <c r="F112" s="166" t="str">
        <f>IF(G112="","",IF(G112="primary crusher","LP-1 EU-1",IF(G112="screening","LP-1 EU-2",IF(G112="secondary crusher","LP-1 EU-3",IF(G112="tertiary crusher","LP-1 EU-4",IF(G112="fines crushing","LP-1 EU-5",IF(G112="fines screening","LP-1 EU-6",IF(G112="wet drilling: unfragmented stone","LP-1 EU-7",IF(G112="conveyor transfer points","LP-1 EU-8")))))))))</f>
        <v/>
      </c>
      <c r="G112" s="98"/>
      <c r="H112" s="71"/>
      <c r="I112" s="184"/>
    </row>
    <row r="113" spans="2:11" ht="14.25" customHeight="1" x14ac:dyDescent="0.2">
      <c r="B113" s="94" t="str">
        <f>IF('Limestone Plant (LP-1)'!$E$4&gt;6,"Site Name:","")</f>
        <v/>
      </c>
      <c r="C113" s="76"/>
      <c r="D113" s="55"/>
      <c r="E113" s="166" t="str">
        <f t="shared" ref="E113:E119" si="32">IF(G113="","","LP-1 EP-1")</f>
        <v/>
      </c>
      <c r="F113" s="166" t="str">
        <f t="shared" ref="F113:F119" si="33">IF(G113="","",IF(G113="primary crusher","LP-1 EU-1",IF(G113="screening","LP-1 EU-2",IF(G113="secondary crusher","LP-1 EU-3",IF(G113="tertiary crusher","LP-1 EU-4",IF(G113="fines crushing","LP-1 EU-5",IF(G113="fines screening","LP-1 EU-6",IF(G113="wet drilling: unfragmented stone","LP-1 EU-7",IF(G113="conveyor transfer points","LP-1 EU-8")))))))))</f>
        <v/>
      </c>
      <c r="G113" s="98"/>
      <c r="H113" s="71"/>
      <c r="I113" s="184"/>
      <c r="J113" s="81">
        <f t="shared" ref="J113:J120" si="34">IF($C$117="no",I112,0)</f>
        <v>0</v>
      </c>
      <c r="K113" s="81">
        <f t="shared" ref="K113:K120" si="35">IF($C$117="yes",I112,0)</f>
        <v>0</v>
      </c>
    </row>
    <row r="114" spans="2:11" ht="14.25" customHeight="1" x14ac:dyDescent="0.2">
      <c r="B114" s="94" t="str">
        <f>IF('Limestone Plant (LP-1)'!$E$4&gt;6,"County:","")</f>
        <v/>
      </c>
      <c r="C114" s="76"/>
      <c r="D114" s="55"/>
      <c r="E114" s="166" t="str">
        <f t="shared" si="32"/>
        <v/>
      </c>
      <c r="F114" s="166" t="str">
        <f t="shared" si="33"/>
        <v/>
      </c>
      <c r="G114" s="98"/>
      <c r="H114" s="71"/>
      <c r="I114" s="184"/>
      <c r="J114" s="81">
        <f t="shared" si="34"/>
        <v>0</v>
      </c>
      <c r="K114" s="81">
        <f t="shared" si="35"/>
        <v>0</v>
      </c>
    </row>
    <row r="115" spans="2:11" ht="14.25" customHeight="1" x14ac:dyDescent="0.2">
      <c r="B115" s="94" t="str">
        <f>IF('Limestone Plant (LP-1)'!$E$4&gt;6,"Crushing Period (Dates):","")</f>
        <v/>
      </c>
      <c r="C115" s="76"/>
      <c r="D115" s="55"/>
      <c r="E115" s="166" t="str">
        <f t="shared" si="32"/>
        <v/>
      </c>
      <c r="F115" s="166" t="str">
        <f t="shared" si="33"/>
        <v/>
      </c>
      <c r="G115" s="98"/>
      <c r="H115" s="71"/>
      <c r="I115" s="184"/>
      <c r="J115" s="81">
        <f t="shared" si="34"/>
        <v>0</v>
      </c>
      <c r="K115" s="81">
        <f t="shared" si="35"/>
        <v>0</v>
      </c>
    </row>
    <row r="116" spans="2:11" ht="14.25" customHeight="1" x14ac:dyDescent="0.2">
      <c r="B116" s="281" t="str">
        <f>IF('Limestone Plant (LP-1)'!$E$4&gt;6,"Controlled with Dust Suppressant or","")</f>
        <v/>
      </c>
      <c r="D116" s="55"/>
      <c r="E116" s="166" t="str">
        <f t="shared" si="32"/>
        <v/>
      </c>
      <c r="F116" s="166" t="str">
        <f t="shared" si="33"/>
        <v/>
      </c>
      <c r="G116" s="98"/>
      <c r="H116" s="71"/>
      <c r="I116" s="184"/>
      <c r="J116" s="81">
        <f t="shared" si="34"/>
        <v>0</v>
      </c>
      <c r="K116" s="81">
        <f t="shared" si="35"/>
        <v>0</v>
      </c>
    </row>
    <row r="117" spans="2:11" ht="14.25" customHeight="1" x14ac:dyDescent="0.2">
      <c r="B117" s="282" t="str">
        <f>IF('Limestone Plant (LP-1)'!$E$4&gt;6,"Material Being Processed has","")</f>
        <v/>
      </c>
      <c r="C117" s="280"/>
      <c r="D117" s="55"/>
      <c r="E117" s="166" t="str">
        <f t="shared" si="32"/>
        <v/>
      </c>
      <c r="F117" s="166" t="str">
        <f t="shared" si="33"/>
        <v/>
      </c>
      <c r="G117" s="98"/>
      <c r="H117" s="71"/>
      <c r="I117" s="184"/>
      <c r="J117" s="81">
        <f t="shared" si="34"/>
        <v>0</v>
      </c>
      <c r="K117" s="81">
        <f t="shared" si="35"/>
        <v>0</v>
      </c>
    </row>
    <row r="118" spans="2:11" ht="14.25" customHeight="1" x14ac:dyDescent="0.2">
      <c r="B118" s="284" t="str">
        <f>IF('Limestone Plant (LP-1)'!$E$4&gt;6,"Moisture Content &gt; 1.5%?","")</f>
        <v/>
      </c>
      <c r="C118" s="55"/>
      <c r="D118" s="55"/>
      <c r="E118" s="166" t="str">
        <f t="shared" si="32"/>
        <v/>
      </c>
      <c r="F118" s="166" t="str">
        <f t="shared" si="33"/>
        <v/>
      </c>
      <c r="G118" s="98"/>
      <c r="H118" s="71"/>
      <c r="I118" s="184"/>
      <c r="J118" s="81">
        <f t="shared" si="34"/>
        <v>0</v>
      </c>
      <c r="K118" s="81">
        <f t="shared" si="35"/>
        <v>0</v>
      </c>
    </row>
    <row r="119" spans="2:11" ht="14.25" customHeight="1" x14ac:dyDescent="0.2">
      <c r="B119" s="55"/>
      <c r="C119" s="55"/>
      <c r="D119" s="55"/>
      <c r="E119" s="166" t="str">
        <f t="shared" si="32"/>
        <v/>
      </c>
      <c r="F119" s="166" t="str">
        <f t="shared" si="33"/>
        <v/>
      </c>
      <c r="G119" s="98"/>
      <c r="H119" s="71"/>
      <c r="I119" s="184"/>
      <c r="J119" s="81">
        <f t="shared" si="34"/>
        <v>0</v>
      </c>
      <c r="K119" s="81">
        <f t="shared" si="35"/>
        <v>0</v>
      </c>
    </row>
    <row r="120" spans="2:11" ht="14.25" customHeight="1" x14ac:dyDescent="0.2">
      <c r="B120" s="55"/>
      <c r="D120" s="55"/>
      <c r="E120" s="55"/>
      <c r="F120" s="55"/>
      <c r="J120" s="81">
        <f t="shared" si="34"/>
        <v>0</v>
      </c>
      <c r="K120" s="81">
        <f t="shared" si="35"/>
        <v>0</v>
      </c>
    </row>
    <row r="121" spans="2:11" ht="14.25" customHeight="1" x14ac:dyDescent="0.2">
      <c r="B121" s="55"/>
      <c r="D121" s="55"/>
      <c r="E121" s="88" t="str">
        <f>IF('Limestone Plant (LP-1)'!$E$4&gt;6,"Stock Pile Area","")</f>
        <v/>
      </c>
      <c r="F121" s="88"/>
      <c r="G121" s="89"/>
    </row>
    <row r="122" spans="2:11" ht="14.25" customHeight="1" x14ac:dyDescent="0.2">
      <c r="B122" s="55"/>
      <c r="F122" s="60" t="str">
        <f>IF('Limestone Plant (LP-1)'!$E$4&gt;6,"Emission Unit #","")</f>
        <v/>
      </c>
      <c r="G122" s="95" t="str">
        <f>IF('Limestone Plant (LP-1)'!$E$4&gt;6,"Maximum Storage Area (acres)","")</f>
        <v/>
      </c>
      <c r="H122" s="96" t="str">
        <f>IF('Limestone Plant (LP-1)'!$E$4&gt;6,"Actual Storage Area (acres)","")</f>
        <v/>
      </c>
      <c r="I122" s="95" t="str">
        <f>IF('Limestone Plant (LP-1)'!$E$4&gt;6,"Actual Days in Existence (days)","")</f>
        <v/>
      </c>
    </row>
    <row r="123" spans="2:11" ht="14.25" customHeight="1" x14ac:dyDescent="0.2">
      <c r="B123" s="55"/>
      <c r="D123" s="90"/>
      <c r="F123" s="77"/>
      <c r="G123" s="126"/>
      <c r="H123" s="78"/>
      <c r="I123" s="126"/>
    </row>
    <row r="124" spans="2:11" ht="23.25" customHeight="1" x14ac:dyDescent="0.2">
      <c r="B124" s="55"/>
    </row>
    <row r="126" spans="2:11" ht="28.5" customHeight="1" x14ac:dyDescent="0.25">
      <c r="B126" s="92" t="str">
        <f>IF('Limestone Plant (LP-1)'!$E$4&gt;7,"CRUSHER PLANT","")</f>
        <v/>
      </c>
      <c r="C126" s="84" t="str">
        <f>IF('Limestone Plant (LP-1)'!$E$4&gt;7,"Site 8","")</f>
        <v/>
      </c>
      <c r="E126" s="213" t="str">
        <f>IF('Limestone Plant (LP-1)'!$E$4&gt;7,"Emission Point #","")</f>
        <v/>
      </c>
      <c r="F126" s="213" t="str">
        <f>IF('Limestone Plant (LP-1)'!$E$4&gt;7,"Emission     Unit #","")</f>
        <v/>
      </c>
      <c r="G126" s="213" t="str">
        <f>IF('Limestone Plant (LP-1)'!$E$4&gt;7,"Processes","")</f>
        <v/>
      </c>
      <c r="H126" s="220" t="str">
        <f>IF('Limestone Plant (LP-1)'!$E$4&gt;7,"Combined Maximum Hourly Design Rate for all Like Processes (tons/hr)","")</f>
        <v/>
      </c>
      <c r="I126" s="213" t="str">
        <f>IF('Limestone Plant (LP-1)'!$E$4&gt;7,('Facility Information'!G5&amp;" Annual Throughput (tons)"),"")</f>
        <v/>
      </c>
    </row>
    <row r="127" spans="2:11" ht="14.25" customHeight="1" x14ac:dyDescent="0.2">
      <c r="B127" s="84"/>
      <c r="D127" s="55"/>
      <c r="E127" s="166" t="str">
        <f>IF(G127="","","LP-1 EP-1")</f>
        <v/>
      </c>
      <c r="F127" s="166" t="str">
        <f>IF(G127="","",IF(G127="primary crusher","LP-1 EU-1",IF(G127="screening","LP-1 EU-2",IF(G127="secondary crusher","LP-1 EU-3",IF(G127="tertiary crusher","LP-1 EU-4",IF(G127="fines crushing","LP-1 EU-5",IF(G127="fines screening","LP-1 EU-6",IF(G127="wet drilling: unfragmented stone","LP-1 EU-7",IF(G127="conveyor transfer points","LP-1 EU-8")))))))))</f>
        <v/>
      </c>
      <c r="G127" s="98"/>
      <c r="H127" s="71"/>
      <c r="I127" s="184"/>
    </row>
    <row r="128" spans="2:11" ht="14.25" customHeight="1" x14ac:dyDescent="0.2">
      <c r="B128" s="94" t="str">
        <f>IF('Limestone Plant (LP-1)'!$E$4&gt;7,"Site Name:","")</f>
        <v/>
      </c>
      <c r="C128" s="76"/>
      <c r="D128" s="55"/>
      <c r="E128" s="166" t="str">
        <f t="shared" ref="E128:E134" si="36">IF(G128="","","LP-1 EP-1")</f>
        <v/>
      </c>
      <c r="F128" s="166" t="str">
        <f t="shared" ref="F128:F134" si="37">IF(G128="","",IF(G128="primary crusher","LP-1 EU-1",IF(G128="screening","LP-1 EU-2",IF(G128="secondary crusher","LP-1 EU-3",IF(G128="tertiary crusher","LP-1 EU-4",IF(G128="fines crushing","LP-1 EU-5",IF(G128="fines screening","LP-1 EU-6",IF(G128="wet drilling: unfragmented stone","LP-1 EU-7",IF(G128="conveyor transfer points","LP-1 EU-8")))))))))</f>
        <v/>
      </c>
      <c r="G128" s="98"/>
      <c r="H128" s="71"/>
      <c r="I128" s="184"/>
      <c r="J128" s="81">
        <f t="shared" ref="J128:J135" si="38">IF($C$132="no",I127,0)</f>
        <v>0</v>
      </c>
      <c r="K128" s="81">
        <f t="shared" ref="K128:K135" si="39">IF($C$132="yes",I127,0)</f>
        <v>0</v>
      </c>
    </row>
    <row r="129" spans="2:11" ht="14.25" customHeight="1" x14ac:dyDescent="0.2">
      <c r="B129" s="94" t="str">
        <f>IF('Limestone Plant (LP-1)'!$E$4&gt;7,"County:","")</f>
        <v/>
      </c>
      <c r="C129" s="76"/>
      <c r="D129" s="55"/>
      <c r="E129" s="166" t="str">
        <f t="shared" si="36"/>
        <v/>
      </c>
      <c r="F129" s="166" t="str">
        <f t="shared" si="37"/>
        <v/>
      </c>
      <c r="G129" s="98"/>
      <c r="H129" s="71"/>
      <c r="I129" s="184"/>
      <c r="J129" s="81">
        <f t="shared" si="38"/>
        <v>0</v>
      </c>
      <c r="K129" s="81">
        <f t="shared" si="39"/>
        <v>0</v>
      </c>
    </row>
    <row r="130" spans="2:11" ht="14.25" customHeight="1" x14ac:dyDescent="0.2">
      <c r="B130" s="94" t="str">
        <f>IF('Limestone Plant (LP-1)'!$E$4&gt;7,"Crushing Period (Dates):","")</f>
        <v/>
      </c>
      <c r="C130" s="76"/>
      <c r="D130" s="55"/>
      <c r="E130" s="166" t="str">
        <f t="shared" si="36"/>
        <v/>
      </c>
      <c r="F130" s="166" t="str">
        <f t="shared" si="37"/>
        <v/>
      </c>
      <c r="G130" s="98"/>
      <c r="H130" s="71"/>
      <c r="I130" s="184"/>
      <c r="J130" s="81">
        <f t="shared" si="38"/>
        <v>0</v>
      </c>
      <c r="K130" s="81">
        <f t="shared" si="39"/>
        <v>0</v>
      </c>
    </row>
    <row r="131" spans="2:11" ht="14.25" customHeight="1" x14ac:dyDescent="0.2">
      <c r="B131" s="281" t="str">
        <f>IF('Limestone Plant (LP-1)'!$E$4&gt;7,"Controlled with Dust Suppressant or ","")</f>
        <v/>
      </c>
      <c r="D131" s="55"/>
      <c r="E131" s="166" t="str">
        <f t="shared" si="36"/>
        <v/>
      </c>
      <c r="F131" s="166" t="str">
        <f t="shared" si="37"/>
        <v/>
      </c>
      <c r="G131" s="98"/>
      <c r="H131" s="71"/>
      <c r="I131" s="184"/>
      <c r="J131" s="81">
        <f t="shared" si="38"/>
        <v>0</v>
      </c>
      <c r="K131" s="81">
        <f t="shared" si="39"/>
        <v>0</v>
      </c>
    </row>
    <row r="132" spans="2:11" ht="14.25" customHeight="1" x14ac:dyDescent="0.2">
      <c r="B132" s="282" t="str">
        <f>IF('Limestone Plant (LP-1)'!$E$4&gt;7,"Material Being Processed has","")</f>
        <v/>
      </c>
      <c r="C132" s="280"/>
      <c r="D132" s="55"/>
      <c r="E132" s="166" t="str">
        <f t="shared" si="36"/>
        <v/>
      </c>
      <c r="F132" s="166" t="str">
        <f t="shared" si="37"/>
        <v/>
      </c>
      <c r="G132" s="98"/>
      <c r="H132" s="71"/>
      <c r="I132" s="184"/>
      <c r="J132" s="81">
        <f t="shared" si="38"/>
        <v>0</v>
      </c>
      <c r="K132" s="81">
        <f t="shared" si="39"/>
        <v>0</v>
      </c>
    </row>
    <row r="133" spans="2:11" ht="14.25" customHeight="1" x14ac:dyDescent="0.2">
      <c r="B133" s="284" t="str">
        <f>IF('Limestone Plant (LP-1)'!$E$4&gt;7,"Moisture Content &gt; 1.5%?","")</f>
        <v/>
      </c>
      <c r="C133" s="55"/>
      <c r="D133" s="55"/>
      <c r="E133" s="166" t="str">
        <f t="shared" si="36"/>
        <v/>
      </c>
      <c r="F133" s="166" t="str">
        <f t="shared" si="37"/>
        <v/>
      </c>
      <c r="G133" s="98"/>
      <c r="H133" s="71"/>
      <c r="I133" s="184"/>
      <c r="J133" s="81">
        <f t="shared" si="38"/>
        <v>0</v>
      </c>
      <c r="K133" s="81">
        <f t="shared" si="39"/>
        <v>0</v>
      </c>
    </row>
    <row r="134" spans="2:11" ht="14.25" customHeight="1" x14ac:dyDescent="0.2">
      <c r="B134" s="55"/>
      <c r="D134" s="55"/>
      <c r="E134" s="166" t="str">
        <f t="shared" si="36"/>
        <v/>
      </c>
      <c r="F134" s="166" t="str">
        <f t="shared" si="37"/>
        <v/>
      </c>
      <c r="G134" s="98"/>
      <c r="H134" s="71"/>
      <c r="I134" s="184"/>
      <c r="J134" s="81">
        <f t="shared" si="38"/>
        <v>0</v>
      </c>
      <c r="K134" s="81">
        <f t="shared" si="39"/>
        <v>0</v>
      </c>
    </row>
    <row r="135" spans="2:11" ht="14.25" customHeight="1" x14ac:dyDescent="0.2">
      <c r="B135" s="55"/>
      <c r="C135" s="55"/>
      <c r="D135" s="55"/>
      <c r="E135" s="55"/>
      <c r="F135" s="55"/>
      <c r="J135" s="81">
        <f t="shared" si="38"/>
        <v>0</v>
      </c>
      <c r="K135" s="81">
        <f t="shared" si="39"/>
        <v>0</v>
      </c>
    </row>
    <row r="136" spans="2:11" ht="14.25" customHeight="1" x14ac:dyDescent="0.2">
      <c r="B136" s="55"/>
      <c r="C136" s="55"/>
      <c r="D136" s="55"/>
      <c r="E136" s="88" t="str">
        <f>IF('Limestone Plant (LP-1)'!$E$4&gt;7,"Stock Pile Area","")</f>
        <v/>
      </c>
      <c r="F136" s="88"/>
      <c r="G136" s="89"/>
    </row>
    <row r="137" spans="2:11" ht="14.25" customHeight="1" x14ac:dyDescent="0.2">
      <c r="B137" s="55"/>
      <c r="F137" s="60" t="str">
        <f>IF('Limestone Plant (LP-1)'!$E$4&gt;7,"Emission Unit #","")</f>
        <v/>
      </c>
      <c r="G137" s="95" t="str">
        <f>IF('Limestone Plant (LP-1)'!$E$4&gt;7,"Maximum Storage Area (acres)","")</f>
        <v/>
      </c>
      <c r="H137" s="96" t="str">
        <f>IF('Limestone Plant (LP-1)'!$E$4&gt;7,"Actual Storage Area (acres)","")</f>
        <v/>
      </c>
      <c r="I137" s="95" t="str">
        <f>IF('Limestone Plant (LP-1)'!$E$4&gt;7,"Actual Days in Existence (days)","")</f>
        <v/>
      </c>
    </row>
    <row r="138" spans="2:11" ht="14.25" customHeight="1" x14ac:dyDescent="0.2">
      <c r="B138" s="55"/>
      <c r="D138" s="90"/>
      <c r="F138" s="77"/>
      <c r="G138" s="126"/>
      <c r="H138" s="78"/>
      <c r="I138" s="126"/>
    </row>
    <row r="139" spans="2:11" ht="14.25" customHeight="1" x14ac:dyDescent="0.2">
      <c r="B139" s="55"/>
    </row>
    <row r="140" spans="2:11" ht="29.25" customHeight="1" x14ac:dyDescent="0.2"/>
    <row r="141" spans="2:11" ht="27.75" customHeight="1" x14ac:dyDescent="0.25">
      <c r="B141" s="92" t="str">
        <f>IF('Limestone Plant (LP-1)'!$E$4&gt;8,"CRUSHER PLANT","")</f>
        <v/>
      </c>
      <c r="C141" s="84" t="str">
        <f>IF('Limestone Plant (LP-1)'!$E$4&gt;8,"Site 9","")</f>
        <v/>
      </c>
      <c r="E141" s="213" t="str">
        <f>IF('Limestone Plant (LP-1)'!$E$4&gt;8,"Emission Point #","")</f>
        <v/>
      </c>
      <c r="F141" s="213" t="str">
        <f>IF('Limestone Plant (LP-1)'!$E$4&gt;8,"Emission     Unit #","")</f>
        <v/>
      </c>
      <c r="G141" s="213" t="str">
        <f>IF('Limestone Plant (LP-1)'!$E$4&gt;8,"Processes","")</f>
        <v/>
      </c>
      <c r="H141" s="220" t="str">
        <f>IF('Limestone Plant (LP-1)'!$E$4&gt;8,"Combined Maximum Hourly Design Rate for all Like Processes (tons/hr)","")</f>
        <v/>
      </c>
      <c r="I141" s="213" t="str">
        <f>IF('Limestone Plant (LP-1)'!$E$4&gt;8,('Facility Information'!G5&amp;" Annual Throughput (tons)"),"")</f>
        <v/>
      </c>
    </row>
    <row r="142" spans="2:11" ht="14.25" customHeight="1" x14ac:dyDescent="0.2">
      <c r="B142" s="84"/>
      <c r="C142" s="161"/>
      <c r="D142" s="55"/>
      <c r="E142" s="166" t="str">
        <f>IF(G142="","","LP-1 EP-1")</f>
        <v/>
      </c>
      <c r="F142" s="166" t="str">
        <f>IF(G142="","",IF(G142="primary crusher","LP-1 EU-1",IF(G142="screening","LP-1 EU-2",IF(G142="secondary crusher","LP-1 EU-3",IF(G142="tertiary crusher","LP-1 EU-4",IF(G142="fines crushing","LP-1 EU-5",IF(G142="fines screening","LP-1 EU-6",IF(G142="wet drilling: unfragmented stone","LP-1 EU-7",IF(G142="conveyor transfer points","LP-1 EU-8")))))))))</f>
        <v/>
      </c>
      <c r="G142" s="98"/>
      <c r="H142" s="71"/>
      <c r="I142" s="184"/>
    </row>
    <row r="143" spans="2:11" ht="14.25" customHeight="1" x14ac:dyDescent="0.2">
      <c r="B143" s="94" t="str">
        <f>IF('Limestone Plant (LP-1)'!$E$4&gt;8,"Site Name:","")</f>
        <v/>
      </c>
      <c r="C143" s="76"/>
      <c r="D143" s="55"/>
      <c r="E143" s="166" t="str">
        <f t="shared" ref="E143:E149" si="40">IF(G143="","","LP-1 EP-1")</f>
        <v/>
      </c>
      <c r="F143" s="166" t="str">
        <f t="shared" ref="F143:F148" si="41">IF(G143="","",IF(G143="primary crusher","LP-1 EU-1",IF(G143="screening","LP-1 EU-2",IF(G143="secondary crusher","LP-1 EU-3",IF(G143="tertiary crusher","LP-1 EU-4",IF(G143="fines crushing","LP-1 EU-5",IF(G143="fines screening","LP-1 EU-6",IF(G143="wet drilling: unfragmented stone","LP-1 EU-7",IF(G143="conveyor transfer points","LP-1 EU-8")))))))))</f>
        <v/>
      </c>
      <c r="G143" s="98"/>
      <c r="H143" s="71"/>
      <c r="I143" s="184"/>
      <c r="J143" s="81">
        <f t="shared" ref="J143:J150" si="42">IF($C$147="no",I142,0)</f>
        <v>0</v>
      </c>
      <c r="K143" s="81">
        <f t="shared" ref="K143:K150" si="43">IF($C$147="yes",I142,0)</f>
        <v>0</v>
      </c>
    </row>
    <row r="144" spans="2:11" ht="14.25" customHeight="1" x14ac:dyDescent="0.2">
      <c r="B144" s="94" t="str">
        <f>IF('Limestone Plant (LP-1)'!$E$4&gt;8,"County:","")</f>
        <v/>
      </c>
      <c r="C144" s="76"/>
      <c r="D144" s="55"/>
      <c r="E144" s="166" t="str">
        <f t="shared" si="40"/>
        <v/>
      </c>
      <c r="F144" s="166" t="str">
        <f t="shared" si="41"/>
        <v/>
      </c>
      <c r="G144" s="98"/>
      <c r="H144" s="71"/>
      <c r="I144" s="184"/>
      <c r="J144" s="81">
        <f t="shared" si="42"/>
        <v>0</v>
      </c>
      <c r="K144" s="81">
        <f t="shared" si="43"/>
        <v>0</v>
      </c>
    </row>
    <row r="145" spans="2:11" ht="14.25" customHeight="1" x14ac:dyDescent="0.2">
      <c r="B145" s="94" t="str">
        <f>IF('Limestone Plant (LP-1)'!$E$4&gt;8,"Crushing Period (Dates):","")</f>
        <v/>
      </c>
      <c r="C145" s="76"/>
      <c r="D145" s="55"/>
      <c r="E145" s="166" t="str">
        <f t="shared" si="40"/>
        <v/>
      </c>
      <c r="F145" s="166" t="str">
        <f t="shared" si="41"/>
        <v/>
      </c>
      <c r="G145" s="98"/>
      <c r="H145" s="71"/>
      <c r="I145" s="184"/>
      <c r="J145" s="81">
        <f t="shared" si="42"/>
        <v>0</v>
      </c>
      <c r="K145" s="81">
        <f t="shared" si="43"/>
        <v>0</v>
      </c>
    </row>
    <row r="146" spans="2:11" ht="14.25" customHeight="1" x14ac:dyDescent="0.2">
      <c r="B146" s="281" t="str">
        <f>IF('Limestone Plant (LP-1)'!$E$4&gt;8,"Controlled with Dust Suppressant or","")</f>
        <v/>
      </c>
      <c r="D146" s="55"/>
      <c r="E146" s="166" t="str">
        <f t="shared" si="40"/>
        <v/>
      </c>
      <c r="F146" s="166" t="str">
        <f t="shared" si="41"/>
        <v/>
      </c>
      <c r="G146" s="98"/>
      <c r="H146" s="71"/>
      <c r="I146" s="184"/>
      <c r="J146" s="81">
        <f t="shared" si="42"/>
        <v>0</v>
      </c>
      <c r="K146" s="81">
        <f t="shared" si="43"/>
        <v>0</v>
      </c>
    </row>
    <row r="147" spans="2:11" ht="14.25" customHeight="1" x14ac:dyDescent="0.2">
      <c r="B147" s="282" t="str">
        <f>IF('Limestone Plant (LP-1)'!$E$4&gt;8,"Material Being Processed has","")</f>
        <v/>
      </c>
      <c r="C147" s="280"/>
      <c r="D147" s="55"/>
      <c r="E147" s="166" t="str">
        <f t="shared" si="40"/>
        <v/>
      </c>
      <c r="F147" s="166" t="str">
        <f t="shared" si="41"/>
        <v/>
      </c>
      <c r="G147" s="98"/>
      <c r="H147" s="71"/>
      <c r="I147" s="184"/>
      <c r="J147" s="81">
        <f t="shared" si="42"/>
        <v>0</v>
      </c>
      <c r="K147" s="81">
        <f t="shared" si="43"/>
        <v>0</v>
      </c>
    </row>
    <row r="148" spans="2:11" ht="14.25" customHeight="1" x14ac:dyDescent="0.2">
      <c r="B148" s="284" t="str">
        <f>IF('Limestone Plant (LP-1)'!$E$4&gt;8,"Moisture Content &gt; 1.5%?","")</f>
        <v/>
      </c>
      <c r="C148" s="294"/>
      <c r="D148" s="55"/>
      <c r="E148" s="166" t="str">
        <f t="shared" si="40"/>
        <v/>
      </c>
      <c r="F148" s="166" t="str">
        <f t="shared" si="41"/>
        <v/>
      </c>
      <c r="G148" s="98"/>
      <c r="H148" s="71"/>
      <c r="I148" s="184"/>
      <c r="J148" s="81">
        <f t="shared" si="42"/>
        <v>0</v>
      </c>
      <c r="K148" s="81">
        <f t="shared" si="43"/>
        <v>0</v>
      </c>
    </row>
    <row r="149" spans="2:11" ht="14.25" customHeight="1" x14ac:dyDescent="0.2">
      <c r="B149" s="55"/>
      <c r="C149" s="55"/>
      <c r="D149" s="55"/>
      <c r="E149" s="166" t="str">
        <f t="shared" si="40"/>
        <v/>
      </c>
      <c r="F149" s="166" t="str">
        <f>IF(G149="","",IF(G149="primary crusher","LP-1 EU-1",IF(G149="screening","LP-1 EU-2",IF(G149="secondary crusher","LP-1 EU-3",IF(G149="tertiary crusher","LP-1 EU-4",IF(G149="fines crushing","LP-1 EU-5",IF(G149="fines screening","LP-1 EU-6",IF(G149="wet drilling: unfragmented stone","LP-1 EU-7",IF(G149="conveyor transfer points","LP-1 EU-8")))))))))</f>
        <v/>
      </c>
      <c r="G149" s="98"/>
      <c r="H149" s="71"/>
      <c r="I149" s="184"/>
      <c r="J149" s="81">
        <f t="shared" si="42"/>
        <v>0</v>
      </c>
      <c r="K149" s="81">
        <f t="shared" si="43"/>
        <v>0</v>
      </c>
    </row>
    <row r="150" spans="2:11" ht="14.25" customHeight="1" x14ac:dyDescent="0.2">
      <c r="B150" s="55"/>
      <c r="D150" s="55"/>
      <c r="E150" s="55"/>
      <c r="F150" s="55"/>
      <c r="J150" s="81">
        <f t="shared" si="42"/>
        <v>0</v>
      </c>
      <c r="K150" s="81">
        <f t="shared" si="43"/>
        <v>0</v>
      </c>
    </row>
    <row r="151" spans="2:11" ht="14.25" customHeight="1" x14ac:dyDescent="0.2">
      <c r="B151" s="55"/>
      <c r="D151" s="55"/>
      <c r="E151" s="88" t="str">
        <f>IF('Limestone Plant (LP-1)'!$E$4&gt;8,"Stock Pile Area","")</f>
        <v/>
      </c>
      <c r="F151" s="88"/>
      <c r="G151" s="89"/>
    </row>
    <row r="152" spans="2:11" ht="14.25" customHeight="1" x14ac:dyDescent="0.2">
      <c r="B152" s="55"/>
      <c r="F152" s="60" t="str">
        <f>IF('Limestone Plant (LP-1)'!$E$4&gt;8,"Emission Unit #","")</f>
        <v/>
      </c>
      <c r="G152" s="95" t="str">
        <f>IF('Limestone Plant (LP-1)'!$E$4&gt;8,"Maximum Storage Area (acres)","")</f>
        <v/>
      </c>
      <c r="H152" s="96" t="str">
        <f>IF('Limestone Plant (LP-1)'!$E$4&gt;8,"Actual Storage Area (acres)","")</f>
        <v/>
      </c>
      <c r="I152" s="95" t="str">
        <f>IF('Limestone Plant (LP-1)'!$E$4&gt;8,"Actual Days in Existence (days)","")</f>
        <v/>
      </c>
    </row>
    <row r="153" spans="2:11" ht="14.25" customHeight="1" x14ac:dyDescent="0.2">
      <c r="B153" s="55"/>
      <c r="D153" s="90"/>
      <c r="F153" s="77"/>
      <c r="G153" s="126"/>
      <c r="H153" s="78"/>
      <c r="I153" s="126"/>
    </row>
    <row r="154" spans="2:11" ht="14.25" customHeight="1" x14ac:dyDescent="0.2">
      <c r="B154" s="55"/>
    </row>
    <row r="156" spans="2:11" ht="27.75" customHeight="1" x14ac:dyDescent="0.25">
      <c r="B156" s="92" t="str">
        <f>IF('Limestone Plant (LP-1)'!$E$4&gt;9,"CRUSHER PLANT","")</f>
        <v/>
      </c>
      <c r="C156" s="84" t="str">
        <f>IF('Limestone Plant (LP-1)'!$E$4&gt;9,"Site 10","")</f>
        <v/>
      </c>
      <c r="E156" s="213" t="str">
        <f>IF('Limestone Plant (LP-1)'!$E$4&gt;9,"Emission Point #","")</f>
        <v/>
      </c>
      <c r="F156" s="213" t="str">
        <f>IF('Limestone Plant (LP-1)'!$E$4&gt;9,"Emission     Unit #","")</f>
        <v/>
      </c>
      <c r="G156" s="213" t="str">
        <f>IF('Limestone Plant (LP-1)'!$E$4&gt;9,"Processes","")</f>
        <v/>
      </c>
      <c r="H156" s="220" t="str">
        <f>IF('Limestone Plant (LP-1)'!$E$4&gt;9,"Combined Maximum Hourly Design Rate for all Like Processes (tons/hr)","")</f>
        <v/>
      </c>
      <c r="I156" s="213" t="str">
        <f>IF('Limestone Plant (LP-1)'!$E$4&gt;9,('Facility Information'!G5&amp;" Annual Throughput (tons)"),"")</f>
        <v/>
      </c>
    </row>
    <row r="157" spans="2:11" ht="14.25" customHeight="1" x14ac:dyDescent="0.2">
      <c r="B157" s="84"/>
      <c r="D157" s="55"/>
      <c r="E157" s="166" t="str">
        <f>IF(G157="","","LP-1 EP-1")</f>
        <v/>
      </c>
      <c r="F157" s="166" t="str">
        <f>IF(G157="","",IF(G157="primary crusher","LP-1 EU-1",IF(G157="screening","LP-1 EU-2",IF(G157="secondary crusher","LP-1 EU-3",IF(G157="tertiary crusher","LP-1 EU-4",IF(G157="fines crushing","LP-1 EU-5",IF(G157="fines screening","LP-1 EU-6",IF(G157="wet drilling: unfragmented stone","LP-1 EU-7",IF(G157="conveyor transfer points","LP-1 EU-8")))))))))</f>
        <v/>
      </c>
      <c r="G157" s="98"/>
      <c r="H157" s="71"/>
      <c r="I157" s="184"/>
    </row>
    <row r="158" spans="2:11" ht="14.25" customHeight="1" x14ac:dyDescent="0.2">
      <c r="B158" s="94" t="str">
        <f>IF('Limestone Plant (LP-1)'!$E$4&gt;9,"Site Name:","")</f>
        <v/>
      </c>
      <c r="C158" s="76"/>
      <c r="D158" s="55"/>
      <c r="E158" s="166" t="str">
        <f t="shared" ref="E158:E164" si="44">IF(G158="","","LP-1 EP-1")</f>
        <v/>
      </c>
      <c r="F158" s="166" t="str">
        <f t="shared" ref="F158:F164" si="45">IF(G158="","",IF(G158="primary crusher","LP-1 EU-1",IF(G158="screening","LP-1 EU-2",IF(G158="secondary crusher","LP-1 EU-3",IF(G158="tertiary crusher","LP-1 EU-4",IF(G158="fines crushing","LP-1 EU-5",IF(G158="fines screening","LP-1 EU-6",IF(G158="wet drilling: unfragmented stone","LP-1 EU-7",IF(G158="conveyor transfer points","LP-1 EU-8")))))))))</f>
        <v/>
      </c>
      <c r="G158" s="98"/>
      <c r="H158" s="71"/>
      <c r="I158" s="184"/>
      <c r="J158" s="81">
        <f>IF($C162="no",I157,0)</f>
        <v>0</v>
      </c>
    </row>
    <row r="159" spans="2:11" ht="14.25" customHeight="1" x14ac:dyDescent="0.2">
      <c r="B159" s="94" t="str">
        <f>IF('Limestone Plant (LP-1)'!$E$4&gt;9,"County:","")</f>
        <v/>
      </c>
      <c r="C159" s="76"/>
      <c r="D159" s="55"/>
      <c r="E159" s="166" t="str">
        <f t="shared" si="44"/>
        <v/>
      </c>
      <c r="F159" s="166" t="str">
        <f t="shared" si="45"/>
        <v/>
      </c>
      <c r="G159" s="98"/>
      <c r="H159" s="71"/>
      <c r="I159" s="184"/>
    </row>
    <row r="160" spans="2:11" ht="14.25" customHeight="1" x14ac:dyDescent="0.2">
      <c r="B160" s="94" t="str">
        <f>IF('Limestone Plant (LP-1)'!$E$4&gt;9,"Crushing Period (Dates):","")</f>
        <v/>
      </c>
      <c r="C160" s="76"/>
      <c r="D160" s="55"/>
      <c r="E160" s="166" t="str">
        <f t="shared" si="44"/>
        <v/>
      </c>
      <c r="F160" s="166" t="str">
        <f t="shared" si="45"/>
        <v/>
      </c>
      <c r="G160" s="98"/>
      <c r="H160" s="71"/>
      <c r="I160" s="184"/>
    </row>
    <row r="161" spans="2:9" ht="14.25" customHeight="1" x14ac:dyDescent="0.2">
      <c r="B161" s="281" t="str">
        <f>IF('Limestone Plant (LP-1)'!$E$4&gt;9,"Controlled with Dust Suppressant or","")</f>
        <v/>
      </c>
      <c r="D161" s="55"/>
      <c r="E161" s="166" t="str">
        <f t="shared" si="44"/>
        <v/>
      </c>
      <c r="F161" s="166" t="str">
        <f t="shared" si="45"/>
        <v/>
      </c>
      <c r="G161" s="98"/>
      <c r="H161" s="71"/>
      <c r="I161" s="184"/>
    </row>
    <row r="162" spans="2:9" ht="14.25" customHeight="1" x14ac:dyDescent="0.2">
      <c r="B162" s="282" t="str">
        <f>IF('Limestone Plant (LP-1)'!$E$4&gt;9,"Material Being Processed has","")</f>
        <v/>
      </c>
      <c r="C162" s="280"/>
      <c r="D162" s="55"/>
      <c r="E162" s="166" t="str">
        <f t="shared" si="44"/>
        <v/>
      </c>
      <c r="F162" s="166" t="str">
        <f t="shared" si="45"/>
        <v/>
      </c>
      <c r="G162" s="98"/>
      <c r="H162" s="71"/>
      <c r="I162" s="184"/>
    </row>
    <row r="163" spans="2:9" ht="14.25" customHeight="1" x14ac:dyDescent="0.2">
      <c r="B163" s="284" t="str">
        <f>IF('Limestone Plant (LP-1)'!$E$4&gt;9,"Moisture Content &gt; 1.5%?","")</f>
        <v/>
      </c>
      <c r="C163" s="55"/>
      <c r="D163" s="55"/>
      <c r="E163" s="166" t="str">
        <f t="shared" si="44"/>
        <v/>
      </c>
      <c r="F163" s="166" t="str">
        <f t="shared" si="45"/>
        <v/>
      </c>
      <c r="G163" s="98"/>
      <c r="H163" s="71"/>
      <c r="I163" s="184"/>
    </row>
    <row r="164" spans="2:9" ht="14.25" customHeight="1" x14ac:dyDescent="0.2">
      <c r="B164" s="55"/>
      <c r="C164" s="55"/>
      <c r="D164" s="55"/>
      <c r="E164" s="166" t="str">
        <f t="shared" si="44"/>
        <v/>
      </c>
      <c r="F164" s="166" t="str">
        <f t="shared" si="45"/>
        <v/>
      </c>
      <c r="G164" s="98"/>
      <c r="H164" s="71"/>
      <c r="I164" s="184"/>
    </row>
    <row r="165" spans="2:9" ht="14.25" customHeight="1" x14ac:dyDescent="0.2">
      <c r="B165" s="55"/>
      <c r="D165" s="55"/>
      <c r="E165" s="55"/>
      <c r="F165" s="55"/>
    </row>
    <row r="166" spans="2:9" ht="14.25" customHeight="1" x14ac:dyDescent="0.2">
      <c r="B166" s="55"/>
      <c r="D166" s="55"/>
      <c r="E166" s="88" t="str">
        <f>IF('Limestone Plant (LP-1)'!$E$4&gt;9,"Stock Pile Area","")</f>
        <v/>
      </c>
      <c r="F166" s="88"/>
      <c r="G166" s="89"/>
    </row>
    <row r="167" spans="2:9" ht="14.25" customHeight="1" x14ac:dyDescent="0.2">
      <c r="B167" s="55"/>
      <c r="F167" s="60" t="str">
        <f>IF('Limestone Plant (LP-1)'!$E$4&gt;9,"Emission Unit #","")</f>
        <v/>
      </c>
      <c r="G167" s="95" t="str">
        <f>IF('Limestone Plant (LP-1)'!$E$4&gt;9,"Maximum Storage Area (acres)","")</f>
        <v/>
      </c>
      <c r="H167" s="96" t="str">
        <f>IF('Limestone Plant (LP-1)'!$E$4&gt;9,"Actual Storage Area (acres)","")</f>
        <v/>
      </c>
      <c r="I167" s="95" t="str">
        <f>IF('Limestone Plant (LP-1)'!$E$4&gt;9,"Actual Days in Existence (days)","")</f>
        <v/>
      </c>
    </row>
    <row r="168" spans="2:9" ht="14.25" customHeight="1" x14ac:dyDescent="0.2">
      <c r="B168" s="55"/>
      <c r="D168" s="90"/>
      <c r="F168" s="77"/>
      <c r="G168" s="126"/>
      <c r="H168" s="78"/>
      <c r="I168" s="126"/>
    </row>
  </sheetData>
  <sheetProtection algorithmName="SHA-512" hashValue="Xxl9WjelEy7TLo3rvt/zqYOlRKiOMmE7EucCaroRdxdKbDOjlrxgcesfMim591Z13anbUx+rORka1aVhPcioMg==" saltValue="LwVUqd7aCif2jjN78vgoIA==" spinCount="100000" sheet="1"/>
  <conditionalFormatting sqref="B37:B39 B52:B54 B67:B69 C76 B82:B84 C91 B98:B100 C107 B113:B115 B128:B130 B143:B145 B158:B160 F47:I47">
    <cfRule type="notContainsBlanks" dxfId="604" priority="424" stopIfTrue="1">
      <formula>LEN(TRIM(B37))&gt;0</formula>
    </cfRule>
  </conditionalFormatting>
  <conditionalFormatting sqref="C46 B35:C35">
    <cfRule type="notContainsBlanks" dxfId="603" priority="441" stopIfTrue="1">
      <formula>LEN(TRIM(B35))&gt;0</formula>
    </cfRule>
  </conditionalFormatting>
  <conditionalFormatting sqref="F62:I62">
    <cfRule type="notContainsBlanks" dxfId="602" priority="81" stopIfTrue="1">
      <formula>LEN(TRIM(F62))&gt;0</formula>
    </cfRule>
  </conditionalFormatting>
  <conditionalFormatting sqref="C60 B50:C50">
    <cfRule type="notContainsBlanks" dxfId="601" priority="443" stopIfTrue="1">
      <formula>LEN(TRIM(B50))&gt;0</formula>
    </cfRule>
  </conditionalFormatting>
  <conditionalFormatting sqref="F77:I77">
    <cfRule type="notContainsBlanks" dxfId="600" priority="76" stopIfTrue="1">
      <formula>LEN(TRIM(F77))&gt;0</formula>
    </cfRule>
  </conditionalFormatting>
  <conditionalFormatting sqref="C75 B65:C65">
    <cfRule type="notContainsBlanks" dxfId="599" priority="77" stopIfTrue="1">
      <formula>LEN(TRIM(B65))&gt;0</formula>
    </cfRule>
  </conditionalFormatting>
  <conditionalFormatting sqref="F92:I92">
    <cfRule type="notContainsBlanks" dxfId="598" priority="71" stopIfTrue="1">
      <formula>LEN(TRIM(F92))&gt;0</formula>
    </cfRule>
  </conditionalFormatting>
  <conditionalFormatting sqref="C90 B80:C80">
    <cfRule type="notContainsBlanks" dxfId="597" priority="72" stopIfTrue="1">
      <formula>LEN(TRIM(B80))&gt;0</formula>
    </cfRule>
  </conditionalFormatting>
  <conditionalFormatting sqref="F107:I107">
    <cfRule type="notContainsBlanks" dxfId="596" priority="66" stopIfTrue="1">
      <formula>LEN(TRIM(F107))&gt;0</formula>
    </cfRule>
  </conditionalFormatting>
  <conditionalFormatting sqref="C106 B96:C96">
    <cfRule type="notContainsBlanks" dxfId="595" priority="67" stopIfTrue="1">
      <formula>LEN(TRIM(B96))&gt;0</formula>
    </cfRule>
  </conditionalFormatting>
  <conditionalFormatting sqref="F122:I122">
    <cfRule type="notContainsBlanks" dxfId="594" priority="61" stopIfTrue="1">
      <formula>LEN(TRIM(F122))&gt;0</formula>
    </cfRule>
  </conditionalFormatting>
  <conditionalFormatting sqref="C121 B111:C111">
    <cfRule type="notContainsBlanks" dxfId="593" priority="62" stopIfTrue="1">
      <formula>LEN(TRIM(B111))&gt;0</formula>
    </cfRule>
  </conditionalFormatting>
  <conditionalFormatting sqref="F137:I137">
    <cfRule type="notContainsBlanks" dxfId="592" priority="56" stopIfTrue="1">
      <formula>LEN(TRIM(F137))&gt;0</formula>
    </cfRule>
  </conditionalFormatting>
  <conditionalFormatting sqref="C137 B126:C126">
    <cfRule type="notContainsBlanks" dxfId="591" priority="57" stopIfTrue="1">
      <formula>LEN(TRIM(B126))&gt;0</formula>
    </cfRule>
  </conditionalFormatting>
  <conditionalFormatting sqref="F152:I152">
    <cfRule type="notContainsBlanks" dxfId="590" priority="51" stopIfTrue="1">
      <formula>LEN(TRIM(F152))&gt;0</formula>
    </cfRule>
  </conditionalFormatting>
  <conditionalFormatting sqref="C151 B141:C141">
    <cfRule type="notContainsBlanks" dxfId="589" priority="52" stopIfTrue="1">
      <formula>LEN(TRIM(B141))&gt;0</formula>
    </cfRule>
  </conditionalFormatting>
  <conditionalFormatting sqref="F167:I167">
    <cfRule type="notContainsBlanks" dxfId="588" priority="46" stopIfTrue="1">
      <formula>LEN(TRIM(F167))&gt;0</formula>
    </cfRule>
  </conditionalFormatting>
  <conditionalFormatting sqref="C166 B156:C156">
    <cfRule type="notContainsBlanks" dxfId="587" priority="47" stopIfTrue="1">
      <formula>LEN(TRIM(B156))&gt;0</formula>
    </cfRule>
  </conditionalFormatting>
  <conditionalFormatting sqref="B45:I46 B47:D48 F47:I48 B37:C39 B43:C44 C41:C42 G37:I44 B36:D36 B35:I35 F36:I36">
    <cfRule type="cellIs" dxfId="586" priority="445" stopIfTrue="1" operator="equal">
      <formula>$B$35="crusher plant"</formula>
    </cfRule>
  </conditionalFormatting>
  <conditionalFormatting sqref="B50:E51 B62:D63 F62:I63 B60:I61 B52:D54 G50:I59 B58:D59 D55 C56:D57">
    <cfRule type="cellIs" dxfId="585" priority="79" stopIfTrue="1" operator="equal">
      <formula>$B$50="crusher plant"</formula>
    </cfRule>
  </conditionalFormatting>
  <conditionalFormatting sqref="B65:E66 B77:D78 F77:I78 B75:I76 B67:D69 G65:I74 D70 B73:D73 B74 D74 C71:D72">
    <cfRule type="cellIs" dxfId="584" priority="483" stopIfTrue="1" operator="equal">
      <formula>$B$65="crusher plant"</formula>
    </cfRule>
  </conditionalFormatting>
  <conditionalFormatting sqref="B80:E81 B92:D93 F92:I93 B90:I91 B82:D84 G80:I89 D85 B88:D88 B89 D89 C86:D87">
    <cfRule type="cellIs" dxfId="583" priority="499" stopIfTrue="1" operator="equal">
      <formula>$B$80="crusher plant"</formula>
    </cfRule>
  </conditionalFormatting>
  <conditionalFormatting sqref="C76">
    <cfRule type="notContainsBlanks" dxfId="582" priority="41" stopIfTrue="1">
      <formula>LEN(TRIM(C76))&gt;0</formula>
    </cfRule>
  </conditionalFormatting>
  <conditionalFormatting sqref="B96:E97 F107:I108 B98:D100 D101 B104:D104 B105 D105 C102:D103 B106:D109 E105:I106 G96:I104">
    <cfRule type="cellIs" dxfId="581" priority="513" stopIfTrue="1" operator="equal">
      <formula>$B$96="crusher plant"</formula>
    </cfRule>
  </conditionalFormatting>
  <conditionalFormatting sqref="C91">
    <cfRule type="notContainsBlanks" dxfId="580" priority="40" stopIfTrue="1">
      <formula>LEN(TRIM(C91))&gt;0</formula>
    </cfRule>
  </conditionalFormatting>
  <conditionalFormatting sqref="F122:I123 D116 B119:D119 B120 D120 C117:D118 B121:D124 E120:I121 G111:I119 B111:D115 E111:E112">
    <cfRule type="cellIs" dxfId="579" priority="525" stopIfTrue="1" operator="equal">
      <formula>$B$111="crusher plant"</formula>
    </cfRule>
  </conditionalFormatting>
  <conditionalFormatting sqref="C107">
    <cfRule type="notContainsBlanks" dxfId="578" priority="39" stopIfTrue="1">
      <formula>LEN(TRIM(C107))&gt;0</formula>
    </cfRule>
  </conditionalFormatting>
  <conditionalFormatting sqref="F137:I138 D131 B134 D134 C132:D133 G126:I134 B126:D130 E126 B135:D139 E135:I136">
    <cfRule type="cellIs" dxfId="577" priority="535" stopIfTrue="1" operator="equal">
      <formula>$B$126="crusher plant"</formula>
    </cfRule>
  </conditionalFormatting>
  <conditionalFormatting sqref="F152:I153 D146 B149:D149 B150 D150 C147:D148 B151:D154 E150:I151 G141:I149 B141:D145 E141:E142">
    <cfRule type="cellIs" dxfId="576" priority="543" stopIfTrue="1" operator="equal">
      <formula>$B$141="crusher plant"</formula>
    </cfRule>
  </conditionalFormatting>
  <conditionalFormatting sqref="B158:C160 F167:I168 B164:C164 B166:C168 B165 C162:C163 D158:D169 E165:I166 G156:I164 B156:E157">
    <cfRule type="cellIs" dxfId="575" priority="549" stopIfTrue="1" operator="equal">
      <formula>$B$156="crusher plant"</formula>
    </cfRule>
  </conditionalFormatting>
  <conditionalFormatting sqref="F50:F51">
    <cfRule type="cellIs" dxfId="574" priority="36" stopIfTrue="1" operator="equal">
      <formula>$B$35="crusher plant"</formula>
    </cfRule>
  </conditionalFormatting>
  <conditionalFormatting sqref="F65:F66">
    <cfRule type="cellIs" dxfId="573" priority="35" stopIfTrue="1" operator="equal">
      <formula>$B$35="crusher plant"</formula>
    </cfRule>
  </conditionalFormatting>
  <conditionalFormatting sqref="F80:F81">
    <cfRule type="cellIs" dxfId="572" priority="34" stopIfTrue="1" operator="equal">
      <formula>$B$35="crusher plant"</formula>
    </cfRule>
  </conditionalFormatting>
  <conditionalFormatting sqref="F96">
    <cfRule type="cellIs" dxfId="571" priority="33" stopIfTrue="1" operator="equal">
      <formula>$B$35="crusher plant"</formula>
    </cfRule>
  </conditionalFormatting>
  <conditionalFormatting sqref="F111">
    <cfRule type="cellIs" dxfId="570" priority="32" stopIfTrue="1" operator="equal">
      <formula>$B$35="crusher plant"</formula>
    </cfRule>
  </conditionalFormatting>
  <conditionalFormatting sqref="F126">
    <cfRule type="cellIs" dxfId="569" priority="31" stopIfTrue="1" operator="equal">
      <formula>$B$35="crusher plant"</formula>
    </cfRule>
  </conditionalFormatting>
  <conditionalFormatting sqref="F141">
    <cfRule type="cellIs" dxfId="568" priority="30" stopIfTrue="1" operator="equal">
      <formula>$B$35="crusher plant"</formula>
    </cfRule>
  </conditionalFormatting>
  <conditionalFormatting sqref="F156">
    <cfRule type="cellIs" dxfId="567" priority="29" stopIfTrue="1" operator="equal">
      <formula>$B$35="crusher plant"</formula>
    </cfRule>
  </conditionalFormatting>
  <conditionalFormatting sqref="E21:F28">
    <cfRule type="notContainsBlanks" dxfId="566" priority="18">
      <formula>LEN(TRIM(E21))&gt;0</formula>
    </cfRule>
  </conditionalFormatting>
  <conditionalFormatting sqref="E37:F44">
    <cfRule type="expression" dxfId="565" priority="10">
      <formula>$B$35="crusher plant"</formula>
    </cfRule>
  </conditionalFormatting>
  <conditionalFormatting sqref="E52:F59">
    <cfRule type="expression" dxfId="564" priority="9">
      <formula>$B$50="crusher plant"</formula>
    </cfRule>
  </conditionalFormatting>
  <conditionalFormatting sqref="E67:F74">
    <cfRule type="expression" dxfId="563" priority="8">
      <formula>$B$65="crusher plant"</formula>
    </cfRule>
  </conditionalFormatting>
  <conditionalFormatting sqref="E82:F89">
    <cfRule type="expression" dxfId="562" priority="7">
      <formula>$B$80="crusher plant"</formula>
    </cfRule>
  </conditionalFormatting>
  <conditionalFormatting sqref="E97:F104">
    <cfRule type="expression" dxfId="561" priority="5">
      <formula>$B$96="crusher plant"</formula>
    </cfRule>
  </conditionalFormatting>
  <conditionalFormatting sqref="E112:F119">
    <cfRule type="expression" dxfId="560" priority="4">
      <formula>$B$111="crusher plant"</formula>
    </cfRule>
  </conditionalFormatting>
  <conditionalFormatting sqref="E127:F134">
    <cfRule type="expression" dxfId="559" priority="3">
      <formula>$B$126="crusher plant"</formula>
    </cfRule>
  </conditionalFormatting>
  <conditionalFormatting sqref="E142:F149">
    <cfRule type="expression" dxfId="558" priority="2">
      <formula>$B$141="crusher plant"</formula>
    </cfRule>
  </conditionalFormatting>
  <conditionalFormatting sqref="E157:F164">
    <cfRule type="expression" dxfId="557" priority="1">
      <formula>$B$156="crusher plant"</formula>
    </cfRule>
  </conditionalFormatting>
  <dataValidations count="3">
    <dataValidation type="list" allowBlank="1" showInputMessage="1" showErrorMessage="1" sqref="C25 C41 C56 C71 C86 C102 C117 C132 C147 C162" xr:uid="{00000000-0002-0000-0100-000000000000}">
      <formula1>CHECK</formula1>
    </dataValidation>
    <dataValidation type="list" allowBlank="1" showInputMessage="1" showErrorMessage="1" sqref="G21:G28 G37:G44 G52:G59 G67:G74 G82:G89 G97:G104 G112:G119 G127:G134 G142:G149 G157:G164" xr:uid="{00000000-0002-0000-0100-000001000000}">
      <formula1>process</formula1>
    </dataValidation>
    <dataValidation type="whole" allowBlank="1" showInputMessage="1" showErrorMessage="1" sqref="C18 E4 D5" xr:uid="{00000000-0002-0000-0100-000002000000}">
      <formula1>0</formula1>
      <formula2>100</formula2>
    </dataValidation>
  </dataValidations>
  <pageMargins left="0.7" right="0.7" top="0.75" bottom="0.75" header="0.3" footer="0.3"/>
  <pageSetup scale="70" fitToHeight="0"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68"/>
  <sheetViews>
    <sheetView topLeftCell="B1" zoomScaleNormal="100" workbookViewId="0">
      <selection activeCell="H19" sqref="H19"/>
    </sheetView>
  </sheetViews>
  <sheetFormatPr defaultColWidth="8.85546875" defaultRowHeight="14.25" customHeight="1" x14ac:dyDescent="0.2"/>
  <cols>
    <col min="1" max="1" width="30.4257812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8.85546875" style="80" customWidth="1"/>
    <col min="10" max="10" width="11.42578125" style="81" hidden="1" customWidth="1"/>
    <col min="11" max="11" width="14" style="81" hidden="1" customWidth="1"/>
    <col min="12" max="12" width="7.85546875" style="80" customWidth="1"/>
    <col min="13" max="13" width="26.85546875" style="80" customWidth="1"/>
    <col min="14" max="14" width="17.7109375" style="80" customWidth="1"/>
    <col min="15" max="15" width="20.42578125" style="80" customWidth="1"/>
    <col min="16" max="16" width="20.42578125" style="80" hidden="1" customWidth="1"/>
    <col min="17" max="17" width="17.140625" style="80" hidden="1" customWidth="1"/>
    <col min="18" max="18" width="16.42578125" style="80" hidden="1" customWidth="1"/>
    <col min="19" max="19" width="21.28515625" style="80" customWidth="1"/>
    <col min="20" max="16384" width="8.85546875" style="80"/>
  </cols>
  <sheetData>
    <row r="1" spans="2:19" ht="14.25" customHeight="1" x14ac:dyDescent="0.2">
      <c r="B1" s="277" t="s">
        <v>146</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63"/>
      <c r="E5" s="125"/>
      <c r="F5" s="148"/>
      <c r="M5" s="109" t="s">
        <v>38</v>
      </c>
      <c r="N5" s="136">
        <f ca="1">MAX((IFERROR(OFFSET(G19,MATCH("primary crusher",$G$20:$G$27,0),1),0)),((IFERROR((OFFSET(G34,MATCH("primary crusher",$G$35:$G$42,0),1)),0))),((IFERROR((OFFSET(G50,MATCH("primary crusher",$G$51:$G$58,0),1)),0))),((IFERROR((OFFSET(G66,MATCH("primary crusher",$G$66:$G$73,0),1)),0))),((IFERROR((OFFSET(G81,MATCH("primary crusher",$G$82:$G$89,0),1)),0))),((IFERROR((OFFSET(G97,MATCH("primary crusher",$G$97:$G$104,0),1)),0))),((IFERROR((OFFSET(G111,MATCH("primary crusher",$G$112:$G$119,0),1)),0))),((IFERROR((OFFSET(G126,MATCH("primary crusher",$G$127:$G$134,0),1)),0))),((IFERROR((OFFSET(G141,MATCH("primary crusher",$G$142:$G$149,0),1)),0))),((IFERROR((OFFSET($G$156,MATCH("primary crusher",$G$157:$G$164,0),1)),0))))</f>
        <v>0</v>
      </c>
      <c r="O5" s="136">
        <f ca="1">SUM((IFERROR(OFFSET(G19,MATCH("primary crusher",$G$20:$G$27,0),3),0)),((IFERROR((OFFSET(G34,MATCH("primary crusher",$G$35:$G$42,0),3)),0))),((IFERROR((OFFSET(G50,MATCH("primary crusher",$G$51:$G$58,0),3)),0))),((IFERROR((OFFSET(G65,MATCH("primary crusher",$G$66:$G$73,0),3)),0))),((IFERROR((OFFSET(G81,MATCH("primary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SUM((IFERROR(OFFSET(G19,MATCH("primary crusher",$G$20:$G$27,0),4),0)),((IFERROR((OFFSET(G34,MATCH("primary crusher",$G$35:$G$42,0),4)),0))),((IFERROR((OFFSET(G50,MATCH("primary crusher",$G$51:$G$58,0),4)),0))),((IFERROR((OFFSET(G65,MATCH("primary crusher",$G$66:$G$73,0),4)),0))),((IFERROR((OFFSET(G81,MATCH("primary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19,MATCH("screening",$G$20:$G$27,0),1),0)),((IFERROR((OFFSET(G34,MATCH("screening",$G$35:$G$42,0),1)),0))),((IFERROR((OFFSET(G50,MATCH("screening",$G$51:$G$58,0),1)),0))),((IFERROR((OFFSET(G66,MATCH("screening",$G$66:$G$73,0),1)),0))),((IFERROR((OFFSET(G81,MATCH("screening",$G$82:$G$89,0),1)),0))),((IFERROR((OFFSET(G97,MATCH("screening",$G$97:$G$104,0),1)),0))),((IFERROR((OFFSET(G111,MATCH("screening",$G$112:$G$119,0),1)),0))),((IFERROR((OFFSET(G126,MATCH("screening",$G$127:$G$134,0),1)),0))),((IFERROR((OFFSET(G141,MATCH("screening",$G$142:$G$149,0),1)),0))),((IFERROR((OFFSET($G$156,MATCH("screening",$G$157:$G$164,0),1)),0))))</f>
        <v>0</v>
      </c>
      <c r="O6" s="136">
        <f ca="1">SUM((IFERROR(OFFSET(G19,MATCH("Screening",$G$20:$G$27,0),3),0)),((IFERROR((OFFSET(G34,MATCH("Screening",$G$35:$G$42,0),3)),0))),((IFERROR((OFFSET(G50,MATCH("Screening",$G$51:$G$58,0),3)),0))),((IFERROR((OFFSET(G65,MATCH("Screening",$G$66:$G$73,0)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19,MATCH("Screening",$G$20:$G$27,0),4),0)),((IFERROR((OFFSET(G34,MATCH("Screening",$G$35:$G$42,0),4)),0))),((IFERROR((OFFSET(G50,MATCH("Screening",$G$51:$G$58,0),4)),0))),((IFERROR((OFFSET(G65,MATCH("Screening",$G$66:$G$73,0)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MAX((IFERROR(OFFSET(G19,MATCH("secondary crusher",$G$20:$G$27,0),1),0)),((IFERROR((OFFSET(G34,MATCH("secondary crusher",$G$35:$G$42,0),1)),0))),((IFERROR((OFFSET(G50,MATCH("secondary crusher",$G$51:$G$58,0),1)),0))),((IFERROR((OFFSET(G66,MATCH("secondary crusher",$G$66:$G$73,0),1)),0))),((IFERROR((OFFSET(G81,MATCH("secondary crusher",$G$82:$G$89,0),1)),0))),((IFERROR((OFFSET(G97,MATCH("secondary crusher",$G$97:$G$104,0),1)),0))),((IFERROR((OFFSET(G111,MATCH("secondary crusher",$G$112:$G$119,0),1)),0))),((IFERROR((OFFSET(G126,MATCH("secondary crusher",$G$127:$G$134,0),1)),0))),((IFERROR((OFFSET(G141,MATCH("secondary crusher",$G$142:$G$149,0),1)),0))),((IFERROR((OFFSET($G$156,MATCH("secondary crusher",$G$157:$G$164,0),1)),0))))</f>
        <v>0</v>
      </c>
      <c r="O7" s="136">
        <f ca="1">SUM((IFERROR(OFFSET(G19,MATCH("Secondary Crusher",$G$20:$G$27,0),3),0)),((IFERROR((OFFSET(G34,MATCH("Secondary Crusher",$G$35:$G$42,0),3)),0))),((IFERROR((OFFSET(G50,MATCH("Secondary Crusher",$G$51:$G$58,0),3)),0))),((IFERROR((OFFSET(G65,MATCH("Secondary Crusher",$G$66:$G$73,0),3)),0))),((IFERROR((OFFSET(G81,MATCH("Secondary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SUM((IFERROR(OFFSET(G19,MATCH("Secondary Crusher",$G$20:$G$27,0),4),0)),((IFERROR((OFFSET(G34,MATCH("Secondary Crusher",$G$35:$G$42,0),4)),0))),((IFERROR((OFFSET(G50,MATCH("Secondary Crusher",$G$51:$G$58,0),4)),0))),((IFERROR((OFFSET(G65,MATCH("Secondary Crusher",$G$66:$G$73,0),4)),0))),((IFERROR((OFFSET(G81,MATCH("Secondary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MAX((IFERROR(OFFSET(G19,MATCH("tertiary crusher",$G$20:$G$27,0),1),0)),((IFERROR((OFFSET(G34,MATCH("tertiary crusher",$G$35:$G$42,0),1)),0))),((IFERROR((OFFSET(G50,MATCH("tertiary crusher",$G$51:$G$58,0),1)),0))),((IFERROR((OFFSET(G66,MATCH("tertiary crusher",$G$66:$G$73,0),1)),0))),((IFERROR((OFFSET(G81,MATCH("tertiary crusher",$G$82:$G$89,0),1)),0))),((IFERROR((OFFSET(G97,MATCH("tertiary crusher",$G$97:$G$104,0),1)),0))),((IFERROR((OFFSET(G111,MATCH("tertiary crusher",$G$112:$G$119,0),1)),0))),((IFERROR((OFFSET(G126,MATCH("tertiary crusher",$G$127:$G$134,0),1)),0))),((IFERROR((OFFSET(G141,MATCH("tertiary crusher",$G$142:$G$149,0),1)),0))),((IFERROR((OFFSET($G$156,MATCH("tertiary crusher",$G$157:$G$164,0),1)),0))))</f>
        <v>0</v>
      </c>
      <c r="O8" s="136">
        <f ca="1">SUM((IFERROR(OFFSET(G19,MATCH("Tertiary Crusher",$G$20:$G$27,0),3),0)),((IFERROR((OFFSET(G34,MATCH("Tertiary Crusher",$G$35:$G$42,0),3)),0))),((IFERROR((OFFSET(G50,MATCH("Tertiary Crusher",$G$51:$G$58,0),3)),0))),((IFERROR((OFFSET(G65,MATCH("Tertiary Crusher",$G$66:$G$73,0),3)),0))),((IFERROR((OFFSET(G81,MATCH("Tertiary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SUM((IFERROR(OFFSET(G19,MATCH("Tertiary Crusher",$G$20:$G$27,0),4),0)),((IFERROR((OFFSET(G34,MATCH("Tertiary Crusher",$G$35:$G$42,0),4)),0))),((IFERROR((OFFSET(G50,MATCH("Tertiary Crusher",$G$51:$G$58,0),4)),0))),((IFERROR((OFFSET(G65,MATCH("Tertiary Crusher",$G$66:$G$73,0),4)),0))),((IFERROR((OFFSET(G81,MATCH("Tertiary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MAX((IFERROR(OFFSET(G19,MATCH("fines crusher",$G$20:$G$27,0),1),0)),((IFERROR((OFFSET(G34,MATCH("fines crusher",$G$35:$G$42,0),1)),0))),((IFERROR((OFFSET(G50,MATCH("fines crusher",$G$51:$G$58,0),1)),0))),((IFERROR((OFFSET(G66,MATCH("fines crusher",$G$66:$G$73,0),1)),0))),((IFERROR((OFFSET(G81,MATCH("fines crusher",$G$82:$G$89,0),1)),0))),((IFERROR((OFFSET(G97,MATCH("fines crusher",$G$97:$G$104,0),1)),0))),((IFERROR((OFFSET(G111,MATCH("fines crusher",$G$112:$G$119,0),1)),0))),((IFERROR((OFFSET(G126,MATCH("fines crusher",$G$127:$G$134,0),1)),0))),((IFERROR((OFFSET(G141,MATCH("fines crusher",$G$142:$G$149,0),1)),0))),((IFERROR((OFFSET($G$156,MATCH("fines crusher",$G$157:$G$164,0),1)),0))))</f>
        <v>0</v>
      </c>
      <c r="O9" s="136">
        <f ca="1">SUM((IFERROR(OFFSET(G19,MATCH("Fines Crushing",$G$20:$G$27,0),3),0)),((IFERROR((OFFSET(G34,MATCH("Fines Crushing",$G$35:$G$42,0),3)),0))),((IFERROR((OFFSET(G50,MATCH("Fines Crushing",$G$51:$G$58,0),3)),0))),((IFERROR((OFFSET(G65,MATCH("Fines Crushing",$G$66:$G$73,0),3)),0))),((IFERROR((OFFSET(G81,MATCH("Fines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SUM((IFERROR(OFFSET(G19,MATCH("Fines Crushing",$G$20:$G$27,0),4),0)),((IFERROR((OFFSET(G34,MATCH("Fines Crushing",$G$35:$G$42,0),4)),0))),((IFERROR((OFFSET(G50,MATCH("Fines Crushing",$G$51:$G$58,0),4)),0))),((IFERROR((OFFSET(G65,MATCH("Fines Crushing",$G$66:$G$73,0),4)),0))),((IFERROR((OFFSET(G81,MATCH("Fines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MAX((IFERROR(OFFSET(G19,MATCH("fines screening",$G$20:$G$27,0),1),0)),((IFERROR((OFFSET(G34,MATCH("fines screening",$G$35:$G$42,0),1)),0))),((IFERROR((OFFSET(G50,MATCH("fines screening",$G$51:$G$58,0),1)),0))),((IFERROR((OFFSET(G66,MATCH("fines screening",$G$66:$G$73,0),1)),0))),((IFERROR((OFFSET(G81,MATCH("fines screening",$G$82:$G$89,0),1)),0))),((IFERROR((OFFSET(G97,MATCH("fines screening",$G$97:$G$104,0),1)),0))),((IFERROR((OFFSET(G111,MATCH("fines screening",$G$112:$G$119,0),1)),0))),((IFERROR((OFFSET(G126,MATCH("fines screening",$G$127:$G$134,0),1)),0))),((IFERROR((OFFSET(G141,MATCH("fines screening",$G$142:$G$149,0),1)),0))),((IFERROR((OFFSET($G$156,MATCH("fines screening",$G$157:$G$164,0),1)),0))))</f>
        <v>0</v>
      </c>
      <c r="O10" s="136">
        <f ca="1">SUM((IFERROR(OFFSET(G19,MATCH("Fines Screening",$G$20:$G$27,0),3),0)),((IFERROR((OFFSET(G34,MATCH("Fines Screening",$G$35:$G$42,0),3)),0))),((IFERROR((OFFSET(G50,MATCH("Fines Screening",$G$51:$G$58,0),3)),0))),((IFERROR((OFFSET(G65,MATCH("Fines Screening",$G$66:$G$73,0),3)),0))),((IFERROR((OFFSET(G81,MATCH("Fines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SUM((IFERROR(OFFSET(G19,MATCH("Fines Screening",$G$20:$G$27,0),4),0)),((IFERROR((OFFSET(G34,MATCH("Fines Screening",$G$35:$G$42,0),4)),0))),((IFERROR((OFFSET(G50,MATCH("Fines Screening",$G$51:$G$58,0),4)),0))),((IFERROR((OFFSET(G65,MATCH("Fines Screening",$G$66:$G$73,0),4)),0))),((IFERROR((OFFSET(G81,MATCH("Fines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MAX((IFERROR(OFFSET(G19,MATCH("wet drilling: unfragmented stone",$G$20:$G$27,0),1),0)),((IFERROR((OFFSET(G34,MATCH("wet drilling: unfragmented stone",$G$35:$G$42,0),1)),0))),((IFERROR((OFFSET(G50,MATCH("wet drilling: unfragmented stone",$G$51:$G$58,0),1)),0))),((IFERROR((OFFSET(G66,MATCH("wet drilling: unfragmented stone",$G$66:$G$73,0),1)),0))),((IFERROR((OFFSET(G81,MATCH("wet drilling: unfragmented stone",$G$82:$G$89,0),1)),0))),((IFERROR((OFFSET(G97,MATCH("wet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SUM((IFERROR(OFFSET(G19,MATCH("Wet Drilling: Unfragmented Stone",$G$20:$G$27,0),3),0)),((IFERROR((OFFSET(G34,MATCH("Wet Drilling: Unfragmented Stone",$G$35:$G$42,0),3)),0))),((IFERROR((OFFSET(G50,MATCH("Wet Drilling: Unfragmented Stone",$G$51:$G$58,0),3)),0))),((IFERROR((OFFSET(G65,MATCH("Wet Drilling: Unfragmented Stone",$G$66:$G$73,0),3)),0))),((IFERROR((OFFSET(G81,MATCH("Wet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SUM((IFERROR(OFFSET(G19,MATCH("Wet Drilling: Unfragmented Stone",$G$20:$G$27,0),4),0)),((IFERROR((OFFSET(G34,MATCH("Wet Drilling: Unfragmented Stone",$G$35:$G$42,0),4)),0))),((IFERROR((OFFSET(G50,MATCH("Wet Drilling: Unfragmented Stone",$G$51:$G$58,0),4)),0))),((IFERROR((OFFSET(G65,MATCH("Wet Drilling: Unfragmented Stone",$G$66:$G$73,0),4)),0))),((IFERROR((OFFSET(G81,MATCH("Wet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MAX((IFERROR(OFFSET(G19,MATCH("Conveyor Transfer Points",$G$20:$G$27,0),1),0)),((IFERROR((OFFSET(G34,MATCH("Conveyor Transfer Points",$G$35:$G$42,0),1)),0))),((IFERROR((OFFSET(G50,MATCH("Conveyor Transfer Points",$G$51:$G$58,0),1)),0))),((IFERROR((OFFSET(G66,MATCH("Conveyor Transfer Points",$G$66:$G$73,0),1)),0))),((IFERROR((OFFSET(G81,MATCH("Conveyor Transfer Points",$G$82:$G$89,0),1)),0))),((IFERROR((OFFSET(G97,MATCH("Conveyor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SUM((IFERROR(OFFSET(G19,MATCH("Conveyor Transfer Points",$G$20:$G$27,0),3),0)),((IFERROR((OFFSET(G34,MATCH("Conveyor Transfer Points",$G$35:$G$42,0),3)),0))),((IFERROR((OFFSET(G50,MATCH("Conveyor Transfer Points",$G$51:$G$58,0),3)),0))),((IFERROR((OFFSET(G65,MATCH("Conveyor Transfer Points",$G$66:$G$73,0),3)),0))),((IFERROR((OFFSET(G81,MATCH("Conveyor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SUM((IFERROR(OFFSET(G19,MATCH("Conveyor Transfer Points",$G$20:$G$27,0),4),0)),((IFERROR((OFFSET(G34,MATCH("Conveyor Transfer Points",$G$35:$G$42,0),4)),0))),((IFERROR((OFFSET(G50,MATCH("Conveyor Transfer Points",$G$51:$G$58,0),4)),0))),((IFERROR((OFFSET(G65,MATCH("Conveyor Transfer Points",$G$66:$G$73,0),4)),0))),((IFERROR((OFFSET(G81,MATCH("Conveyor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SUM(G31,G46,G62,G77,G93,G108,G123,G138,G153,G168)</f>
        <v>0</v>
      </c>
      <c r="O14" s="110">
        <f>SUM(H31*I31,H46*I46,H62*I62,H77*I77,H93*I93,H108*I108,H123*I123,H138*I138,H153*I153,H168*I168)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216" t="s">
        <v>303</v>
      </c>
      <c r="R18" s="216" t="s">
        <v>291</v>
      </c>
      <c r="S18" s="216" t="s">
        <v>300</v>
      </c>
    </row>
    <row r="19" spans="1:19" ht="28.5" customHeight="1" x14ac:dyDescent="0.25">
      <c r="B19" s="82" t="s">
        <v>85</v>
      </c>
      <c r="C19" s="83" t="s">
        <v>136</v>
      </c>
      <c r="E19" s="213" t="s">
        <v>1</v>
      </c>
      <c r="F19" s="213" t="s">
        <v>175</v>
      </c>
      <c r="G19" s="213" t="s">
        <v>131</v>
      </c>
      <c r="H19" s="220" t="s">
        <v>25</v>
      </c>
      <c r="I19" s="375" t="str">
        <f>('Facility Information'!G5&amp;" Annual Throughput (tons)")</f>
        <v xml:space="preserve"> Annual Throughput (tons)</v>
      </c>
      <c r="M19" s="108" t="s">
        <v>112</v>
      </c>
      <c r="N19" s="216" t="s">
        <v>296</v>
      </c>
      <c r="O19" s="344" t="s">
        <v>140</v>
      </c>
      <c r="P19" s="216" t="s">
        <v>249</v>
      </c>
      <c r="Q19" s="216" t="s">
        <v>249</v>
      </c>
      <c r="R19" s="216" t="s">
        <v>253</v>
      </c>
      <c r="S19" s="216" t="s">
        <v>253</v>
      </c>
    </row>
    <row r="20" spans="1:19" ht="14.25" customHeight="1" x14ac:dyDescent="0.2">
      <c r="A20" s="80" t="s">
        <v>33</v>
      </c>
      <c r="B20" s="86" t="s">
        <v>91</v>
      </c>
      <c r="C20" s="73"/>
      <c r="D20" s="55"/>
      <c r="E20" s="165" t="str">
        <f>IF(G20="","","LP-2 EP-1")</f>
        <v/>
      </c>
      <c r="F20" s="165" t="str">
        <f>IF(G20="","",IF(G20="primary crusher","LP-2 EU-1",IF(G20="screening","LP-2 EU-2",IF(G20="secondary crusher","LP-2 EU-3",IF(G20="tertiary crusher","LP-2 EU-4",IF(G20="fines crushing","LP-2 EU-5",IF(G20="fines screening","LP-2 EU-6",IF(G20="wet drilling: unfragmented stone","LP-2 EU-7",IF(G20="conveyor transfer points","LP-2 EU-8")))))))))</f>
        <v/>
      </c>
      <c r="G20" s="98"/>
      <c r="H20" s="71"/>
      <c r="I20" s="184"/>
      <c r="J20" s="81">
        <f>IF($C24="no",I20,0)</f>
        <v>0</v>
      </c>
      <c r="K20" s="81">
        <f t="shared" ref="K20:K27" si="0">IF($C$24="yes",I20,0)</f>
        <v>0</v>
      </c>
      <c r="M20" s="109" t="s">
        <v>38</v>
      </c>
      <c r="N20" s="136">
        <f t="shared" ref="N20" ca="1" si="1">N5</f>
        <v>0</v>
      </c>
      <c r="O20" s="145">
        <f ca="1">IF(N20=0,0,IF(OR($C$24="no",$C$40="no",$C$56="no",$C$72="no",$C$88="no",$C$103="no",$C$119="no",$C$133="no",$C$148="no",$C$164="no"),'[1]Emission Factors'!D8,'[1]Emission Factors'!D20))</f>
        <v>0</v>
      </c>
      <c r="P20" s="136" t="str">
        <f>IF(OR($C$24="no",$C$40="no",$C$56="no",$C$72="no",$C$88="no",$C$103="no",$C$119="no",$C$133="no",$C$148="no",$C$164="no"),N20*O20,"")</f>
        <v/>
      </c>
      <c r="Q20" s="136">
        <f ca="1">IF($F$10&gt;0,$F$10,IF(OR($C$24="no",$C$40="no",$C$56="no",$C$72="no",$C$88="no",$C$103="no",$C$119="no",$C$133="no",$C$148="no",$C$164="no"),"",N20*O20))</f>
        <v>0</v>
      </c>
      <c r="R20" s="136">
        <f ca="1">IF($G$10&gt;0,$G$10,IF($C$9&gt;0,$C$9*O20/2000,IF($C$10&gt;0,$C$10*365*O20/2000,IF($C$11&gt;0,$C$11*365*O20*N20/2000,IF(Q20="",P20*8760/2000,Q20*8760/2000)))))</f>
        <v>0</v>
      </c>
      <c r="S20" s="136">
        <f ca="1">(O5*'[1]Emission Factors'!D8/2000)+('[1]Emission Factors'!D20*S5/2000)</f>
        <v>0</v>
      </c>
    </row>
    <row r="21" spans="1:19" ht="14.25" customHeight="1" x14ac:dyDescent="0.2">
      <c r="A21" s="80" t="s">
        <v>34</v>
      </c>
      <c r="B21" s="85" t="s">
        <v>92</v>
      </c>
      <c r="C21" s="73"/>
      <c r="D21" s="55"/>
      <c r="E21" s="165" t="str">
        <f t="shared" ref="E21:E27" si="2">IF(G21="","","LP-2 EP-1")</f>
        <v/>
      </c>
      <c r="F21" s="165" t="str">
        <f t="shared" ref="F21:F27" si="3">IF(G21="","",IF(G21="primary crusher","LP-2 EU-1",IF(G21="screening","LP-2 EU-2",IF(G21="secondary crusher","LP-2 EU-3",IF(G21="tertiary crusher","LP-2 EU-4",IF(G21="fines crushing","LP-2 EU-5",IF(G21="fines screening","LP-2 EU-6",IF(G21="wet drilling: unfragmented stone","LP-2 EU-7",IF(G21="conveyor transfer points","LP-2 EU-8")))))))))</f>
        <v/>
      </c>
      <c r="G21" s="98"/>
      <c r="H21" s="71"/>
      <c r="I21" s="184"/>
      <c r="J21" s="81">
        <f t="shared" ref="J21:J27" si="4">IF($C$24="no",I21,0)</f>
        <v>0</v>
      </c>
      <c r="K21" s="81">
        <f t="shared" si="0"/>
        <v>0</v>
      </c>
      <c r="M21" s="109" t="s">
        <v>36</v>
      </c>
      <c r="N21" s="136">
        <f t="shared" ref="N21:N27" ca="1" si="5">N6</f>
        <v>0</v>
      </c>
      <c r="O21" s="145">
        <f ca="1">IF(N21=0,0,IF(OR($C$24="no",$C$39="no",$C$55="no",$C$70="no",$C$86="no",$C$101="no",$C$116="no",$C$131="no",$C$146="no",$C$161="no"),'Emission Factors'!D9,'Emission Factors'!D21))</f>
        <v>0</v>
      </c>
      <c r="P21" s="136" t="str">
        <f t="shared" ref="P21:P27" si="6">IF(OR($C$24="no",$C$39="no",$C$55="no",$C$70="no",$C$86="no",$C$101="no",$C$116="no",$C$131="no",$C$146="no",$C$161="no"),N21*O21,"")</f>
        <v/>
      </c>
      <c r="Q21" s="136">
        <f t="shared" ref="Q21:Q27" ca="1" si="7">IF($F$10&gt;0,$F$10,IF(OR($C$24="no",$C$39="no",$C$55="no",$C$70="no",$C$86="no",$C$101="no",$C$116="no",$C$131="no",$C$146="no",$C$161="no"),"",N21*O21))</f>
        <v>0</v>
      </c>
      <c r="R21" s="136">
        <f t="shared" ref="R21:R27" ca="1" si="8">IF($G$10&gt;0,"",IF($C$9&gt;0,$C$9*O21/2000,IF($C$10&gt;0,$C$10*365*O21/2000,IF($C$11&gt;0,$C$11*365*O21*N21/2000,IF(Q21="",P21*8760/2000,Q21*8760/2000)))))</f>
        <v>0</v>
      </c>
      <c r="S21" s="136">
        <f ca="1">(O6*'Emission Factors'!D9/2000)+('Emission Factors'!D21*S6/2000)</f>
        <v>0</v>
      </c>
    </row>
    <row r="22" spans="1:19" ht="14.25" customHeight="1" x14ac:dyDescent="0.2">
      <c r="B22" s="85" t="s">
        <v>93</v>
      </c>
      <c r="C22" s="73"/>
      <c r="D22" s="55"/>
      <c r="E22" s="165" t="str">
        <f t="shared" si="2"/>
        <v/>
      </c>
      <c r="F22" s="165" t="str">
        <f t="shared" si="3"/>
        <v/>
      </c>
      <c r="G22" s="98"/>
      <c r="H22" s="71"/>
      <c r="I22" s="184"/>
      <c r="J22" s="81">
        <f t="shared" si="4"/>
        <v>0</v>
      </c>
      <c r="K22" s="81">
        <f t="shared" si="0"/>
        <v>0</v>
      </c>
      <c r="M22" s="109" t="s">
        <v>37</v>
      </c>
      <c r="N22" s="136">
        <f t="shared" ca="1" si="5"/>
        <v>0</v>
      </c>
      <c r="O22" s="145">
        <f ca="1">IF(N22=0,0,IF(OR($C$24="no",$C$39="no",$C$55="no",$C$70="no",$C$86="no",$C$101="no",$C$116="no",$C$131="no",$C$146="no",$C$161="no"),'Emission Factors'!D10,'Emission Factors'!D22))</f>
        <v>0</v>
      </c>
      <c r="P22" s="136" t="str">
        <f t="shared" si="6"/>
        <v/>
      </c>
      <c r="Q22" s="136">
        <f t="shared" ca="1" si="7"/>
        <v>0</v>
      </c>
      <c r="R22" s="136">
        <f t="shared" ca="1" si="8"/>
        <v>0</v>
      </c>
      <c r="S22" s="136">
        <f ca="1">(O7*'Emission Factors'!D10/2000)+('Emission Factors'!D22*S7/2000)</f>
        <v>0</v>
      </c>
    </row>
    <row r="23" spans="1:19" ht="14.25" customHeight="1" x14ac:dyDescent="0.25">
      <c r="A23" s="6" t="s">
        <v>38</v>
      </c>
      <c r="B23" s="281" t="s">
        <v>191</v>
      </c>
      <c r="D23" s="55"/>
      <c r="E23" s="165" t="str">
        <f t="shared" si="2"/>
        <v/>
      </c>
      <c r="F23" s="165" t="str">
        <f t="shared" si="3"/>
        <v/>
      </c>
      <c r="G23" s="98"/>
      <c r="H23" s="71"/>
      <c r="I23" s="184"/>
      <c r="J23" s="81">
        <f t="shared" si="4"/>
        <v>0</v>
      </c>
      <c r="K23" s="81">
        <f t="shared" si="0"/>
        <v>0</v>
      </c>
      <c r="M23" s="109" t="s">
        <v>39</v>
      </c>
      <c r="N23" s="136">
        <f t="shared" ca="1" si="5"/>
        <v>0</v>
      </c>
      <c r="O23" s="145">
        <f ca="1">IF(N23=0,0,IF(OR(C24="no",C39="no",C55="no",C70="no",C86="no",C101="no",C116="no",C131="no",C146="no",C161="no"),'Emission Factors'!D12,'Emission Factors'!D24))</f>
        <v>0</v>
      </c>
      <c r="P23" s="136" t="str">
        <f t="shared" si="6"/>
        <v/>
      </c>
      <c r="Q23" s="136">
        <f t="shared" ca="1" si="7"/>
        <v>0</v>
      </c>
      <c r="R23" s="136">
        <f t="shared" ca="1" si="8"/>
        <v>0</v>
      </c>
      <c r="S23" s="136">
        <f ca="1">(O8*'Emission Factors'!D12/2000)+('Emission Factors'!D24*S8/2000)</f>
        <v>0</v>
      </c>
    </row>
    <row r="24" spans="1:19" ht="14.25" customHeight="1" x14ac:dyDescent="0.25">
      <c r="A24" s="6" t="s">
        <v>36</v>
      </c>
      <c r="B24" s="282" t="s">
        <v>192</v>
      </c>
      <c r="C24" s="280"/>
      <c r="D24" s="55"/>
      <c r="E24" s="165" t="str">
        <f t="shared" si="2"/>
        <v/>
      </c>
      <c r="F24" s="165" t="str">
        <f t="shared" si="3"/>
        <v/>
      </c>
      <c r="G24" s="98"/>
      <c r="H24" s="71"/>
      <c r="I24" s="184"/>
      <c r="J24" s="81">
        <f t="shared" si="4"/>
        <v>0</v>
      </c>
      <c r="K24" s="81">
        <f t="shared" si="0"/>
        <v>0</v>
      </c>
      <c r="M24" s="109" t="s">
        <v>40</v>
      </c>
      <c r="N24" s="136">
        <f t="shared" ca="1" si="5"/>
        <v>0</v>
      </c>
      <c r="O24" s="145">
        <f ca="1">IF(N24=0,0,IF(OR($C$24="no",$C$39="no",$C$55="no",$C$70="no",$C$86="no",$C$101="no",$C$116="no",$C$131="no",$C$146="no",$C$161="no"),'Emission Factors'!D6,'Emission Factors'!D18))</f>
        <v>0</v>
      </c>
      <c r="P24" s="136" t="str">
        <f t="shared" si="6"/>
        <v/>
      </c>
      <c r="Q24" s="136">
        <f t="shared" ca="1" si="7"/>
        <v>0</v>
      </c>
      <c r="R24" s="136">
        <f t="shared" ca="1" si="8"/>
        <v>0</v>
      </c>
      <c r="S24" s="136">
        <f ca="1">(O9*'Emission Factors'!D6/2000)+('Emission Factors'!D18*S9/2000)</f>
        <v>0</v>
      </c>
    </row>
    <row r="25" spans="1:19" ht="14.25" customHeight="1" x14ac:dyDescent="0.25">
      <c r="A25" s="6" t="s">
        <v>37</v>
      </c>
      <c r="B25" s="284" t="s">
        <v>193</v>
      </c>
      <c r="C25" s="55"/>
      <c r="D25" s="55"/>
      <c r="E25" s="165" t="str">
        <f t="shared" si="2"/>
        <v/>
      </c>
      <c r="F25" s="165" t="str">
        <f t="shared" si="3"/>
        <v/>
      </c>
      <c r="G25" s="98"/>
      <c r="H25" s="71"/>
      <c r="I25" s="184"/>
      <c r="J25" s="81">
        <f t="shared" si="4"/>
        <v>0</v>
      </c>
      <c r="K25" s="81">
        <f t="shared" si="0"/>
        <v>0</v>
      </c>
      <c r="M25" s="109" t="s">
        <v>41</v>
      </c>
      <c r="N25" s="136">
        <f t="shared" ca="1" si="5"/>
        <v>0</v>
      </c>
      <c r="O25" s="145">
        <f ca="1">IF(N25=0,0,IF(OR($C$24="no",$C$39="no",$C$55="no",$C$70="no",$C$86="no",$C$101="no",$C$116="no",$C$131="no",$C$146="no",$C$161="no"),'Emission Factors'!D7,'Emission Factors'!D19))</f>
        <v>0</v>
      </c>
      <c r="P25" s="136" t="str">
        <f t="shared" si="6"/>
        <v/>
      </c>
      <c r="Q25" s="136">
        <f t="shared" ca="1" si="7"/>
        <v>0</v>
      </c>
      <c r="R25" s="136">
        <f t="shared" ca="1" si="8"/>
        <v>0</v>
      </c>
      <c r="S25" s="136">
        <f ca="1">(O10*'Emission Factors'!D7/2000)+('Emission Factors'!D19*S10/2000)</f>
        <v>0</v>
      </c>
    </row>
    <row r="26" spans="1:19" ht="14.25" customHeight="1" x14ac:dyDescent="0.25">
      <c r="A26" s="6" t="s">
        <v>39</v>
      </c>
      <c r="B26" s="55"/>
      <c r="C26" s="55"/>
      <c r="D26" s="55"/>
      <c r="E26" s="165" t="str">
        <f t="shared" si="2"/>
        <v/>
      </c>
      <c r="F26" s="165" t="str">
        <f t="shared" si="3"/>
        <v/>
      </c>
      <c r="G26" s="98"/>
      <c r="H26" s="71"/>
      <c r="I26" s="184"/>
      <c r="J26" s="81">
        <f t="shared" si="4"/>
        <v>0</v>
      </c>
      <c r="K26" s="81">
        <f t="shared" si="0"/>
        <v>0</v>
      </c>
      <c r="M26" s="109" t="s">
        <v>42</v>
      </c>
      <c r="N26" s="136">
        <f t="shared" ca="1" si="5"/>
        <v>0</v>
      </c>
      <c r="O26" s="145">
        <f ca="1">IF(N26=0,0,IF(OR(C24="no",C39="no",C55="no",C70="no",C86="no",C101="no",C116="no",C131="no",C146="no",C161="no"),'Emission Factors'!D13,'Emission Factors'!D25))</f>
        <v>0</v>
      </c>
      <c r="P26" s="137" t="str">
        <f t="shared" si="6"/>
        <v/>
      </c>
      <c r="Q26" s="136">
        <f t="shared" ca="1" si="7"/>
        <v>0</v>
      </c>
      <c r="R26" s="136">
        <f t="shared" ca="1" si="8"/>
        <v>0</v>
      </c>
      <c r="S26" s="136">
        <f ca="1">(O11*'Emission Factors'!D13/2000)+('Emission Factors'!D25*S11/2000)</f>
        <v>0</v>
      </c>
    </row>
    <row r="27" spans="1:19" ht="14.25" customHeight="1" x14ac:dyDescent="0.25">
      <c r="A27" s="6" t="s">
        <v>40</v>
      </c>
      <c r="B27" s="55"/>
      <c r="D27" s="55"/>
      <c r="E27" s="165" t="str">
        <f t="shared" si="2"/>
        <v/>
      </c>
      <c r="F27" s="165" t="str">
        <f t="shared" si="3"/>
        <v/>
      </c>
      <c r="G27" s="98"/>
      <c r="H27" s="71"/>
      <c r="I27" s="184"/>
      <c r="J27" s="81">
        <f t="shared" si="4"/>
        <v>0</v>
      </c>
      <c r="K27" s="81">
        <f t="shared" si="0"/>
        <v>0</v>
      </c>
      <c r="M27" s="109" t="s">
        <v>43</v>
      </c>
      <c r="N27" s="136">
        <f t="shared" ca="1" si="5"/>
        <v>0</v>
      </c>
      <c r="O27" s="145">
        <f ca="1">IF(N27=0,0,IF(OR(C24="no",C39="no",C55="no",C70="no",C86="no",C101="no",C116="no",C131="no",C146="no",C161="no"),'Emission Factors'!D5,'Emission Factors'!D17))</f>
        <v>0</v>
      </c>
      <c r="P27" s="136" t="str">
        <f t="shared" si="6"/>
        <v/>
      </c>
      <c r="Q27" s="136">
        <f t="shared" ca="1" si="7"/>
        <v>0</v>
      </c>
      <c r="R27" s="136">
        <f t="shared" ca="1" si="8"/>
        <v>0</v>
      </c>
      <c r="S27" s="136">
        <f ca="1">(O12*'Emission Factors'!D5/2000)+('Emission Factors'!D17*S12/2000)</f>
        <v>0</v>
      </c>
    </row>
    <row r="28" spans="1:19" ht="14.25" customHeight="1" x14ac:dyDescent="0.25">
      <c r="A28" s="6" t="s">
        <v>41</v>
      </c>
      <c r="B28" s="55"/>
      <c r="D28" s="55"/>
      <c r="E28" s="55"/>
      <c r="F28" s="55"/>
      <c r="M28" s="108" t="s">
        <v>16</v>
      </c>
      <c r="N28" s="138"/>
      <c r="O28" s="146"/>
      <c r="P28" s="139"/>
      <c r="Q28" s="139"/>
      <c r="R28" s="139"/>
      <c r="S28" s="138"/>
    </row>
    <row r="29" spans="1:19" ht="14.25" customHeight="1" x14ac:dyDescent="0.25">
      <c r="A29" s="6" t="s">
        <v>42</v>
      </c>
      <c r="B29" s="55"/>
      <c r="E29" s="88" t="s">
        <v>86</v>
      </c>
      <c r="F29" s="88"/>
      <c r="G29" s="89"/>
      <c r="M29" s="109" t="s">
        <v>38</v>
      </c>
      <c r="N29" s="136">
        <f t="shared" ref="N29:N36" ca="1" si="9">N5</f>
        <v>0</v>
      </c>
      <c r="O29" s="145">
        <f ca="1">IF(N29=0,0,IF(OR($C$24="no",$C$39="no",$C$55="no",$C$70="no",$C$86="no",$C$101="no",$C$116="no",$C$131="no",$C$146="no",$C$161="no"),'Emission Factors'!F8,'Emission Factors'!F20))</f>
        <v>0</v>
      </c>
      <c r="P29" s="136" t="str">
        <f t="shared" ref="P29:P36" si="10">IF(OR($C$24="no",$C$39="no",$C$55="no",$C$70="no",$C$86="no",$C$101="no",$C$116="no",$C$131="no",$C$146="no",$C$161="no"),N29*O29,"")</f>
        <v/>
      </c>
      <c r="Q29" s="136">
        <f t="shared" ref="Q29:Q36" ca="1" si="11">IF($F$11&gt;0,$F$11,IF(OR($C$24="no",$C$39="no",$C$55="no",$C$70="no",$C$86="no",$C$101="no",$C$116="no",$C$131="no",$C$146="no",$C$161="no"),"",N29*O29))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43</v>
      </c>
      <c r="B30" s="55"/>
      <c r="D30" s="90"/>
      <c r="F30" s="91" t="s">
        <v>63</v>
      </c>
      <c r="G30" s="53" t="s">
        <v>87</v>
      </c>
      <c r="H30" s="124" t="s">
        <v>88</v>
      </c>
      <c r="I30" s="53" t="s">
        <v>89</v>
      </c>
      <c r="M30" s="109" t="s">
        <v>36</v>
      </c>
      <c r="N30" s="136">
        <f t="shared" ca="1" si="9"/>
        <v>0</v>
      </c>
      <c r="O30" s="145">
        <f ca="1">IF(N30=0,0,IF(OR($C$24="no",$C$39="no",$C$55="no",$C$70="no",$C$86="no",$C$101="no",$C$116="no",$C$131="no",$C$146="no",$C$161="no"),'Emission Factors'!F9,'Emission Factors'!F21))</f>
        <v>0</v>
      </c>
      <c r="P30" s="140" t="str">
        <f t="shared" si="10"/>
        <v/>
      </c>
      <c r="Q30" s="136">
        <f t="shared" ca="1" si="11"/>
        <v>0</v>
      </c>
      <c r="R30" s="136">
        <f t="shared" ref="R30:R36" ca="1" si="12">IF($G$11&gt;0,"",IF($C$9&gt;0,$C$9*O30/2000,IF($C$10&gt;0,$C$10*365*O30/2000,IF($C$11&gt;0,$C$11*365*O30*N30/2000,IF(Q30="",P30*8760/2000,Q30*8760/2000)))))</f>
        <v>0</v>
      </c>
      <c r="S30" s="136">
        <f ca="1">(O6*'Emission Factors'!F9/2000)+('Emission Factors'!F21*S6/2000)</f>
        <v>0</v>
      </c>
    </row>
    <row r="31" spans="1:19" ht="14.25" customHeight="1" x14ac:dyDescent="0.2">
      <c r="B31" s="55"/>
      <c r="F31" s="74"/>
      <c r="G31" s="126"/>
      <c r="H31" s="75"/>
      <c r="I31" s="126"/>
      <c r="M31" s="109" t="s">
        <v>37</v>
      </c>
      <c r="N31" s="136">
        <f t="shared" ca="1" si="9"/>
        <v>0</v>
      </c>
      <c r="O31" s="145">
        <f ca="1">IF(N31=0,0,IF(OR($C$24="no",$C$39="no",$C$55="no",$C$70="no",$C$86="no",$C$101="no",$C$116="no",$C$131="no",$C$146="no",$C$161="no"),'Emission Factors'!F10,'Emission Factors'!F22))</f>
        <v>0</v>
      </c>
      <c r="P31" s="136" t="str">
        <f t="shared" si="10"/>
        <v/>
      </c>
      <c r="Q31" s="136">
        <f t="shared" ca="1" si="11"/>
        <v>0</v>
      </c>
      <c r="R31" s="136">
        <f t="shared" ca="1" si="12"/>
        <v>0</v>
      </c>
      <c r="S31" s="136">
        <f ca="1">(O7*'Emission Factors'!F10/2000)+('Emission Factors'!F22*S7/2000)</f>
        <v>0</v>
      </c>
    </row>
    <row r="32" spans="1:19" ht="14.25" customHeight="1" x14ac:dyDescent="0.2">
      <c r="B32" s="55"/>
      <c r="M32" s="109" t="s">
        <v>39</v>
      </c>
      <c r="N32" s="136">
        <f t="shared" ca="1" si="9"/>
        <v>0</v>
      </c>
      <c r="O32" s="145">
        <f ca="1">IF(N32=0,0,IF(OR(C24="no",C39="no",C55="no",C70="no",C86="no",C101="no",C116="no",C131="no",C146="no",C161="no"),'Emission Factors'!F12,'Emission Factors'!F24))</f>
        <v>0</v>
      </c>
      <c r="P32" s="136" t="str">
        <f t="shared" si="10"/>
        <v/>
      </c>
      <c r="Q32" s="136">
        <f t="shared" ca="1" si="11"/>
        <v>0</v>
      </c>
      <c r="R32" s="136">
        <f t="shared" ca="1" si="12"/>
        <v>0</v>
      </c>
      <c r="S32" s="136">
        <f ca="1">(O8*'Emission Factors'!F12/2000)+('Emission Factors'!F24*S8/2000)</f>
        <v>0</v>
      </c>
    </row>
    <row r="33" spans="1:19" ht="14.25" customHeight="1" x14ac:dyDescent="0.2">
      <c r="A33" s="80">
        <f>C20</f>
        <v>0</v>
      </c>
      <c r="M33" s="109" t="s">
        <v>40</v>
      </c>
      <c r="N33" s="136">
        <f t="shared" ca="1" si="9"/>
        <v>0</v>
      </c>
      <c r="O33" s="145">
        <f ca="1">IF(N33=0,0,IF(OR(C24="no",C39="no",C55="no",C70="no",C86="no",C101="no",C116="no",C131="no",C146="no",C161="no"),'Emission Factors'!F6,'Emission Factors'!F18))</f>
        <v>0</v>
      </c>
      <c r="P33" s="136" t="str">
        <f t="shared" si="10"/>
        <v/>
      </c>
      <c r="Q33" s="136">
        <f t="shared" ca="1" si="11"/>
        <v>0</v>
      </c>
      <c r="R33" s="136">
        <f t="shared" ca="1" si="12"/>
        <v>0</v>
      </c>
      <c r="S33" s="136">
        <f ca="1">(O9*'Emission Factors'!F6/2000)+('Emission Factors'!F18*S9/2000)</f>
        <v>0</v>
      </c>
    </row>
    <row r="34" spans="1:19" ht="27.75" customHeight="1" x14ac:dyDescent="0.25">
      <c r="A34" s="80">
        <f>C35</f>
        <v>0</v>
      </c>
      <c r="B34" s="92" t="str">
        <f>IF('Limestone Plant (LP-2)'!$E$4&gt;1,"CRUSHER PLANT","")</f>
        <v/>
      </c>
      <c r="C34" s="84" t="str">
        <f>IF('Limestone Plant (LP-2)'!$E$4&gt;1,"Site 2","")</f>
        <v/>
      </c>
      <c r="E34" s="213" t="str">
        <f>IF('Limestone Plant (LP-2)'!$E$4&gt;1,"Emission Point #","")</f>
        <v/>
      </c>
      <c r="F34" s="213" t="str">
        <f>IF('Limestone Plant (LP-2)'!$E$4&gt;1,"Emission    Unit #","")</f>
        <v/>
      </c>
      <c r="G34" s="213" t="str">
        <f>IF('Limestone Plant (LP-2)'!$E$4&gt;1,"Processes","")</f>
        <v/>
      </c>
      <c r="H34" s="220" t="str">
        <f>IF('Limestone Plant (LP-2)'!$E$4&gt;1,"Combined Maximum Hourly Design Rate for all Like Processes (tons/hr)","")</f>
        <v/>
      </c>
      <c r="I34" s="213" t="str">
        <f>IF('Limestone Plant (LP-2)'!$E$4&gt;1,('Facility Information'!G5&amp;" Annual Throughput (tons)"),"")</f>
        <v/>
      </c>
      <c r="M34" s="109" t="s">
        <v>41</v>
      </c>
      <c r="N34" s="136">
        <f t="shared" ca="1" si="9"/>
        <v>0</v>
      </c>
      <c r="O34" s="145">
        <f ca="1">IF(N34=0,0,IF(OR(C24="no",C39="no",C55="no",C70="no",C86="no",C101="no",C116="no",C131="no",C146="no",C161="no"),'Emission Factors'!F7,'Emission Factors'!F19))</f>
        <v>0</v>
      </c>
      <c r="P34" s="136" t="str">
        <f t="shared" si="10"/>
        <v/>
      </c>
      <c r="Q34" s="136">
        <f t="shared" ca="1" si="11"/>
        <v>0</v>
      </c>
      <c r="R34" s="136">
        <f t="shared" ca="1" si="12"/>
        <v>0</v>
      </c>
      <c r="S34" s="136">
        <f ca="1">(O10*'Emission Factors'!F7/2000)+('Emission Factors'!F19*S10/2000)</f>
        <v>0</v>
      </c>
    </row>
    <row r="35" spans="1:19" ht="14.25" customHeight="1" x14ac:dyDescent="0.2">
      <c r="A35" s="80">
        <f>C51</f>
        <v>0</v>
      </c>
      <c r="B35" s="94" t="str">
        <f>IF('Limestone Plant (LP-2)'!$E$4&gt;1,"Site Name:","")</f>
        <v/>
      </c>
      <c r="C35" s="76"/>
      <c r="D35" s="55"/>
      <c r="E35" s="166" t="str">
        <f>IF(G35="","","LP-2 EP-1")</f>
        <v/>
      </c>
      <c r="F35" s="166" t="str">
        <f>IF(G35="","",IF(G35="primary crusher","LP-2 EU-1",IF(G35="screening","LP-2 EU-2",IF(G35="secondary crusher","LP-2 EU-3",IF(G35="tertiary crusher","LP-2 EU-4",IF(G35="fines crushing","LP-2 EU-5",IF(G35="fines screening","LP-2 EU-6",IF(G35="wet drilling: unfragmented stone","LP-2 EU-7",IF(G35="conveyor transfer points","LP-2 EU-8")))))))))</f>
        <v/>
      </c>
      <c r="G35" s="98"/>
      <c r="H35" s="71"/>
      <c r="I35" s="184"/>
      <c r="J35" s="81">
        <f t="shared" ref="J35:J42" si="13">IF($C$39="no",I35,0)</f>
        <v>0</v>
      </c>
      <c r="K35" s="81">
        <f t="shared" ref="K35:K42" si="14">IF($C$39="yes",I35,0)</f>
        <v>0</v>
      </c>
      <c r="M35" s="109" t="s">
        <v>42</v>
      </c>
      <c r="N35" s="136">
        <f t="shared" ca="1" si="9"/>
        <v>0</v>
      </c>
      <c r="O35" s="145">
        <f ca="1">IF(N35=0,0,IF(OR(C24="no",C39="no",C55="no",C70="no",C86="no",C101="no",C116="no",C131="no",C146="no",C161="no"),'Emission Factors'!F13,'Emission Factors'!F25))</f>
        <v>0</v>
      </c>
      <c r="P35" s="136" t="str">
        <f t="shared" si="10"/>
        <v/>
      </c>
      <c r="Q35" s="136">
        <f t="shared" ca="1" si="11"/>
        <v>0</v>
      </c>
      <c r="R35" s="136">
        <f t="shared" ca="1" si="12"/>
        <v>0</v>
      </c>
      <c r="S35" s="136">
        <f ca="1">(O11*'Emission Factors'!F13/2000)+('Emission Factors'!F25*S11/2000)</f>
        <v>0</v>
      </c>
    </row>
    <row r="36" spans="1:19" ht="14.25" customHeight="1" x14ac:dyDescent="0.2">
      <c r="A36" s="80">
        <f>C66</f>
        <v>0</v>
      </c>
      <c r="B36" s="94" t="str">
        <f>IF('Limestone Plant (LP-2)'!$E$4&gt;1,"County:","")</f>
        <v/>
      </c>
      <c r="C36" s="76"/>
      <c r="D36" s="55"/>
      <c r="E36" s="166" t="str">
        <f t="shared" ref="E36:E42" si="15">IF(G36="","","LP-2 EP-1")</f>
        <v/>
      </c>
      <c r="F36" s="166" t="str">
        <f t="shared" ref="F36:F42" si="16">IF(G36="","",IF(G36="primary crusher","LP-2 EU-1",IF(G36="screening","LP-2 EU-2",IF(G36="secondary crusher","LP-2 EU-3",IF(G36="tertiary crusher","LP-2 EU-4",IF(G36="fines crushing","LP-2 EU-5",IF(G36="fines screening","LP-2 EU-6",IF(G36="wet drilling: unfragmented stone","LP-2 EU-7",IF(G36="conveyor transfer points","LP-2 EU-8")))))))))</f>
        <v/>
      </c>
      <c r="G36" s="98"/>
      <c r="H36" s="71"/>
      <c r="I36" s="184"/>
      <c r="J36" s="81">
        <f t="shared" si="13"/>
        <v>0</v>
      </c>
      <c r="K36" s="81">
        <f t="shared" si="14"/>
        <v>0</v>
      </c>
      <c r="M36" s="109" t="s">
        <v>43</v>
      </c>
      <c r="N36" s="136">
        <f t="shared" ca="1" si="9"/>
        <v>0</v>
      </c>
      <c r="O36" s="145">
        <f ca="1">IF(N36=0,0,IF(OR(C24="no",C39="no",C55="no",C70="no",C86="no",C101="no",C116="no",C131="no",C146="no",C161="no"),'Emission Factors'!F5,'Emission Factors'!F17))</f>
        <v>0</v>
      </c>
      <c r="P36" s="136" t="str">
        <f t="shared" si="10"/>
        <v/>
      </c>
      <c r="Q36" s="136">
        <f t="shared" ca="1" si="11"/>
        <v>0</v>
      </c>
      <c r="R36" s="136">
        <f t="shared" ca="1" si="12"/>
        <v>0</v>
      </c>
      <c r="S36" s="136">
        <f ca="1">(O12*'Emission Factors'!F5/2000)+('Emission Factors'!F17*S12/2000)</f>
        <v>0</v>
      </c>
    </row>
    <row r="37" spans="1:19" ht="14.25" customHeight="1" x14ac:dyDescent="0.2">
      <c r="A37" s="80">
        <f>C82</f>
        <v>0</v>
      </c>
      <c r="B37" s="94" t="str">
        <f>IF('Limestone Plant (LP-2)'!$E$4&gt;1,"Crushing Period (Dates):","")</f>
        <v/>
      </c>
      <c r="C37" s="76"/>
      <c r="D37" s="55"/>
      <c r="E37" s="166" t="str">
        <f t="shared" si="15"/>
        <v/>
      </c>
      <c r="F37" s="166" t="str">
        <f t="shared" si="16"/>
        <v/>
      </c>
      <c r="G37" s="98"/>
      <c r="H37" s="71"/>
      <c r="I37" s="184"/>
      <c r="J37" s="81">
        <f t="shared" si="13"/>
        <v>0</v>
      </c>
      <c r="K37" s="81">
        <f t="shared" si="14"/>
        <v>0</v>
      </c>
    </row>
    <row r="38" spans="1:19" ht="14.25" customHeight="1" x14ac:dyDescent="0.2">
      <c r="A38" s="80">
        <f>C97</f>
        <v>0</v>
      </c>
      <c r="B38" s="281" t="str">
        <f>IF('Limestone Plant (LP-2)'!$E$4&gt;1,"Controlled with Dust Suppressant or","" )</f>
        <v/>
      </c>
      <c r="D38" s="55"/>
      <c r="E38" s="166" t="str">
        <f t="shared" si="15"/>
        <v/>
      </c>
      <c r="F38" s="166" t="str">
        <f t="shared" si="16"/>
        <v/>
      </c>
      <c r="G38" s="98"/>
      <c r="H38" s="71"/>
      <c r="I38" s="184"/>
      <c r="J38" s="81">
        <f t="shared" si="13"/>
        <v>0</v>
      </c>
      <c r="K38" s="81">
        <f t="shared" si="14"/>
        <v>0</v>
      </c>
      <c r="N38" s="216" t="s">
        <v>295</v>
      </c>
      <c r="O38" s="216" t="s">
        <v>13</v>
      </c>
      <c r="P38" s="345" t="s">
        <v>304</v>
      </c>
      <c r="Q38" s="216" t="s">
        <v>303</v>
      </c>
      <c r="R38" s="216" t="s">
        <v>289</v>
      </c>
      <c r="S38" s="216" t="s">
        <v>300</v>
      </c>
    </row>
    <row r="39" spans="1:19" ht="14.25" customHeight="1" x14ac:dyDescent="0.2">
      <c r="A39" s="80">
        <f>C112</f>
        <v>0</v>
      </c>
      <c r="B39" s="282" t="str">
        <f>IF('Limestone Plant (LP-2)'!$E$4&gt;1,"Material Being Processed has","")</f>
        <v/>
      </c>
      <c r="C39" s="280"/>
      <c r="D39" s="55"/>
      <c r="E39" s="166" t="str">
        <f t="shared" si="15"/>
        <v/>
      </c>
      <c r="F39" s="166" t="str">
        <f t="shared" si="16"/>
        <v/>
      </c>
      <c r="G39" s="98"/>
      <c r="H39" s="71"/>
      <c r="I39" s="184"/>
      <c r="J39" s="81">
        <f t="shared" si="13"/>
        <v>0</v>
      </c>
      <c r="K39" s="81">
        <f t="shared" si="14"/>
        <v>0</v>
      </c>
      <c r="M39" s="81" t="s">
        <v>44</v>
      </c>
      <c r="N39" s="216" t="s">
        <v>296</v>
      </c>
      <c r="O39" s="221" t="s">
        <v>301</v>
      </c>
      <c r="P39" s="345" t="s">
        <v>249</v>
      </c>
      <c r="Q39" s="216" t="s">
        <v>249</v>
      </c>
      <c r="R39" s="216" t="s">
        <v>253</v>
      </c>
      <c r="S39" s="216" t="s">
        <v>253</v>
      </c>
    </row>
    <row r="40" spans="1:19" ht="14.25" customHeight="1" x14ac:dyDescent="0.2">
      <c r="A40" s="80">
        <f>C127</f>
        <v>0</v>
      </c>
      <c r="B40" s="284" t="str">
        <f>IF('Limestone Plant (LP-2)'!$E$4&gt;1,"Moisture Content &gt; 1.5%?","")</f>
        <v/>
      </c>
      <c r="C40" s="55"/>
      <c r="D40" s="55"/>
      <c r="E40" s="166" t="str">
        <f t="shared" si="15"/>
        <v/>
      </c>
      <c r="F40" s="166" t="str">
        <f t="shared" si="16"/>
        <v/>
      </c>
      <c r="G40" s="98"/>
      <c r="H40" s="71"/>
      <c r="I40" s="184"/>
      <c r="J40" s="81">
        <f t="shared" si="13"/>
        <v>0</v>
      </c>
      <c r="K40" s="81">
        <f t="shared" si="14"/>
        <v>0</v>
      </c>
      <c r="M40" s="111" t="s">
        <v>143</v>
      </c>
      <c r="N40" s="110">
        <f>N14</f>
        <v>0</v>
      </c>
      <c r="O40" s="110">
        <v>3.64</v>
      </c>
      <c r="P40" s="110">
        <f>N40*O40*(1/24)</f>
        <v>0</v>
      </c>
      <c r="Q40" s="110"/>
      <c r="R40" s="110">
        <f>N40*O40*365/2000</f>
        <v>0</v>
      </c>
      <c r="S40" s="110">
        <f>O14*O40/2000</f>
        <v>0</v>
      </c>
    </row>
    <row r="41" spans="1:19" ht="14.25" customHeight="1" x14ac:dyDescent="0.2">
      <c r="A41" s="80">
        <f>C142</f>
        <v>0</v>
      </c>
      <c r="B41" s="55"/>
      <c r="C41" s="55"/>
      <c r="D41" s="55"/>
      <c r="E41" s="166" t="str">
        <f t="shared" si="15"/>
        <v/>
      </c>
      <c r="F41" s="166" t="str">
        <f t="shared" si="16"/>
        <v/>
      </c>
      <c r="G41" s="98"/>
      <c r="H41" s="71"/>
      <c r="I41" s="184"/>
      <c r="J41" s="81">
        <f t="shared" si="13"/>
        <v>0</v>
      </c>
      <c r="K41" s="81">
        <f t="shared" si="14"/>
        <v>0</v>
      </c>
      <c r="N41" s="81"/>
      <c r="O41" s="81"/>
      <c r="P41" s="81"/>
    </row>
    <row r="42" spans="1:19" ht="14.25" customHeight="1" x14ac:dyDescent="0.2">
      <c r="A42" s="80">
        <f>C157</f>
        <v>0</v>
      </c>
      <c r="B42" s="55"/>
      <c r="D42" s="55"/>
      <c r="E42" s="166" t="str">
        <f t="shared" si="15"/>
        <v/>
      </c>
      <c r="F42" s="166" t="str">
        <f t="shared" si="16"/>
        <v/>
      </c>
      <c r="G42" s="98"/>
      <c r="H42" s="71"/>
      <c r="I42" s="184"/>
      <c r="J42" s="81">
        <f t="shared" si="13"/>
        <v>0</v>
      </c>
      <c r="K42" s="81">
        <f t="shared" si="14"/>
        <v>0</v>
      </c>
      <c r="N42" s="81"/>
      <c r="O42" s="81"/>
      <c r="P42" s="81"/>
    </row>
    <row r="43" spans="1:19" ht="14.25" customHeight="1" x14ac:dyDescent="0.2">
      <c r="B43" s="55"/>
      <c r="D43" s="55"/>
      <c r="E43" s="55"/>
      <c r="F43" s="55"/>
      <c r="N43" s="81"/>
      <c r="O43" s="81"/>
      <c r="P43" s="81"/>
    </row>
    <row r="44" spans="1:19" ht="14.25" customHeight="1" x14ac:dyDescent="0.2">
      <c r="B44" s="55"/>
      <c r="E44" s="88" t="str">
        <f>IF('Limestone Plant (LP-2)'!$E$4&gt;1,"Stock Pile Area","")</f>
        <v/>
      </c>
      <c r="F44" s="88"/>
      <c r="G44" s="89"/>
      <c r="N44" s="81"/>
      <c r="O44" s="81"/>
      <c r="P44" s="81"/>
    </row>
    <row r="45" spans="1:19" ht="14.25" customHeight="1" x14ac:dyDescent="0.2">
      <c r="B45" s="55"/>
      <c r="D45" s="90"/>
      <c r="F45" s="60" t="str">
        <f>IF('Limestone Plant (LP-2)'!$E$4&gt;1,"Emission Unit #","")</f>
        <v/>
      </c>
      <c r="G45" s="95" t="str">
        <f>IF('Limestone Plant (LP-2)'!$E$4&gt;1,"Maximum Storage Area (acres)","")</f>
        <v/>
      </c>
      <c r="H45" s="96" t="str">
        <f>IF('Limestone Plant (LP-2)'!$E$4&gt;1,"Actual Storage Area (acres)","")</f>
        <v/>
      </c>
      <c r="I45" s="95" t="str">
        <f>IF('Limestone Plant (LP-2)'!$E$4&gt;1,"Actual Days in Existence (days)","")</f>
        <v/>
      </c>
      <c r="J45" s="97"/>
      <c r="K45" s="97"/>
      <c r="L45" s="90"/>
      <c r="N45" s="81"/>
      <c r="O45" s="81"/>
      <c r="P45" s="81"/>
    </row>
    <row r="46" spans="1:19" ht="14.25" customHeight="1" x14ac:dyDescent="0.2">
      <c r="B46" s="55"/>
      <c r="F46" s="77"/>
      <c r="G46" s="126"/>
      <c r="H46" s="78"/>
      <c r="I46" s="126"/>
      <c r="N46" s="81"/>
      <c r="O46" s="81"/>
      <c r="P46" s="81"/>
    </row>
    <row r="47" spans="1:19" ht="14.25" customHeight="1" x14ac:dyDescent="0.2">
      <c r="B47" s="84"/>
      <c r="C47" s="125"/>
      <c r="D47" s="374"/>
      <c r="E47" s="374"/>
      <c r="F47" s="148"/>
      <c r="G47" s="125"/>
      <c r="H47" s="125"/>
      <c r="N47" s="81"/>
      <c r="O47" s="81"/>
      <c r="P47" s="81"/>
    </row>
    <row r="48" spans="1:19" ht="14.25" customHeight="1" x14ac:dyDescent="0.2">
      <c r="B48" s="84"/>
      <c r="C48" s="218"/>
      <c r="D48" s="218"/>
      <c r="E48" s="218"/>
      <c r="F48" s="218"/>
      <c r="G48" s="218"/>
      <c r="H48" s="218"/>
      <c r="N48" s="81"/>
      <c r="O48" s="81"/>
      <c r="P48" s="81"/>
    </row>
    <row r="49" spans="2:16" ht="14.25" customHeight="1" x14ac:dyDescent="0.2">
      <c r="B49" s="84"/>
      <c r="C49" s="84"/>
      <c r="D49" s="84"/>
      <c r="E49" s="84"/>
      <c r="F49" s="84"/>
      <c r="G49" s="84"/>
      <c r="H49" s="84"/>
      <c r="N49" s="81"/>
      <c r="O49" s="81"/>
      <c r="P49" s="81"/>
    </row>
    <row r="50" spans="2:16" ht="27.75" customHeight="1" x14ac:dyDescent="0.25">
      <c r="B50" s="92" t="str">
        <f>IF('Limestone Plant (LP-2)'!$E$4&gt;2,"CRUSHER PLANT","")</f>
        <v/>
      </c>
      <c r="C50" s="84" t="str">
        <f>IF('Limestone Plant (LP-2)'!$E$4&gt;2,"Site 3","")</f>
        <v/>
      </c>
      <c r="E50" s="213" t="str">
        <f>IF('Limestone Plant (LP-2)'!$E$4&gt;2,"Emission Point #","")</f>
        <v/>
      </c>
      <c r="F50" s="213" t="str">
        <f>IF('Limestone Plant (LP-2)'!$E$4&gt;2,"Emission      Unit #","")</f>
        <v/>
      </c>
      <c r="G50" s="213" t="str">
        <f>IF('Limestone Plant (LP-2)'!$E$4&gt;2,"Processes","")</f>
        <v/>
      </c>
      <c r="H50" s="220" t="str">
        <f>IF('Limestone Plant (LP-2)'!$E$4&gt;2,"Combined Maximum Hourly Design Rate for all Like Processes (tons/hr)","")</f>
        <v/>
      </c>
      <c r="I50" s="213" t="str">
        <f>IF('Limestone Plant (LP-2)'!$E$4&gt;2,('Facility Information'!G5&amp;" Annual Throughput (tons)"),"")</f>
        <v/>
      </c>
      <c r="N50" s="81"/>
      <c r="O50" s="81"/>
      <c r="P50" s="81"/>
    </row>
    <row r="51" spans="2:16" ht="14.25" customHeight="1" x14ac:dyDescent="0.2">
      <c r="B51" s="94" t="str">
        <f>IF('Limestone Plant (LP-2)'!$E$4&gt;2,"Site Name:","")</f>
        <v/>
      </c>
      <c r="C51" s="76"/>
      <c r="D51" s="55"/>
      <c r="E51" s="166" t="str">
        <f>IF(G51="","","LP-2 EP-1")</f>
        <v/>
      </c>
      <c r="F51" s="166" t="str">
        <f>IF(G51="","",IF(G51="primary crusher","LP-2 EU-1",IF(G51="screening","LP-2 EU-2",IF(G51="secondary crusher","LP-2 EU-3",IF(G51="tertiary crusher","LP-2 EU-4",IF(G51="fines crushing","LP-2 EU-5",IF(G51="fines screening","LP-2 EU-6",IF(G51="wet drilling: unfragmented stone","LP-2 EU-7",IF(G51="conveyor transfer points","LP-2 EU-8")))))))))</f>
        <v/>
      </c>
      <c r="G51" s="98"/>
      <c r="H51" s="71"/>
      <c r="I51" s="184"/>
      <c r="J51" s="81">
        <f t="shared" ref="J51:J58" si="17">IF($C$55="no",I51,0)</f>
        <v>0</v>
      </c>
      <c r="K51" s="81">
        <f t="shared" ref="K51:K58" si="18">IF($C$55="yes",I51,0)</f>
        <v>0</v>
      </c>
      <c r="N51" s="81"/>
      <c r="O51" s="81"/>
      <c r="P51" s="81"/>
    </row>
    <row r="52" spans="2:16" ht="14.25" customHeight="1" x14ac:dyDescent="0.2">
      <c r="B52" s="94" t="str">
        <f>IF('Limestone Plant (LP-2)'!$E$4&gt;2,"County:","")</f>
        <v/>
      </c>
      <c r="C52" s="76"/>
      <c r="D52" s="55"/>
      <c r="E52" s="166" t="str">
        <f t="shared" ref="E52:E58" si="19">IF(G52="","","LP-2 EP-1")</f>
        <v/>
      </c>
      <c r="F52" s="166" t="str">
        <f t="shared" ref="F52:F58" si="20">IF(G52="","",IF(G52="primary crusher","LP-2 EU-1",IF(G52="screening","LP-2 EU-2",IF(G52="secondary crusher","LP-2 EU-3",IF(G52="tertiary crusher","LP-2 EU-4",IF(G52="fines crushing","LP-2 EU-5",IF(G52="fines screening","LP-2 EU-6",IF(G52="wet drilling: unfragmented stone","LP-2 EU-7",IF(G52="conveyor transfer points","LP-2 EU-8")))))))))</f>
        <v/>
      </c>
      <c r="G52" s="98"/>
      <c r="H52" s="71"/>
      <c r="I52" s="184"/>
      <c r="J52" s="81">
        <f t="shared" si="17"/>
        <v>0</v>
      </c>
      <c r="K52" s="81">
        <f t="shared" si="18"/>
        <v>0</v>
      </c>
    </row>
    <row r="53" spans="2:16" ht="14.25" customHeight="1" x14ac:dyDescent="0.2">
      <c r="B53" s="94" t="str">
        <f>IF('Limestone Plant (LP-2)'!$E$4&gt;2,"Crushing Period (Dates):","")</f>
        <v/>
      </c>
      <c r="C53" s="73"/>
      <c r="D53" s="55"/>
      <c r="E53" s="166" t="str">
        <f t="shared" si="19"/>
        <v/>
      </c>
      <c r="F53" s="166" t="str">
        <f t="shared" si="20"/>
        <v/>
      </c>
      <c r="G53" s="98"/>
      <c r="H53" s="71"/>
      <c r="I53" s="184"/>
      <c r="J53" s="81">
        <f t="shared" si="17"/>
        <v>0</v>
      </c>
      <c r="K53" s="81">
        <f t="shared" si="18"/>
        <v>0</v>
      </c>
    </row>
    <row r="54" spans="2:16" ht="14.25" customHeight="1" x14ac:dyDescent="0.2">
      <c r="B54" s="281" t="str">
        <f>IF('Limestone Plant (LP-2)'!$E$4&gt;2,"Controlled with Dust Suppressant or","")</f>
        <v/>
      </c>
      <c r="D54" s="55"/>
      <c r="E54" s="166" t="str">
        <f t="shared" si="19"/>
        <v/>
      </c>
      <c r="F54" s="166" t="str">
        <f t="shared" si="20"/>
        <v/>
      </c>
      <c r="G54" s="98"/>
      <c r="H54" s="71"/>
      <c r="I54" s="184"/>
      <c r="J54" s="81">
        <f t="shared" si="17"/>
        <v>0</v>
      </c>
      <c r="K54" s="81">
        <f t="shared" si="18"/>
        <v>0</v>
      </c>
    </row>
    <row r="55" spans="2:16" ht="14.25" customHeight="1" x14ac:dyDescent="0.2">
      <c r="B55" s="282" t="str">
        <f>IF('Limestone Plant (LP-2)'!$E$4&gt;2,"Material Being Processed has","")</f>
        <v/>
      </c>
      <c r="C55" s="280"/>
      <c r="D55" s="55"/>
      <c r="E55" s="166" t="str">
        <f t="shared" si="19"/>
        <v/>
      </c>
      <c r="F55" s="166" t="str">
        <f t="shared" si="20"/>
        <v/>
      </c>
      <c r="G55" s="98"/>
      <c r="H55" s="71"/>
      <c r="I55" s="184"/>
      <c r="J55" s="81">
        <f t="shared" si="17"/>
        <v>0</v>
      </c>
      <c r="K55" s="81">
        <f t="shared" si="18"/>
        <v>0</v>
      </c>
    </row>
    <row r="56" spans="2:16" ht="14.25" customHeight="1" x14ac:dyDescent="0.2">
      <c r="B56" s="284" t="str">
        <f>IF('Limestone Plant (LP-2)'!$E$4&gt;2,"Moisture Content &gt; 1.5%?","")</f>
        <v/>
      </c>
      <c r="C56" s="55"/>
      <c r="D56" s="55"/>
      <c r="E56" s="166" t="str">
        <f t="shared" si="19"/>
        <v/>
      </c>
      <c r="F56" s="166" t="str">
        <f t="shared" si="20"/>
        <v/>
      </c>
      <c r="G56" s="98"/>
      <c r="H56" s="71"/>
      <c r="I56" s="184"/>
      <c r="J56" s="81">
        <f t="shared" si="17"/>
        <v>0</v>
      </c>
      <c r="K56" s="81">
        <f t="shared" si="18"/>
        <v>0</v>
      </c>
    </row>
    <row r="57" spans="2:16" ht="14.25" customHeight="1" x14ac:dyDescent="0.2">
      <c r="B57" s="55"/>
      <c r="C57" s="55"/>
      <c r="D57" s="55"/>
      <c r="E57" s="166" t="str">
        <f t="shared" si="19"/>
        <v/>
      </c>
      <c r="F57" s="166" t="str">
        <f t="shared" si="20"/>
        <v/>
      </c>
      <c r="G57" s="98"/>
      <c r="H57" s="71"/>
      <c r="I57" s="184"/>
      <c r="J57" s="81">
        <f t="shared" si="17"/>
        <v>0</v>
      </c>
      <c r="K57" s="81">
        <f t="shared" si="18"/>
        <v>0</v>
      </c>
    </row>
    <row r="58" spans="2:16" ht="14.25" customHeight="1" x14ac:dyDescent="0.2">
      <c r="B58" s="55"/>
      <c r="D58" s="55"/>
      <c r="E58" s="166" t="str">
        <f t="shared" si="19"/>
        <v/>
      </c>
      <c r="F58" s="166" t="str">
        <f t="shared" si="20"/>
        <v/>
      </c>
      <c r="G58" s="98"/>
      <c r="H58" s="71"/>
      <c r="I58" s="184"/>
      <c r="J58" s="81">
        <f t="shared" si="17"/>
        <v>0</v>
      </c>
      <c r="K58" s="81">
        <f t="shared" si="18"/>
        <v>0</v>
      </c>
    </row>
    <row r="59" spans="2:16" ht="14.25" customHeight="1" x14ac:dyDescent="0.2">
      <c r="B59" s="55"/>
      <c r="D59" s="55"/>
      <c r="E59" s="55"/>
      <c r="F59" s="55"/>
    </row>
    <row r="60" spans="2:16" ht="14.25" customHeight="1" x14ac:dyDescent="0.2">
      <c r="B60" s="55"/>
      <c r="E60" s="88" t="str">
        <f>IF('Limestone Plant (LP-2)'!$E$4&gt;2,"Stock Pile Area","")</f>
        <v/>
      </c>
      <c r="F60" s="88"/>
      <c r="G60" s="89"/>
    </row>
    <row r="61" spans="2:16" ht="14.25" customHeight="1" x14ac:dyDescent="0.2">
      <c r="B61" s="55"/>
      <c r="D61" s="90"/>
      <c r="F61" s="60" t="str">
        <f>IF('Limestone Plant (LP-2)'!$E$4&gt;2,"Emission Unit #","")</f>
        <v/>
      </c>
      <c r="G61" s="95" t="str">
        <f>IF('Limestone Plant (LP-2)'!$E$4&gt;2,"Maximum Storage Area (acres)","")</f>
        <v/>
      </c>
      <c r="H61" s="96" t="str">
        <f>IF('Limestone Plant (LP-2)'!$E$4&gt;2,"Actual Storage Area (acres)","")</f>
        <v/>
      </c>
      <c r="I61" s="95" t="str">
        <f>IF('Limestone Plant (LP-2)'!$E$4&gt;2,"Actual Days in Existence (days)","")</f>
        <v/>
      </c>
    </row>
    <row r="62" spans="2:16" ht="14.25" customHeight="1" x14ac:dyDescent="0.2">
      <c r="B62" s="55"/>
      <c r="F62" s="77"/>
      <c r="G62" s="126"/>
      <c r="H62" s="78"/>
      <c r="I62" s="126"/>
    </row>
    <row r="65" spans="2:11" ht="29.25" customHeight="1" x14ac:dyDescent="0.25">
      <c r="B65" s="92" t="str">
        <f>IF('Limestone Plant (LP-2)'!$E$4&gt;3,"CRUSHER PLANT","")</f>
        <v/>
      </c>
      <c r="C65" s="84" t="str">
        <f>IF('Limestone Plant (LP-2)'!$E$4&gt;3,"Site 4","")</f>
        <v/>
      </c>
      <c r="E65" s="213" t="str">
        <f>IF('Limestone Plant (LP-2)'!$E$4&gt;3,"Emission Point #","")</f>
        <v/>
      </c>
      <c r="F65" s="213" t="str">
        <f>IF('Limestone Plant (LP-2)'!$E$4&gt;3,"Emission     Unit #","")</f>
        <v/>
      </c>
      <c r="G65" s="213" t="str">
        <f>IF('Limestone Plant (LP-2)'!$E$4&gt;3,"Processes","")</f>
        <v/>
      </c>
      <c r="H65" s="220" t="str">
        <f>IF('Limestone Plant (LP-2)'!$E$4&gt;3,"Combined Maximum Hourly Design Rate for all Like Processes (tons/hr)","")</f>
        <v/>
      </c>
      <c r="I65" s="213" t="str">
        <f>IF('Limestone Plant (LP-2)'!$E$4&gt;3,('Facility Information'!G5&amp;" Annual Throughput (tons)"),"")</f>
        <v/>
      </c>
    </row>
    <row r="66" spans="2:11" ht="14.25" customHeight="1" x14ac:dyDescent="0.2">
      <c r="B66" s="94" t="str">
        <f>IF('Limestone Plant (LP-2)'!$E$4&gt;3,"Site Name:","")</f>
        <v/>
      </c>
      <c r="C66" s="76"/>
      <c r="D66" s="55"/>
      <c r="E66" s="166" t="str">
        <f>IF(G66="","","LP-2 EP-1")</f>
        <v/>
      </c>
      <c r="F66" s="166" t="str">
        <f>IF(G66="","",IF(G66="primary crusher","LP-2 EU-1",IF(G66="screening","LP-2 EU-2",IF(G66="secondary crusher","LP-2 EU-3",IF(G66="tertiary crusher","LP-2 EU-4",IF(G66="fines crushing","LP-2 EU-5",IF(G66="fines screening","LP-2 EU-6",IF(G66="wet drilling: unfragmented stone","LP-2 EU-7",IF(G66="conveyor transfer points","LP-2 EU-8")))))))))</f>
        <v/>
      </c>
      <c r="G66" s="98"/>
      <c r="H66" s="71"/>
      <c r="I66" s="184"/>
      <c r="J66" s="81">
        <f t="shared" ref="J66:J73" si="21">IF($C$70="no",I66,0)</f>
        <v>0</v>
      </c>
      <c r="K66" s="81">
        <f t="shared" ref="K66:K73" si="22">IF($C$70="yes",I66,0)</f>
        <v>0</v>
      </c>
    </row>
    <row r="67" spans="2:11" ht="14.25" customHeight="1" x14ac:dyDescent="0.2">
      <c r="B67" s="94" t="str">
        <f>IF('Limestone Plant (LP-2)'!$E$4&gt;3,"County:","")</f>
        <v/>
      </c>
      <c r="C67" s="76"/>
      <c r="D67" s="55"/>
      <c r="E67" s="166" t="str">
        <f t="shared" ref="E67:E73" si="23">IF(G67="","","LP-2 EP-1")</f>
        <v/>
      </c>
      <c r="F67" s="166" t="str">
        <f t="shared" ref="F67:F73" si="24">IF(G67="","",IF(G67="primary crusher","LP-2 EU-1",IF(G67="screening","LP-2 EU-2",IF(G67="secondary crusher","LP-2 EU-3",IF(G67="tertiary crusher","LP-2 EU-4",IF(G67="fines crushing","LP-2 EU-5",IF(G67="fines screening","LP-2 EU-6",IF(G67="wet drilling: unfragmented stone","LP-2 EU-7",IF(G67="conveyor transfer points","LP-2 EU-8")))))))))</f>
        <v/>
      </c>
      <c r="G67" s="98"/>
      <c r="H67" s="71"/>
      <c r="I67" s="184"/>
      <c r="J67" s="81">
        <f t="shared" si="21"/>
        <v>0</v>
      </c>
      <c r="K67" s="81">
        <f t="shared" si="22"/>
        <v>0</v>
      </c>
    </row>
    <row r="68" spans="2:11" ht="14.25" customHeight="1" x14ac:dyDescent="0.2">
      <c r="B68" s="94" t="str">
        <f>IF('Limestone Plant (LP-2)'!$E$4&gt;3,"Crushing Period (Dates):","")</f>
        <v/>
      </c>
      <c r="C68" s="73"/>
      <c r="D68" s="55"/>
      <c r="E68" s="166" t="str">
        <f t="shared" si="23"/>
        <v/>
      </c>
      <c r="F68" s="166" t="str">
        <f t="shared" si="24"/>
        <v/>
      </c>
      <c r="G68" s="98"/>
      <c r="H68" s="71"/>
      <c r="I68" s="184"/>
      <c r="J68" s="81">
        <f t="shared" si="21"/>
        <v>0</v>
      </c>
      <c r="K68" s="81">
        <f t="shared" si="22"/>
        <v>0</v>
      </c>
    </row>
    <row r="69" spans="2:11" ht="14.25" customHeight="1" x14ac:dyDescent="0.2">
      <c r="B69" s="281" t="str">
        <f>IF('Limestone Plant (LP-2)'!$E$4&gt;3,"Controlled with Dust Suppressant or","")</f>
        <v/>
      </c>
      <c r="D69" s="55"/>
      <c r="E69" s="166" t="str">
        <f t="shared" si="23"/>
        <v/>
      </c>
      <c r="F69" s="166" t="str">
        <f t="shared" si="24"/>
        <v/>
      </c>
      <c r="G69" s="98"/>
      <c r="H69" s="71"/>
      <c r="I69" s="184"/>
      <c r="J69" s="81">
        <f t="shared" si="21"/>
        <v>0</v>
      </c>
      <c r="K69" s="81">
        <f t="shared" si="22"/>
        <v>0</v>
      </c>
    </row>
    <row r="70" spans="2:11" ht="14.25" customHeight="1" x14ac:dyDescent="0.2">
      <c r="B70" s="282" t="str">
        <f>IF('Limestone Plant (LP-2)'!$E$4&gt;3,"Material Being Processed has","")</f>
        <v/>
      </c>
      <c r="C70" s="280"/>
      <c r="D70" s="55"/>
      <c r="E70" s="166" t="str">
        <f t="shared" si="23"/>
        <v/>
      </c>
      <c r="F70" s="166" t="str">
        <f t="shared" si="24"/>
        <v/>
      </c>
      <c r="G70" s="98"/>
      <c r="H70" s="71"/>
      <c r="I70" s="184"/>
      <c r="J70" s="81">
        <f t="shared" si="21"/>
        <v>0</v>
      </c>
      <c r="K70" s="81">
        <f t="shared" si="22"/>
        <v>0</v>
      </c>
    </row>
    <row r="71" spans="2:11" ht="14.25" customHeight="1" x14ac:dyDescent="0.2">
      <c r="B71" s="284" t="str">
        <f>IF('Limestone Plant (LP-2)'!$E$4&gt;3,"Moisture Content &gt; 1.5%?","")</f>
        <v/>
      </c>
      <c r="C71" s="55"/>
      <c r="D71" s="55"/>
      <c r="E71" s="166" t="str">
        <f t="shared" si="23"/>
        <v/>
      </c>
      <c r="F71" s="166" t="str">
        <f t="shared" si="24"/>
        <v/>
      </c>
      <c r="G71" s="98"/>
      <c r="H71" s="71"/>
      <c r="I71" s="184"/>
      <c r="J71" s="81">
        <f t="shared" si="21"/>
        <v>0</v>
      </c>
      <c r="K71" s="81">
        <f t="shared" si="22"/>
        <v>0</v>
      </c>
    </row>
    <row r="72" spans="2:11" ht="14.25" customHeight="1" x14ac:dyDescent="0.2">
      <c r="B72" s="55"/>
      <c r="C72" s="55"/>
      <c r="D72" s="55"/>
      <c r="E72" s="166" t="str">
        <f t="shared" si="23"/>
        <v/>
      </c>
      <c r="F72" s="166" t="str">
        <f t="shared" si="24"/>
        <v/>
      </c>
      <c r="G72" s="98"/>
      <c r="H72" s="71"/>
      <c r="I72" s="184"/>
      <c r="J72" s="81">
        <f t="shared" si="21"/>
        <v>0</v>
      </c>
      <c r="K72" s="81">
        <f t="shared" si="22"/>
        <v>0</v>
      </c>
    </row>
    <row r="73" spans="2:11" ht="14.25" customHeight="1" x14ac:dyDescent="0.2">
      <c r="B73" s="55"/>
      <c r="D73" s="55"/>
      <c r="E73" s="166" t="str">
        <f t="shared" si="23"/>
        <v/>
      </c>
      <c r="F73" s="166" t="str">
        <f t="shared" si="24"/>
        <v/>
      </c>
      <c r="G73" s="98"/>
      <c r="H73" s="71"/>
      <c r="I73" s="184"/>
      <c r="J73" s="81">
        <f t="shared" si="21"/>
        <v>0</v>
      </c>
      <c r="K73" s="81">
        <f t="shared" si="22"/>
        <v>0</v>
      </c>
    </row>
    <row r="74" spans="2:11" ht="14.25" customHeight="1" x14ac:dyDescent="0.2">
      <c r="B74" s="55"/>
      <c r="D74" s="55"/>
      <c r="E74" s="55"/>
      <c r="F74" s="55"/>
    </row>
    <row r="75" spans="2:11" ht="14.25" customHeight="1" x14ac:dyDescent="0.2">
      <c r="B75" s="55"/>
      <c r="E75" s="88" t="str">
        <f>IF('Limestone Plant (LP-2)'!$E$4&gt;3,"Stock Pile Area","")</f>
        <v/>
      </c>
      <c r="F75" s="88"/>
      <c r="G75" s="89"/>
    </row>
    <row r="76" spans="2:11" ht="14.25" customHeight="1" x14ac:dyDescent="0.2">
      <c r="B76" s="55"/>
      <c r="D76" s="90"/>
      <c r="F76" s="60" t="str">
        <f>IF('Limestone Plant (LP-2)'!$E$4&gt;3,"Emission Unit #","")</f>
        <v/>
      </c>
      <c r="G76" s="95" t="str">
        <f>IF('Limestone Plant (LP-2)'!$E$4&gt;3,"Maximum Storage Area (acres)","")</f>
        <v/>
      </c>
      <c r="H76" s="96" t="str">
        <f>IF('Limestone Plant (LP-2)'!$E$4&gt;3,"Actual Storage Area (acres)","")</f>
        <v/>
      </c>
      <c r="I76" s="95" t="str">
        <f>IF('Limestone Plant (LP-2)'!$E$4&gt;3,"Actual Days in Existence (days)","")</f>
        <v/>
      </c>
    </row>
    <row r="77" spans="2:11" ht="14.25" customHeight="1" x14ac:dyDescent="0.2">
      <c r="B77" s="55"/>
      <c r="F77" s="77"/>
      <c r="G77" s="126"/>
      <c r="H77" s="78"/>
      <c r="I77" s="126"/>
    </row>
    <row r="81" spans="2:11" ht="29.25" customHeight="1" x14ac:dyDescent="0.25">
      <c r="B81" s="92" t="str">
        <f>IF('Limestone Plant (LP-2)'!$E$4&gt;4,"CRUSHER PLANT","")</f>
        <v/>
      </c>
      <c r="C81" s="84" t="str">
        <f>IF('Limestone Plant (LP-2)'!$E$4&gt;4,"Site 5","")</f>
        <v/>
      </c>
      <c r="E81" s="213" t="str">
        <f>IF('Limestone Plant (LP-2)'!$E$4&gt;4,"Emission Point #","")</f>
        <v/>
      </c>
      <c r="F81" s="213" t="str">
        <f>IF('Limestone Plant (LP-2)'!$E$4&gt;4,"Emission     Unit #","")</f>
        <v/>
      </c>
      <c r="G81" s="213" t="str">
        <f>IF('Limestone Plant (LP-2)'!$E$4&gt;4,"Processes","")</f>
        <v/>
      </c>
      <c r="H81" s="220" t="str">
        <f>IF('Limestone Plant (LP-2)'!$E$4&gt;4,"Combined Maximum Hourly Design Rate for all Like Processes (tons/hr)","")</f>
        <v/>
      </c>
      <c r="I81" s="213" t="str">
        <f>IF('Limestone Plant (LP-2)'!$E$4&gt;4,('Facility Information'!G5&amp;" Annual Throughput (tons)"),"")</f>
        <v/>
      </c>
    </row>
    <row r="82" spans="2:11" ht="14.25" customHeight="1" x14ac:dyDescent="0.2">
      <c r="B82" s="94" t="str">
        <f>IF('Limestone Plant (LP-2)'!$E$4&gt;4,"Site Name:","")</f>
        <v/>
      </c>
      <c r="C82" s="76"/>
      <c r="D82" s="55"/>
      <c r="E82" s="166" t="str">
        <f>IF(G82="","","LP-2 EP-1")</f>
        <v/>
      </c>
      <c r="F82" s="166" t="str">
        <f>IF(G82="","",IF(G82="primary crusher","LP-2 EU-1",IF(G82="screening","LP-2 EU-2",IF(G82="secondary crusher","LP-2 EU-3",IF(G82="tertiary crusher","LP-2 EU-4",IF(G82="fines crushing","LP-2 EU-5",IF(G82="fines screening","LP-2 EU-6",IF(G82="wet drilling: unfragmented stone","LP-2 EU-7",IF(G82="conveyor transfer points","LP-2 EU-8")))))))))</f>
        <v/>
      </c>
      <c r="G82" s="98"/>
      <c r="H82" s="71"/>
      <c r="I82" s="184"/>
      <c r="J82" s="81">
        <f t="shared" ref="J82:J89" si="25">IF($C$86="no",I82,0)</f>
        <v>0</v>
      </c>
      <c r="K82" s="81">
        <f t="shared" ref="K82:K89" si="26">IF($C$86="yes",I82,0)</f>
        <v>0</v>
      </c>
    </row>
    <row r="83" spans="2:11" ht="14.25" customHeight="1" x14ac:dyDescent="0.2">
      <c r="B83" s="94" t="str">
        <f>IF('Limestone Plant (LP-2)'!$E$4&gt;4,"County:","")</f>
        <v/>
      </c>
      <c r="C83" s="76"/>
      <c r="D83" s="55"/>
      <c r="E83" s="166" t="str">
        <f t="shared" ref="E83:E89" si="27">IF(G83="","","LP-2 EP-1")</f>
        <v/>
      </c>
      <c r="F83" s="166" t="str">
        <f t="shared" ref="F83:F89" si="28">IF(G83="","",IF(G83="primary crusher","LP-2 EU-1",IF(G83="screening","LP-2 EU-2",IF(G83="secondary crusher","LP-2 EU-3",IF(G83="tertiary crusher","LP-2 EU-4",IF(G83="fines crushing","LP-2 EU-5",IF(G83="fines screening","LP-2 EU-6",IF(G83="wet drilling: unfragmented stone","LP-2 EU-7",IF(G83="conveyor transfer points","LP-2 EU-8")))))))))</f>
        <v/>
      </c>
      <c r="G83" s="98"/>
      <c r="H83" s="71"/>
      <c r="I83" s="184"/>
      <c r="J83" s="81">
        <f t="shared" si="25"/>
        <v>0</v>
      </c>
      <c r="K83" s="81">
        <f t="shared" si="26"/>
        <v>0</v>
      </c>
    </row>
    <row r="84" spans="2:11" ht="14.25" customHeight="1" x14ac:dyDescent="0.2">
      <c r="B84" s="94" t="str">
        <f>IF('Limestone Plant (LP-2)'!$E$4&gt;4,"Crushing Period (Dates):","")</f>
        <v/>
      </c>
      <c r="C84" s="73"/>
      <c r="D84" s="55"/>
      <c r="E84" s="166" t="str">
        <f t="shared" si="27"/>
        <v/>
      </c>
      <c r="F84" s="166" t="str">
        <f t="shared" si="28"/>
        <v/>
      </c>
      <c r="G84" s="98"/>
      <c r="H84" s="71"/>
      <c r="I84" s="184"/>
      <c r="J84" s="81">
        <f t="shared" si="25"/>
        <v>0</v>
      </c>
      <c r="K84" s="81">
        <f t="shared" si="26"/>
        <v>0</v>
      </c>
    </row>
    <row r="85" spans="2:11" ht="14.25" customHeight="1" x14ac:dyDescent="0.2">
      <c r="B85" s="281" t="str">
        <f>IF('Limestone Plant (LP-2)'!$E$4&gt;4,"Controlled with Dust Suppressant or","")</f>
        <v/>
      </c>
      <c r="D85" s="55"/>
      <c r="E85" s="166" t="str">
        <f t="shared" si="27"/>
        <v/>
      </c>
      <c r="F85" s="166" t="str">
        <f t="shared" si="28"/>
        <v/>
      </c>
      <c r="G85" s="98"/>
      <c r="H85" s="71"/>
      <c r="I85" s="184"/>
      <c r="J85" s="81">
        <f t="shared" si="25"/>
        <v>0</v>
      </c>
      <c r="K85" s="81">
        <f t="shared" si="26"/>
        <v>0</v>
      </c>
    </row>
    <row r="86" spans="2:11" ht="14.25" customHeight="1" x14ac:dyDescent="0.2">
      <c r="B86" s="282" t="str">
        <f>IF('Limestone Plant (LP-2)'!$E$4&gt;4,"Material Being Processed has","")</f>
        <v/>
      </c>
      <c r="C86" s="280"/>
      <c r="D86" s="55"/>
      <c r="E86" s="166" t="str">
        <f t="shared" si="27"/>
        <v/>
      </c>
      <c r="F86" s="166" t="str">
        <f t="shared" si="28"/>
        <v/>
      </c>
      <c r="G86" s="98"/>
      <c r="H86" s="71"/>
      <c r="I86" s="184"/>
      <c r="J86" s="81">
        <f t="shared" si="25"/>
        <v>0</v>
      </c>
      <c r="K86" s="81">
        <f t="shared" si="26"/>
        <v>0</v>
      </c>
    </row>
    <row r="87" spans="2:11" ht="14.25" customHeight="1" x14ac:dyDescent="0.2">
      <c r="B87" s="284" t="str">
        <f>IF('Limestone Plant (LP-2)'!$E$4&gt;4,"Moisture Content &gt; 1.5%?","")</f>
        <v/>
      </c>
      <c r="C87" s="55"/>
      <c r="D87" s="55"/>
      <c r="E87" s="166" t="str">
        <f t="shared" si="27"/>
        <v/>
      </c>
      <c r="F87" s="166" t="str">
        <f t="shared" si="28"/>
        <v/>
      </c>
      <c r="G87" s="98"/>
      <c r="H87" s="71"/>
      <c r="I87" s="184"/>
      <c r="J87" s="81">
        <f t="shared" si="25"/>
        <v>0</v>
      </c>
      <c r="K87" s="81">
        <f t="shared" si="26"/>
        <v>0</v>
      </c>
    </row>
    <row r="88" spans="2:11" ht="14.25" customHeight="1" x14ac:dyDescent="0.2">
      <c r="B88" s="55"/>
      <c r="C88" s="55"/>
      <c r="D88" s="55"/>
      <c r="E88" s="166" t="str">
        <f t="shared" si="27"/>
        <v/>
      </c>
      <c r="F88" s="166" t="str">
        <f t="shared" si="28"/>
        <v/>
      </c>
      <c r="G88" s="98"/>
      <c r="H88" s="71"/>
      <c r="I88" s="184"/>
      <c r="J88" s="81">
        <f t="shared" si="25"/>
        <v>0</v>
      </c>
      <c r="K88" s="81">
        <f t="shared" si="26"/>
        <v>0</v>
      </c>
    </row>
    <row r="89" spans="2:11" ht="14.25" customHeight="1" x14ac:dyDescent="0.2">
      <c r="B89" s="55"/>
      <c r="D89" s="55"/>
      <c r="E89" s="166" t="str">
        <f t="shared" si="27"/>
        <v/>
      </c>
      <c r="F89" s="166" t="str">
        <f t="shared" si="28"/>
        <v/>
      </c>
      <c r="G89" s="98"/>
      <c r="H89" s="71"/>
      <c r="I89" s="184"/>
      <c r="J89" s="81">
        <f t="shared" si="25"/>
        <v>0</v>
      </c>
      <c r="K89" s="81">
        <f t="shared" si="26"/>
        <v>0</v>
      </c>
    </row>
    <row r="90" spans="2:11" ht="14.25" customHeight="1" x14ac:dyDescent="0.2">
      <c r="B90" s="55"/>
      <c r="D90" s="55"/>
      <c r="E90" s="55"/>
      <c r="F90" s="55"/>
    </row>
    <row r="91" spans="2:11" ht="14.25" customHeight="1" x14ac:dyDescent="0.2">
      <c r="B91" s="55"/>
      <c r="E91" s="88" t="str">
        <f>IF('Limestone Plant (LP-2)'!$E$4&gt;4,"Stock Pile Area","")</f>
        <v/>
      </c>
      <c r="F91" s="88"/>
      <c r="G91" s="89"/>
    </row>
    <row r="92" spans="2:11" ht="14.25" customHeight="1" x14ac:dyDescent="0.2">
      <c r="B92" s="55"/>
      <c r="D92" s="90"/>
      <c r="F92" s="60" t="str">
        <f>IF('Limestone Plant (LP-2)'!$E$4&gt;4,"Emission Unit #","")</f>
        <v/>
      </c>
      <c r="G92" s="95" t="str">
        <f>IF('Limestone Plant (LP-2)'!$E$4&gt;4,"Maximum Storage Area (acres)","")</f>
        <v/>
      </c>
      <c r="H92" s="96" t="str">
        <f>IF('Limestone Plant (LP-2)'!$E$4&gt;4,"Actual Storage Area (acres)","")</f>
        <v/>
      </c>
      <c r="I92" s="95" t="str">
        <f>IF('Limestone Plant (LP-2)'!$E$4&gt;4,"Actual Days in Existence (days)","")</f>
        <v/>
      </c>
    </row>
    <row r="93" spans="2:11" ht="14.25" customHeight="1" x14ac:dyDescent="0.2">
      <c r="B93" s="55"/>
      <c r="F93" s="72"/>
      <c r="G93" s="126"/>
      <c r="H93" s="78"/>
      <c r="I93" s="126"/>
    </row>
    <row r="94" spans="2:11" ht="26.25" customHeight="1" x14ac:dyDescent="0.2"/>
    <row r="96" spans="2:11" ht="28.5" customHeight="1" x14ac:dyDescent="0.25">
      <c r="B96" s="92" t="str">
        <f>IF('Limestone Plant (LP-2)'!$E$4&gt;5,"CRUSHER PLANT","")</f>
        <v/>
      </c>
      <c r="C96" s="84" t="str">
        <f>IF('Limestone Plant (LP-2)'!$E$4&gt;5,"Site 6","")</f>
        <v/>
      </c>
      <c r="E96" s="213" t="str">
        <f>IF('Limestone Plant (LP-2)'!$E$4&gt;5,"Emission Point #","")</f>
        <v/>
      </c>
      <c r="F96" s="213" t="str">
        <f>IF('Limestone Plant (LP-2)'!$E$4&gt;5,"Emission     Unit #","")</f>
        <v/>
      </c>
      <c r="G96" s="213" t="str">
        <f>IF('Limestone Plant (LP-2)'!$E$4&gt;5,"Processes","")</f>
        <v/>
      </c>
      <c r="H96" s="220" t="str">
        <f>IF('Limestone Plant (LP-2)'!$E$4&gt;5,"Combined Maximum Hourly Design Rate for all Like Processes (tons/hr)","")</f>
        <v/>
      </c>
      <c r="I96" s="213" t="str">
        <f>IF('Limestone Plant (LP-2)'!$E$4&gt;5,('Facility Information'!G5&amp;" Annual Throughput (tons)"),"")</f>
        <v/>
      </c>
    </row>
    <row r="97" spans="2:11" ht="14.25" customHeight="1" x14ac:dyDescent="0.2">
      <c r="B97" s="94" t="str">
        <f>IF('Limestone Plant (LP-2)'!$E$4&gt;5,"Site Name:","")</f>
        <v/>
      </c>
      <c r="C97" s="76"/>
      <c r="D97" s="55"/>
      <c r="E97" s="166" t="str">
        <f>IF(G97="","","LP-2 EP-1")</f>
        <v/>
      </c>
      <c r="F97" s="166" t="str">
        <f>IF(G97="","",IF(G97="primary crusher","LP-2 EU-1",IF(G97="screening","LP-2 EU-2",IF(G97="secondary crusher","LP-2 EU-3",IF(G97="tertiary crusher","LP-2 EU-4",IF(G97="fines crushing","LP-2 EU-5",IF(G97="fines screening","LP-2 EU-6",IF(G97="wet drilling: unfragmented stone","LP-2 EU-7",IF(G97="conveyor transfer points","LP-2 EU-8")))))))))</f>
        <v/>
      </c>
      <c r="G97" s="98"/>
      <c r="H97" s="71"/>
      <c r="I97" s="184"/>
      <c r="J97" s="81">
        <f t="shared" ref="J97:J104" si="29">IF($C$101="no",I97,0)</f>
        <v>0</v>
      </c>
      <c r="K97" s="81">
        <f t="shared" ref="K97:K104" si="30">IF($C$101="yes",I97,0)</f>
        <v>0</v>
      </c>
    </row>
    <row r="98" spans="2:11" ht="14.25" customHeight="1" x14ac:dyDescent="0.2">
      <c r="B98" s="94" t="str">
        <f>IF('Limestone Plant (LP-2)'!$E$4&gt;5,"County:","")</f>
        <v/>
      </c>
      <c r="C98" s="76"/>
      <c r="D98" s="55"/>
      <c r="E98" s="166" t="str">
        <f t="shared" ref="E98:E104" si="31">IF(G98="","","LP-2 EP-1")</f>
        <v/>
      </c>
      <c r="F98" s="166" t="str">
        <f t="shared" ref="F98:F104" si="32">IF(G98="","",IF(G98="primary crusher","LP-2 EU-1",IF(G98="screening","LP-2 EU-2",IF(G98="secondary crusher","LP-2 EU-3",IF(G98="tertiary crusher","LP-2 EU-4",IF(G98="fines crushing","LP-2 EU-5",IF(G98="fines screening","LP-2 EU-6",IF(G98="wet drilling: unfragmented stone","LP-2 EU-7",IF(G98="conveyor transfer points","LP-2 EU-8")))))))))</f>
        <v/>
      </c>
      <c r="G98" s="98"/>
      <c r="H98" s="71"/>
      <c r="I98" s="184"/>
      <c r="J98" s="81">
        <f t="shared" si="29"/>
        <v>0</v>
      </c>
      <c r="K98" s="81">
        <f t="shared" si="30"/>
        <v>0</v>
      </c>
    </row>
    <row r="99" spans="2:11" ht="14.25" customHeight="1" x14ac:dyDescent="0.2">
      <c r="B99" s="94" t="str">
        <f>IF('Limestone Plant (LP-2)'!$E$4&gt;5,"Crushing Period (Dates):","")</f>
        <v/>
      </c>
      <c r="C99" s="73"/>
      <c r="D99" s="55"/>
      <c r="E99" s="166" t="str">
        <f t="shared" si="31"/>
        <v/>
      </c>
      <c r="F99" s="166" t="str">
        <f t="shared" si="32"/>
        <v/>
      </c>
      <c r="G99" s="98"/>
      <c r="H99" s="71"/>
      <c r="I99" s="184"/>
      <c r="J99" s="81">
        <f t="shared" si="29"/>
        <v>0</v>
      </c>
      <c r="K99" s="81">
        <f t="shared" si="30"/>
        <v>0</v>
      </c>
    </row>
    <row r="100" spans="2:11" ht="14.25" customHeight="1" x14ac:dyDescent="0.2">
      <c r="B100" s="281" t="str">
        <f>IF('Limestone Plant (LP-2)'!$E$4&gt;5,"Controlled with Dust Suppressant or","")</f>
        <v/>
      </c>
      <c r="D100" s="55"/>
      <c r="E100" s="166" t="str">
        <f t="shared" si="31"/>
        <v/>
      </c>
      <c r="F100" s="166" t="str">
        <f t="shared" si="32"/>
        <v/>
      </c>
      <c r="G100" s="98"/>
      <c r="H100" s="71"/>
      <c r="I100" s="184"/>
      <c r="J100" s="81">
        <f t="shared" si="29"/>
        <v>0</v>
      </c>
      <c r="K100" s="81">
        <f t="shared" si="30"/>
        <v>0</v>
      </c>
    </row>
    <row r="101" spans="2:11" ht="14.25" customHeight="1" x14ac:dyDescent="0.2">
      <c r="B101" s="282" t="str">
        <f>IF('Limestone Plant (LP-2)'!$E$4&gt;5,"Material Being Processed has","")</f>
        <v/>
      </c>
      <c r="C101" s="280"/>
      <c r="D101" s="55"/>
      <c r="E101" s="166" t="str">
        <f t="shared" si="31"/>
        <v/>
      </c>
      <c r="F101" s="166" t="str">
        <f t="shared" si="32"/>
        <v/>
      </c>
      <c r="G101" s="98"/>
      <c r="H101" s="71"/>
      <c r="I101" s="184"/>
      <c r="J101" s="81">
        <f t="shared" si="29"/>
        <v>0</v>
      </c>
      <c r="K101" s="81">
        <f t="shared" si="30"/>
        <v>0</v>
      </c>
    </row>
    <row r="102" spans="2:11" ht="14.25" customHeight="1" x14ac:dyDescent="0.2">
      <c r="B102" s="284" t="str">
        <f>IF('Limestone Plant (LP-2)'!$E$4&gt;5,"Moisture Content &gt; 1.5%?","")</f>
        <v/>
      </c>
      <c r="C102" s="55"/>
      <c r="D102" s="55"/>
      <c r="E102" s="166" t="str">
        <f t="shared" si="31"/>
        <v/>
      </c>
      <c r="F102" s="166" t="str">
        <f t="shared" si="32"/>
        <v/>
      </c>
      <c r="G102" s="98"/>
      <c r="H102" s="71"/>
      <c r="I102" s="184"/>
      <c r="J102" s="81">
        <f t="shared" si="29"/>
        <v>0</v>
      </c>
      <c r="K102" s="81">
        <f t="shared" si="30"/>
        <v>0</v>
      </c>
    </row>
    <row r="103" spans="2:11" ht="14.25" customHeight="1" x14ac:dyDescent="0.2">
      <c r="B103" s="55"/>
      <c r="C103" s="55"/>
      <c r="D103" s="55"/>
      <c r="E103" s="166" t="str">
        <f t="shared" si="31"/>
        <v/>
      </c>
      <c r="F103" s="166" t="str">
        <f t="shared" si="32"/>
        <v/>
      </c>
      <c r="G103" s="98"/>
      <c r="H103" s="71"/>
      <c r="I103" s="184"/>
      <c r="J103" s="81">
        <f t="shared" si="29"/>
        <v>0</v>
      </c>
      <c r="K103" s="81">
        <f t="shared" si="30"/>
        <v>0</v>
      </c>
    </row>
    <row r="104" spans="2:11" ht="14.25" customHeight="1" x14ac:dyDescent="0.2">
      <c r="B104" s="55"/>
      <c r="D104" s="55"/>
      <c r="E104" s="166" t="str">
        <f t="shared" si="31"/>
        <v/>
      </c>
      <c r="F104" s="166" t="str">
        <f t="shared" si="32"/>
        <v/>
      </c>
      <c r="G104" s="98"/>
      <c r="H104" s="71"/>
      <c r="I104" s="184"/>
      <c r="J104" s="81">
        <f t="shared" si="29"/>
        <v>0</v>
      </c>
      <c r="K104" s="81">
        <f t="shared" si="30"/>
        <v>0</v>
      </c>
    </row>
    <row r="105" spans="2:11" ht="14.25" customHeight="1" x14ac:dyDescent="0.2">
      <c r="B105" s="55"/>
      <c r="D105" s="55"/>
      <c r="E105" s="55"/>
      <c r="F105" s="55"/>
    </row>
    <row r="106" spans="2:11" ht="14.25" customHeight="1" x14ac:dyDescent="0.2">
      <c r="B106" s="55"/>
      <c r="E106" s="88" t="str">
        <f>IF('Limestone Plant (LP-2)'!$E$4&gt;5,"Stock Pile Area","")</f>
        <v/>
      </c>
      <c r="F106" s="88"/>
      <c r="G106" s="89"/>
    </row>
    <row r="107" spans="2:11" ht="14.25" customHeight="1" x14ac:dyDescent="0.2">
      <c r="B107" s="55"/>
      <c r="D107" s="90"/>
      <c r="F107" s="60" t="str">
        <f>IF('Limestone Plant (LP-2)'!$E$4&gt;5,"Emission Unit #","")</f>
        <v/>
      </c>
      <c r="G107" s="95" t="str">
        <f>IF('Limestone Plant (LP-2)'!$E$4&gt;5,"Maximum Storage Area (acres)","")</f>
        <v/>
      </c>
      <c r="H107" s="96" t="str">
        <f>IF('Limestone Plant (LP-2)'!$E$4&gt;5,"Actual Storage Area (acres)","")</f>
        <v/>
      </c>
      <c r="I107" s="95" t="str">
        <f>IF('Limestone Plant (LP-2)'!$E$4&gt;5,"Actual Days in Existence (days)","")</f>
        <v/>
      </c>
    </row>
    <row r="108" spans="2:11" ht="14.25" customHeight="1" x14ac:dyDescent="0.2">
      <c r="B108" s="55"/>
      <c r="F108" s="77"/>
      <c r="G108" s="126"/>
      <c r="H108" s="78"/>
      <c r="I108" s="126"/>
    </row>
    <row r="109" spans="2:11" ht="21" customHeight="1" x14ac:dyDescent="0.2"/>
    <row r="111" spans="2:11" ht="28.5" customHeight="1" x14ac:dyDescent="0.25">
      <c r="B111" s="92" t="str">
        <f>IF('Limestone Plant (LP-2)'!$E$4&gt;6,"CRUSHER PLANT","")</f>
        <v/>
      </c>
      <c r="C111" s="84" t="str">
        <f>IF('Limestone Plant (LP-2)'!$E$4&gt;6,"Site 7","")</f>
        <v/>
      </c>
      <c r="E111" s="213" t="str">
        <f>IF('Limestone Plant (LP-2)'!$E$4&gt;6,"Emission Point #","")</f>
        <v/>
      </c>
      <c r="F111" s="213" t="str">
        <f>IF('Limestone Plant (LP-2)'!$E$4&gt;6,"Emission    Unit #","")</f>
        <v/>
      </c>
      <c r="G111" s="213" t="str">
        <f>IF('Limestone Plant (LP-2)'!$E$4&gt;6,"Processes","")</f>
        <v/>
      </c>
      <c r="H111" s="220" t="str">
        <f>IF('Limestone Plant (LP-2)'!$E$4&gt;6,"Combined Maximum Hourly Design Rate for all Like Processes (tons/hr)","")</f>
        <v/>
      </c>
      <c r="I111" s="213" t="str">
        <f>IF('Limestone Plant (LP-2)'!$E$4&gt;6,('Facility Information'!G5&amp;" Annual Throughput (tons)"),"")</f>
        <v/>
      </c>
    </row>
    <row r="112" spans="2:11" ht="14.25" customHeight="1" x14ac:dyDescent="0.2">
      <c r="B112" s="94" t="str">
        <f>IF('Limestone Plant (LP-2)'!$E$4&gt;6,"Site Name:","")</f>
        <v/>
      </c>
      <c r="C112" s="76"/>
      <c r="D112" s="55"/>
      <c r="E112" s="166" t="str">
        <f>IF(G112="","","LP-2 EP-1")</f>
        <v/>
      </c>
      <c r="F112" s="166" t="str">
        <f>IF(G112="","",IF(G112="primary crusher","LP-2 EU-1",IF(G112="screening","LP-2 EU-2",IF(G112="secondary crusher","LP-2 EU-3",IF(G112="tertiary crusher","LP-2 EU-4",IF(G112="fines crushing","LP-2 EU-5",IF(G112="fines screening","LP-2 EU-6",IF(G112="wet drilling: unfragmented stone","LP-2 EU-7",IF(G112="conveyor transfer points","LP-2 EU-8")))))))))</f>
        <v/>
      </c>
      <c r="G112" s="98"/>
      <c r="H112" s="71"/>
      <c r="I112" s="184"/>
      <c r="J112" s="81">
        <f t="shared" ref="J112:J119" si="33">IF($C$116="no",I112,0)</f>
        <v>0</v>
      </c>
      <c r="K112" s="81">
        <f t="shared" ref="K112:K119" si="34">IF($C$116="yes",I112,0)</f>
        <v>0</v>
      </c>
    </row>
    <row r="113" spans="2:11" ht="14.25" customHeight="1" x14ac:dyDescent="0.2">
      <c r="B113" s="94" t="str">
        <f>IF('Limestone Plant (LP-2)'!$E$4&gt;6,"County:","")</f>
        <v/>
      </c>
      <c r="C113" s="76"/>
      <c r="D113" s="55"/>
      <c r="E113" s="166" t="str">
        <f t="shared" ref="E113:E119" si="35">IF(G113="","","LP-2 EP-1")</f>
        <v/>
      </c>
      <c r="F113" s="166" t="str">
        <f t="shared" ref="F113:F119" si="36">IF(G113="","",IF(G113="primary crusher","LP-2 EU-1",IF(G113="screening","LP-2 EU-2",IF(G113="secondary crusher","LP-2 EU-3",IF(G113="tertiary crusher","LP-2 EU-4",IF(G113="fines crushing","LP-2 EU-5",IF(G113="fines screening","LP-2 EU-6",IF(G113="wet drilling: unfragmented stone","LP-2 EU-7",IF(G113="conveyor transfer points","LP-2 EU-8")))))))))</f>
        <v/>
      </c>
      <c r="G113" s="98"/>
      <c r="H113" s="71"/>
      <c r="I113" s="184"/>
      <c r="J113" s="81">
        <f t="shared" si="33"/>
        <v>0</v>
      </c>
      <c r="K113" s="81">
        <f t="shared" si="34"/>
        <v>0</v>
      </c>
    </row>
    <row r="114" spans="2:11" ht="14.25" customHeight="1" x14ac:dyDescent="0.2">
      <c r="B114" s="94" t="str">
        <f>IF('Limestone Plant (LP-2)'!$E$4&gt;6,"Crushing Period (Dates):","")</f>
        <v/>
      </c>
      <c r="C114" s="73"/>
      <c r="D114" s="55"/>
      <c r="E114" s="166" t="str">
        <f t="shared" si="35"/>
        <v/>
      </c>
      <c r="F114" s="166" t="str">
        <f t="shared" si="36"/>
        <v/>
      </c>
      <c r="G114" s="98"/>
      <c r="H114" s="71"/>
      <c r="I114" s="184"/>
      <c r="J114" s="81">
        <f t="shared" si="33"/>
        <v>0</v>
      </c>
      <c r="K114" s="81">
        <f t="shared" si="34"/>
        <v>0</v>
      </c>
    </row>
    <row r="115" spans="2:11" ht="14.25" customHeight="1" x14ac:dyDescent="0.2">
      <c r="B115" s="281" t="str">
        <f>IF('Limestone Plant (LP-2)'!$E$4&gt;6,"Controlled with Dust Suppressant or","" )</f>
        <v/>
      </c>
      <c r="D115" s="55"/>
      <c r="E115" s="166" t="str">
        <f t="shared" si="35"/>
        <v/>
      </c>
      <c r="F115" s="166" t="str">
        <f t="shared" si="36"/>
        <v/>
      </c>
      <c r="G115" s="98"/>
      <c r="H115" s="71"/>
      <c r="I115" s="184"/>
      <c r="J115" s="81">
        <f t="shared" si="33"/>
        <v>0</v>
      </c>
      <c r="K115" s="81">
        <f t="shared" si="34"/>
        <v>0</v>
      </c>
    </row>
    <row r="116" spans="2:11" ht="14.25" customHeight="1" x14ac:dyDescent="0.2">
      <c r="B116" s="282" t="str">
        <f>IF('Limestone Plant (LP-2)'!$E$4&gt;6,"Material Being Processed has","")</f>
        <v/>
      </c>
      <c r="C116" s="280"/>
      <c r="D116" s="55"/>
      <c r="E116" s="166" t="str">
        <f t="shared" si="35"/>
        <v/>
      </c>
      <c r="F116" s="166" t="str">
        <f t="shared" si="36"/>
        <v/>
      </c>
      <c r="G116" s="98"/>
      <c r="H116" s="71"/>
      <c r="I116" s="184"/>
      <c r="J116" s="81">
        <f t="shared" si="33"/>
        <v>0</v>
      </c>
      <c r="K116" s="81">
        <f t="shared" si="34"/>
        <v>0</v>
      </c>
    </row>
    <row r="117" spans="2:11" ht="14.25" customHeight="1" x14ac:dyDescent="0.2">
      <c r="B117" s="284" t="str">
        <f>IF('Limestone Plant (LP-2)'!$E$4&gt;6,"Moisture Content &gt; 1.5%?","")</f>
        <v/>
      </c>
      <c r="C117" s="55"/>
      <c r="D117" s="55"/>
      <c r="E117" s="166" t="str">
        <f t="shared" si="35"/>
        <v/>
      </c>
      <c r="F117" s="166" t="str">
        <f t="shared" si="36"/>
        <v/>
      </c>
      <c r="G117" s="98"/>
      <c r="H117" s="71"/>
      <c r="I117" s="184"/>
      <c r="J117" s="81">
        <f t="shared" si="33"/>
        <v>0</v>
      </c>
      <c r="K117" s="81">
        <f t="shared" si="34"/>
        <v>0</v>
      </c>
    </row>
    <row r="118" spans="2:11" ht="14.25" customHeight="1" x14ac:dyDescent="0.2">
      <c r="B118" s="55"/>
      <c r="C118" s="55"/>
      <c r="D118" s="55"/>
      <c r="E118" s="166" t="str">
        <f t="shared" si="35"/>
        <v/>
      </c>
      <c r="F118" s="166" t="str">
        <f t="shared" si="36"/>
        <v/>
      </c>
      <c r="G118" s="98"/>
      <c r="H118" s="71"/>
      <c r="I118" s="184"/>
      <c r="J118" s="81">
        <f t="shared" si="33"/>
        <v>0</v>
      </c>
      <c r="K118" s="81">
        <f t="shared" si="34"/>
        <v>0</v>
      </c>
    </row>
    <row r="119" spans="2:11" ht="14.25" customHeight="1" x14ac:dyDescent="0.2">
      <c r="B119" s="55"/>
      <c r="D119" s="55"/>
      <c r="E119" s="166" t="str">
        <f t="shared" si="35"/>
        <v/>
      </c>
      <c r="F119" s="166" t="str">
        <f t="shared" si="36"/>
        <v/>
      </c>
      <c r="G119" s="98"/>
      <c r="H119" s="71"/>
      <c r="I119" s="184"/>
      <c r="J119" s="81">
        <f t="shared" si="33"/>
        <v>0</v>
      </c>
      <c r="K119" s="81">
        <f t="shared" si="34"/>
        <v>0</v>
      </c>
    </row>
    <row r="120" spans="2:11" ht="14.25" customHeight="1" x14ac:dyDescent="0.2">
      <c r="B120" s="55"/>
      <c r="D120" s="55"/>
      <c r="E120" s="55"/>
      <c r="F120" s="55"/>
    </row>
    <row r="121" spans="2:11" ht="14.25" customHeight="1" x14ac:dyDescent="0.2">
      <c r="B121" s="55"/>
      <c r="E121" s="88" t="str">
        <f>IF('Limestone Plant (LP-2)'!$E$4&gt;6,"Stock Pile Area","")</f>
        <v/>
      </c>
      <c r="F121" s="88"/>
      <c r="G121" s="89"/>
    </row>
    <row r="122" spans="2:11" ht="14.25" customHeight="1" x14ac:dyDescent="0.2">
      <c r="B122" s="55"/>
      <c r="D122" s="90"/>
      <c r="F122" s="60" t="str">
        <f>IF('Limestone Plant (LP-2)'!$E$4&gt;6,"Emission Unit #","")</f>
        <v/>
      </c>
      <c r="G122" s="95" t="str">
        <f>IF('Limestone Plant (LP-2)'!$E$4&gt;6,"Maximum Storage Area (acres)","")</f>
        <v/>
      </c>
      <c r="H122" s="96" t="str">
        <f>IF('Limestone Plant (LP-2)'!$E$4&gt;6,"Actual Storage Area (acres)","")</f>
        <v/>
      </c>
      <c r="I122" s="95" t="str">
        <f>IF('Limestone Plant (LP-2)'!$E$4&gt;6,"Actual Days in Existence (days)","")</f>
        <v/>
      </c>
    </row>
    <row r="123" spans="2:11" ht="14.25" customHeight="1" x14ac:dyDescent="0.2">
      <c r="B123" s="55"/>
      <c r="F123" s="77"/>
      <c r="G123" s="126"/>
      <c r="H123" s="78"/>
      <c r="I123" s="126"/>
    </row>
    <row r="124" spans="2:11" ht="27" customHeight="1" x14ac:dyDescent="0.2"/>
    <row r="126" spans="2:11" ht="27.75" customHeight="1" x14ac:dyDescent="0.25">
      <c r="B126" s="92" t="str">
        <f>IF('Limestone Plant (LP-2)'!$E$4&gt;7,"CRUSHER PLANT","")</f>
        <v/>
      </c>
      <c r="C126" s="84" t="str">
        <f>IF('Limestone Plant (LP-2)'!$E$4&gt;7,"Site 8","")</f>
        <v/>
      </c>
      <c r="E126" s="213" t="str">
        <f>IF('Limestone Plant (LP-2)'!$E$4&gt;7,"Emission Point #","")</f>
        <v/>
      </c>
      <c r="F126" s="213" t="str">
        <f>IF('Limestone Plant (LP-2)'!$E$4&gt;7,"Emission     Unit #","")</f>
        <v/>
      </c>
      <c r="G126" s="213" t="str">
        <f>IF('Limestone Plant (LP-2)'!$E$4&gt;7,"Processes","")</f>
        <v/>
      </c>
      <c r="H126" s="220" t="str">
        <f>IF('Limestone Plant (LP-2)'!$E$4&gt;7,"Combined Maximum Hourly Design Rate for all Like Processes (tons/hr)","")</f>
        <v/>
      </c>
      <c r="I126" s="213" t="str">
        <f>IF('Limestone Plant (LP-2)'!$E$4&gt;7,('Facility Information'!G5&amp;" Annual Throughput (tons)"),"")</f>
        <v/>
      </c>
    </row>
    <row r="127" spans="2:11" ht="14.25" customHeight="1" x14ac:dyDescent="0.2">
      <c r="B127" s="94" t="str">
        <f>IF('Limestone Plant (LP-2)'!$E$4&gt;7,"Site Name:","")</f>
        <v/>
      </c>
      <c r="C127" s="76"/>
      <c r="D127" s="55"/>
      <c r="E127" s="166" t="str">
        <f>IF(G127="","","LP-2 EP-1")</f>
        <v/>
      </c>
      <c r="F127" s="166" t="str">
        <f>IF(G127="","",IF(G127="primary crusher","LP-2 EU-1",IF(G127="screening","LP-2 EU-2",IF(G127="secondary crusher","LP-2 EU-3",IF(G127="tertiary crusher","LP-2 EU-4",IF(G127="fines crushing","LP-2 EU-5",IF(G127="fines screening","LP-2 EU-6",IF(G127="wet drilling: unfragmented stone","LP-2 EU-7",IF(G127="conveyor transfer points","LP-2 EU-8")))))))))</f>
        <v/>
      </c>
      <c r="G127" s="98"/>
      <c r="H127" s="71"/>
      <c r="I127" s="184"/>
      <c r="J127" s="81">
        <f t="shared" ref="J127:J134" si="37">IF($C$131="no",I127,0)</f>
        <v>0</v>
      </c>
      <c r="K127" s="81">
        <f t="shared" ref="K127:K134" si="38">IF($C$131="yes",I127,0)</f>
        <v>0</v>
      </c>
    </row>
    <row r="128" spans="2:11" ht="14.25" customHeight="1" x14ac:dyDescent="0.2">
      <c r="B128" s="94" t="str">
        <f>IF('Limestone Plant (LP-2)'!$E$4&gt;7,"County:","")</f>
        <v/>
      </c>
      <c r="C128" s="76"/>
      <c r="D128" s="55"/>
      <c r="E128" s="166" t="str">
        <f t="shared" ref="E128:E134" si="39">IF(G128="","","LP-2 EP-1")</f>
        <v/>
      </c>
      <c r="F128" s="166" t="str">
        <f t="shared" ref="F128:F134" si="40">IF(G128="","",IF(G128="primary crusher","LP-2 EU-1",IF(G128="screening","LP-2 EU-2",IF(G128="secondary crusher","LP-2 EU-3",IF(G128="tertiary crusher","LP-2 EU-4",IF(G128="fines crushing","LP-2 EU-5",IF(G128="fines screening","LP-2 EU-6",IF(G128="wet drilling: unfragmented stone","LP-2 EU-7",IF(G128="conveyor transfer points","LP-2 EU-8")))))))))</f>
        <v/>
      </c>
      <c r="G128" s="98"/>
      <c r="H128" s="71"/>
      <c r="I128" s="184"/>
      <c r="J128" s="81">
        <f t="shared" si="37"/>
        <v>0</v>
      </c>
      <c r="K128" s="81">
        <f t="shared" si="38"/>
        <v>0</v>
      </c>
    </row>
    <row r="129" spans="2:11" ht="14.25" customHeight="1" x14ac:dyDescent="0.2">
      <c r="B129" s="94" t="str">
        <f>IF('Limestone Plant (LP-2)'!$E$4&gt;7,"Crushing Period (Dates):","")</f>
        <v/>
      </c>
      <c r="C129" s="73"/>
      <c r="D129" s="55"/>
      <c r="E129" s="166" t="str">
        <f t="shared" si="39"/>
        <v/>
      </c>
      <c r="F129" s="166" t="str">
        <f t="shared" si="40"/>
        <v/>
      </c>
      <c r="G129" s="98"/>
      <c r="H129" s="71"/>
      <c r="I129" s="184"/>
      <c r="J129" s="81">
        <f t="shared" si="37"/>
        <v>0</v>
      </c>
      <c r="K129" s="81">
        <f t="shared" si="38"/>
        <v>0</v>
      </c>
    </row>
    <row r="130" spans="2:11" ht="14.25" customHeight="1" x14ac:dyDescent="0.2">
      <c r="B130" s="281" t="str">
        <f>IF('Limestone Plant (LP-2)'!$E$4&gt;7,"Controlled with Dust Suppressant or","")</f>
        <v/>
      </c>
      <c r="D130" s="55"/>
      <c r="E130" s="166" t="str">
        <f t="shared" si="39"/>
        <v/>
      </c>
      <c r="F130" s="166" t="str">
        <f t="shared" si="40"/>
        <v/>
      </c>
      <c r="G130" s="98"/>
      <c r="H130" s="71"/>
      <c r="I130" s="184"/>
      <c r="J130" s="81">
        <f t="shared" si="37"/>
        <v>0</v>
      </c>
      <c r="K130" s="81">
        <f t="shared" si="38"/>
        <v>0</v>
      </c>
    </row>
    <row r="131" spans="2:11" ht="14.25" customHeight="1" x14ac:dyDescent="0.2">
      <c r="B131" s="282" t="str">
        <f>IF('Limestone Plant (LP-2)'!$E$4&gt;7,"Material Being Processed has","")</f>
        <v/>
      </c>
      <c r="C131" s="280"/>
      <c r="D131" s="55"/>
      <c r="E131" s="166" t="str">
        <f t="shared" si="39"/>
        <v/>
      </c>
      <c r="F131" s="166" t="str">
        <f t="shared" si="40"/>
        <v/>
      </c>
      <c r="G131" s="98"/>
      <c r="H131" s="71"/>
      <c r="I131" s="184"/>
      <c r="J131" s="81">
        <f t="shared" si="37"/>
        <v>0</v>
      </c>
      <c r="K131" s="81">
        <f t="shared" si="38"/>
        <v>0</v>
      </c>
    </row>
    <row r="132" spans="2:11" ht="14.25" customHeight="1" x14ac:dyDescent="0.2">
      <c r="B132" s="284" t="str">
        <f>IF('Limestone Plant (LP-2)'!$E$4&gt;7,"Moisture Content &gt; 1.5%?","")</f>
        <v/>
      </c>
      <c r="C132" s="55"/>
      <c r="D132" s="55"/>
      <c r="E132" s="166" t="str">
        <f t="shared" si="39"/>
        <v/>
      </c>
      <c r="F132" s="166" t="str">
        <f t="shared" si="40"/>
        <v/>
      </c>
      <c r="G132" s="98"/>
      <c r="H132" s="71"/>
      <c r="I132" s="184"/>
      <c r="J132" s="81">
        <f t="shared" si="37"/>
        <v>0</v>
      </c>
      <c r="K132" s="81">
        <f t="shared" si="38"/>
        <v>0</v>
      </c>
    </row>
    <row r="133" spans="2:11" ht="14.25" customHeight="1" x14ac:dyDescent="0.2">
      <c r="B133" s="55"/>
      <c r="C133" s="55"/>
      <c r="D133" s="55"/>
      <c r="E133" s="166" t="str">
        <f t="shared" si="39"/>
        <v/>
      </c>
      <c r="F133" s="166" t="str">
        <f t="shared" si="40"/>
        <v/>
      </c>
      <c r="G133" s="98"/>
      <c r="H133" s="71"/>
      <c r="I133" s="184"/>
      <c r="J133" s="81">
        <f t="shared" si="37"/>
        <v>0</v>
      </c>
      <c r="K133" s="81">
        <f t="shared" si="38"/>
        <v>0</v>
      </c>
    </row>
    <row r="134" spans="2:11" ht="14.25" customHeight="1" x14ac:dyDescent="0.2">
      <c r="B134" s="55"/>
      <c r="D134" s="55"/>
      <c r="E134" s="166" t="str">
        <f t="shared" si="39"/>
        <v/>
      </c>
      <c r="F134" s="166" t="str">
        <f t="shared" si="40"/>
        <v/>
      </c>
      <c r="G134" s="98"/>
      <c r="H134" s="71"/>
      <c r="I134" s="184"/>
      <c r="J134" s="81">
        <f t="shared" si="37"/>
        <v>0</v>
      </c>
      <c r="K134" s="81">
        <f t="shared" si="38"/>
        <v>0</v>
      </c>
    </row>
    <row r="135" spans="2:11" ht="14.25" customHeight="1" x14ac:dyDescent="0.2">
      <c r="B135" s="55"/>
      <c r="D135" s="55"/>
      <c r="E135" s="55"/>
      <c r="F135" s="55"/>
    </row>
    <row r="136" spans="2:11" ht="14.25" customHeight="1" x14ac:dyDescent="0.2">
      <c r="B136" s="55"/>
      <c r="E136" s="88" t="str">
        <f>IF('Limestone Plant (LP-2)'!$E$4&gt;7,"Stock Pile Area","")</f>
        <v/>
      </c>
      <c r="F136" s="88"/>
      <c r="G136" s="89"/>
    </row>
    <row r="137" spans="2:11" ht="14.25" customHeight="1" x14ac:dyDescent="0.2">
      <c r="B137" s="55"/>
      <c r="D137" s="90"/>
      <c r="F137" s="60" t="str">
        <f>IF('Limestone Plant (LP-2)'!$E$4&gt;7,"Emission Unit #","")</f>
        <v/>
      </c>
      <c r="G137" s="95" t="str">
        <f>IF('Limestone Plant (LP-2)'!$E$4&gt;7,"Maximum Storage Area (acres)","")</f>
        <v/>
      </c>
      <c r="H137" s="96" t="str">
        <f>IF('Limestone Plant (LP-2)'!$E$4&gt;7,"Actual Storage Area (acres)","")</f>
        <v/>
      </c>
      <c r="I137" s="95" t="str">
        <f>IF('Limestone Plant (LP-2)'!$E$4&gt;7,"Actual Days in Existence (days)","")</f>
        <v/>
      </c>
    </row>
    <row r="138" spans="2:11" ht="14.25" customHeight="1" x14ac:dyDescent="0.2">
      <c r="B138" s="55"/>
      <c r="F138" s="77"/>
      <c r="G138" s="126"/>
      <c r="H138" s="78"/>
      <c r="I138" s="126"/>
    </row>
    <row r="139" spans="2:11" ht="26.25" customHeight="1" x14ac:dyDescent="0.2"/>
    <row r="141" spans="2:11" ht="28.5" customHeight="1" x14ac:dyDescent="0.25">
      <c r="B141" s="92" t="str">
        <f>IF('Limestone Plant (LP-2)'!$E$4&gt;8,"CRUSHER PLANT","")</f>
        <v/>
      </c>
      <c r="C141" s="84" t="str">
        <f>IF('Limestone Plant (LP-2)'!$E$4&gt;8,"Site 9","")</f>
        <v/>
      </c>
      <c r="E141" s="213" t="str">
        <f>IF('Limestone Plant (LP-2)'!$E$4&gt;8,"Emission Point #","")</f>
        <v/>
      </c>
      <c r="F141" s="213" t="str">
        <f>IF('Limestone Plant (LP-2)'!$E$4&gt;8,"Emission     Unit #","")</f>
        <v/>
      </c>
      <c r="G141" s="213" t="str">
        <f>IF('Limestone Plant (LP-2)'!$E$4&gt;8,"Processes","")</f>
        <v/>
      </c>
      <c r="H141" s="220" t="str">
        <f>IF('Limestone Plant (LP-2)'!$E$4&gt;8,"Combined Maximum Hourly Design Rate for all Like Processes (tons/hr)","")</f>
        <v/>
      </c>
      <c r="I141" s="213" t="str">
        <f>IF('Limestone Plant (LP-2)'!$E$4&gt;8,('Facility Information'!G5&amp;" Annual Throughput (tons)"),"")</f>
        <v/>
      </c>
    </row>
    <row r="142" spans="2:11" ht="14.25" customHeight="1" x14ac:dyDescent="0.2">
      <c r="B142" s="94" t="str">
        <f>IF('Limestone Plant (LP-2)'!$E$4&gt;8,"Site Name:","")</f>
        <v/>
      </c>
      <c r="C142" s="76"/>
      <c r="D142" s="55"/>
      <c r="E142" s="166" t="str">
        <f>IF(G142="","","LP-2 EP-1")</f>
        <v/>
      </c>
      <c r="F142" s="166" t="str">
        <f>IF(G142="","",IF(G142="primary crusher","LP-2 EU-1",IF(G142="screening","LP-2 EU-2",IF(G142="secondary crusher","LP-2 EU-3",IF(G142="tertiary crusher","LP-2 EU-4",IF(G142="fines crushing","LP-2 EU-5",IF(G142="fines screening","LP-2 EU-6",IF(G142="wet drilling: unfragmented stone","LP-2 EU-7",IF(G142="conveyor transfer points","LP-2 EU-8")))))))))</f>
        <v/>
      </c>
      <c r="G142" s="98"/>
      <c r="H142" s="71"/>
      <c r="I142" s="184"/>
      <c r="J142" s="81">
        <f t="shared" ref="J142:J149" si="41">IF($C$146="no",I142,0)</f>
        <v>0</v>
      </c>
      <c r="K142" s="81">
        <f t="shared" ref="K142:K149" si="42">IF($C$146="yes",I142,0)</f>
        <v>0</v>
      </c>
    </row>
    <row r="143" spans="2:11" ht="14.25" customHeight="1" x14ac:dyDescent="0.2">
      <c r="B143" s="94" t="str">
        <f>IF('Limestone Plant (LP-2)'!$E$4&gt;8,"County:","")</f>
        <v/>
      </c>
      <c r="C143" s="76"/>
      <c r="D143" s="55"/>
      <c r="E143" s="166" t="str">
        <f t="shared" ref="E143:E149" si="43">IF(G143="","","LP-2 EP-1")</f>
        <v/>
      </c>
      <c r="F143" s="166" t="str">
        <f t="shared" ref="F143:F149" si="44">IF(G143="","",IF(G143="primary crusher","LP-2 EU-1",IF(G143="screening","LP-2 EU-2",IF(G143="secondary crusher","LP-2 EU-3",IF(G143="tertiary crusher","LP-2 EU-4",IF(G143="fines crushing","LP-2 EU-5",IF(G143="fines screening","LP-2 EU-6",IF(G143="wet drilling: unfragmented stone","LP-2 EU-7",IF(G143="conveyor transfer points","LP-2 EU-8")))))))))</f>
        <v/>
      </c>
      <c r="G143" s="98"/>
      <c r="H143" s="71"/>
      <c r="I143" s="184"/>
      <c r="J143" s="81">
        <f t="shared" si="41"/>
        <v>0</v>
      </c>
      <c r="K143" s="81">
        <f t="shared" si="42"/>
        <v>0</v>
      </c>
    </row>
    <row r="144" spans="2:11" ht="14.25" customHeight="1" x14ac:dyDescent="0.2">
      <c r="B144" s="94" t="str">
        <f>IF('Limestone Plant (LP-2)'!$E$4&gt;8,"Crushing Period (Dates):","")</f>
        <v/>
      </c>
      <c r="C144" s="73"/>
      <c r="D144" s="55"/>
      <c r="E144" s="166" t="str">
        <f t="shared" si="43"/>
        <v/>
      </c>
      <c r="F144" s="166" t="str">
        <f t="shared" si="44"/>
        <v/>
      </c>
      <c r="G144" s="98"/>
      <c r="H144" s="71"/>
      <c r="I144" s="184"/>
      <c r="J144" s="81">
        <f t="shared" si="41"/>
        <v>0</v>
      </c>
      <c r="K144" s="81">
        <f t="shared" si="42"/>
        <v>0</v>
      </c>
    </row>
    <row r="145" spans="2:11" ht="14.25" customHeight="1" x14ac:dyDescent="0.2">
      <c r="B145" s="281" t="str">
        <f>IF('Limestone Plant (LP-2)'!$E$4&gt;8,"Controlled with Dust Suppressant or","" )</f>
        <v/>
      </c>
      <c r="D145" s="55"/>
      <c r="E145" s="166" t="str">
        <f t="shared" si="43"/>
        <v/>
      </c>
      <c r="F145" s="166" t="str">
        <f t="shared" si="44"/>
        <v/>
      </c>
      <c r="G145" s="98"/>
      <c r="H145" s="71"/>
      <c r="I145" s="184"/>
      <c r="J145" s="81">
        <f t="shared" si="41"/>
        <v>0</v>
      </c>
      <c r="K145" s="81">
        <f t="shared" si="42"/>
        <v>0</v>
      </c>
    </row>
    <row r="146" spans="2:11" ht="14.25" customHeight="1" x14ac:dyDescent="0.2">
      <c r="B146" s="282" t="str">
        <f>IF('Limestone Plant (LP-2)'!$E$4&gt;8,"Material Being Processed has","")</f>
        <v/>
      </c>
      <c r="C146" s="280"/>
      <c r="D146" s="55"/>
      <c r="E146" s="166" t="str">
        <f t="shared" si="43"/>
        <v/>
      </c>
      <c r="F146" s="166" t="str">
        <f t="shared" si="44"/>
        <v/>
      </c>
      <c r="G146" s="98"/>
      <c r="H146" s="71"/>
      <c r="I146" s="184"/>
      <c r="J146" s="81">
        <f t="shared" si="41"/>
        <v>0</v>
      </c>
      <c r="K146" s="81">
        <f t="shared" si="42"/>
        <v>0</v>
      </c>
    </row>
    <row r="147" spans="2:11" ht="14.25" customHeight="1" x14ac:dyDescent="0.2">
      <c r="B147" s="284" t="str">
        <f>IF('Limestone Plant (LP-2)'!$E$4&gt;8,"Moisture Content &gt; 1.5%?","")</f>
        <v/>
      </c>
      <c r="C147" s="55"/>
      <c r="D147" s="55"/>
      <c r="E147" s="166" t="str">
        <f t="shared" si="43"/>
        <v/>
      </c>
      <c r="F147" s="166" t="str">
        <f t="shared" si="44"/>
        <v/>
      </c>
      <c r="G147" s="98"/>
      <c r="H147" s="71"/>
      <c r="I147" s="184"/>
      <c r="J147" s="81">
        <f t="shared" si="41"/>
        <v>0</v>
      </c>
      <c r="K147" s="81">
        <f t="shared" si="42"/>
        <v>0</v>
      </c>
    </row>
    <row r="148" spans="2:11" ht="14.25" customHeight="1" x14ac:dyDescent="0.2">
      <c r="B148" s="55"/>
      <c r="C148" s="55"/>
      <c r="D148" s="55"/>
      <c r="E148" s="166" t="str">
        <f t="shared" si="43"/>
        <v/>
      </c>
      <c r="F148" s="166" t="str">
        <f t="shared" si="44"/>
        <v/>
      </c>
      <c r="G148" s="98"/>
      <c r="H148" s="71"/>
      <c r="I148" s="184"/>
      <c r="J148" s="81">
        <f t="shared" si="41"/>
        <v>0</v>
      </c>
      <c r="K148" s="81">
        <f t="shared" si="42"/>
        <v>0</v>
      </c>
    </row>
    <row r="149" spans="2:11" ht="14.25" customHeight="1" x14ac:dyDescent="0.2">
      <c r="B149" s="55"/>
      <c r="D149" s="55"/>
      <c r="E149" s="166" t="str">
        <f t="shared" si="43"/>
        <v/>
      </c>
      <c r="F149" s="166" t="str">
        <f t="shared" si="44"/>
        <v/>
      </c>
      <c r="G149" s="98"/>
      <c r="H149" s="71"/>
      <c r="I149" s="184"/>
      <c r="J149" s="81">
        <f t="shared" si="41"/>
        <v>0</v>
      </c>
      <c r="K149" s="81">
        <f t="shared" si="42"/>
        <v>0</v>
      </c>
    </row>
    <row r="150" spans="2:11" ht="14.25" customHeight="1" x14ac:dyDescent="0.2">
      <c r="B150" s="55"/>
      <c r="D150" s="55"/>
      <c r="E150" s="55"/>
      <c r="F150" s="55"/>
    </row>
    <row r="151" spans="2:11" ht="14.25" customHeight="1" x14ac:dyDescent="0.2">
      <c r="B151" s="55"/>
      <c r="E151" s="88" t="str">
        <f>IF('Limestone Plant (LP-2)'!$E$4&gt;8,"Stock Pile Area","")</f>
        <v/>
      </c>
      <c r="F151" s="88"/>
      <c r="G151" s="89"/>
    </row>
    <row r="152" spans="2:11" ht="14.25" customHeight="1" x14ac:dyDescent="0.2">
      <c r="B152" s="55"/>
      <c r="D152" s="90"/>
      <c r="F152" s="60" t="str">
        <f>IF('Limestone Plant (LP-2)'!$E$4&gt;8,"Emission Unit #","")</f>
        <v/>
      </c>
      <c r="G152" s="95" t="str">
        <f>IF('Limestone Plant (LP-2)'!$E$4&gt;8,"Maximum Storage Area (acres)","")</f>
        <v/>
      </c>
      <c r="H152" s="96" t="str">
        <f>IF('Limestone Plant (LP-2)'!$E$4&gt;8,"Actual Storage Area (acres)","")</f>
        <v/>
      </c>
      <c r="I152" s="95" t="str">
        <f>IF('Limestone Plant (LP-2)'!$E$4&gt;8,"Actual Days in Existence (days)","")</f>
        <v/>
      </c>
    </row>
    <row r="153" spans="2:11" ht="14.25" customHeight="1" x14ac:dyDescent="0.2">
      <c r="B153" s="55"/>
      <c r="F153" s="77"/>
      <c r="G153" s="126"/>
      <c r="H153" s="78"/>
      <c r="I153" s="126"/>
    </row>
    <row r="156" spans="2:11" ht="28.5" customHeight="1" x14ac:dyDescent="0.25">
      <c r="B156" s="92" t="str">
        <f>IF('Limestone Plant (LP-2)'!$E$4&gt;9,"CRUSHER PLANT","")</f>
        <v/>
      </c>
      <c r="C156" s="84" t="str">
        <f>IF('Limestone Plant (LP-2)'!$E$4&gt;9,"Site 10","")</f>
        <v/>
      </c>
      <c r="E156" s="213" t="str">
        <f>IF('Limestone Plant (LP-2)'!$E$4&gt;9,"Emission Point #","")</f>
        <v/>
      </c>
      <c r="F156" s="213" t="str">
        <f>IF('Limestone Plant (LP-2)'!$E$4&gt;9,"Emission     Unit #","")</f>
        <v/>
      </c>
      <c r="G156" s="213" t="str">
        <f>IF('Limestone Plant (LP-2)'!$E$4&gt;9,"Processes","")</f>
        <v/>
      </c>
      <c r="H156" s="220" t="str">
        <f>IF('Limestone Plant (LP-2)'!$E$4&gt;9,"Combined Maximum Hourly Design Rate for all Like Processes (tons/hr)","")</f>
        <v/>
      </c>
      <c r="I156" s="213" t="str">
        <f>IF('Limestone Plant (LP-2)'!$E$4&gt;9,('Facility Information'!G5&amp;" Annual Throughput (tons)"),"")</f>
        <v/>
      </c>
    </row>
    <row r="157" spans="2:11" ht="14.25" customHeight="1" x14ac:dyDescent="0.2">
      <c r="B157" s="94" t="str">
        <f>IF('Limestone Plant (LP-2)'!$E$4&gt;9,"Site Name:","")</f>
        <v/>
      </c>
      <c r="C157" s="76"/>
      <c r="D157" s="55"/>
      <c r="E157" s="166" t="str">
        <f>IF(G157="","","LP-2 EP-1")</f>
        <v/>
      </c>
      <c r="F157" s="166" t="str">
        <f>IF(G157="","",IF(G157="primary crusher","LP-2 EU-1",IF(G157="screening","LP-2 EU-2",IF(G157="secondary crusher","LP-2 EU-3",IF(G157="tertiary crusher","LP-2 EU-4",IF(G157="fines crushing","LP-2 EU-5",IF(G157="fines screening","LP-2 EU-6",IF(G157="wet drilling: unfragmented stone","LP-2 EU-7",IF(G157="conveyor transfer points","LP-2 EU-8")))))))))</f>
        <v/>
      </c>
      <c r="G157" s="98"/>
      <c r="H157" s="71"/>
      <c r="I157" s="184"/>
      <c r="J157" s="81">
        <f>IF($C161="no",I157,0)</f>
        <v>0</v>
      </c>
      <c r="K157" s="81">
        <f>IF($C161="yes",I157,0)</f>
        <v>0</v>
      </c>
    </row>
    <row r="158" spans="2:11" ht="14.25" customHeight="1" x14ac:dyDescent="0.2">
      <c r="B158" s="94" t="str">
        <f>IF('Limestone Plant (LP-2)'!$E$4&gt;9,"County:","")</f>
        <v/>
      </c>
      <c r="C158" s="76"/>
      <c r="D158" s="55"/>
      <c r="E158" s="166" t="str">
        <f t="shared" ref="E158:E164" si="45">IF(G158="","","LP-2 EP-1")</f>
        <v/>
      </c>
      <c r="F158" s="166" t="str">
        <f t="shared" ref="F158:F164" si="46">IF(G158="","",IF(G158="primary crusher","LP-2 EU-1",IF(G158="screening","LP-2 EU-2",IF(G158="secondary crusher","LP-2 EU-3",IF(G158="tertiary crusher","LP-2 EU-4",IF(G158="fines crushing","LP-2 EU-5",IF(G158="fines screening","LP-2 EU-6",IF(G158="wet drilling: unfragmented stone","LP-2 EU-7",IF(G158="conveyor transfer points","LP-2 EU-8")))))))))</f>
        <v/>
      </c>
      <c r="G158" s="98"/>
      <c r="H158" s="71"/>
      <c r="I158" s="184"/>
      <c r="J158" s="81">
        <f t="shared" ref="J158:K164" si="47">IF($C162="no",I158,0)</f>
        <v>0</v>
      </c>
      <c r="K158" s="81">
        <f t="shared" ref="K158:K164" si="48">IF($C162="yes",I158,0)</f>
        <v>0</v>
      </c>
    </row>
    <row r="159" spans="2:11" ht="14.25" customHeight="1" x14ac:dyDescent="0.2">
      <c r="B159" s="94" t="str">
        <f>IF('Limestone Plant (LP-2)'!$E$4&gt;9,"Crushing Period (Dates):","")</f>
        <v/>
      </c>
      <c r="C159" s="73"/>
      <c r="D159" s="55"/>
      <c r="E159" s="166" t="str">
        <f t="shared" si="45"/>
        <v/>
      </c>
      <c r="F159" s="166" t="str">
        <f t="shared" si="46"/>
        <v/>
      </c>
      <c r="G159" s="98"/>
      <c r="H159" s="71"/>
      <c r="I159" s="184"/>
      <c r="J159" s="81">
        <f t="shared" si="47"/>
        <v>0</v>
      </c>
      <c r="K159" s="81">
        <f t="shared" si="48"/>
        <v>0</v>
      </c>
    </row>
    <row r="160" spans="2:11" ht="14.25" customHeight="1" x14ac:dyDescent="0.2">
      <c r="B160" s="281" t="str">
        <f>IF('Limestone Plant (LP-2)'!$E$4&gt;9,"Controlled with Dust Suppressant or","")</f>
        <v/>
      </c>
      <c r="D160" s="55"/>
      <c r="E160" s="166" t="str">
        <f t="shared" si="45"/>
        <v/>
      </c>
      <c r="F160" s="166" t="str">
        <f t="shared" si="46"/>
        <v/>
      </c>
      <c r="G160" s="98"/>
      <c r="H160" s="71"/>
      <c r="I160" s="184"/>
      <c r="J160" s="81">
        <f t="shared" si="47"/>
        <v>0</v>
      </c>
      <c r="K160" s="81">
        <f t="shared" si="48"/>
        <v>0</v>
      </c>
    </row>
    <row r="161" spans="2:11" ht="14.25" customHeight="1" x14ac:dyDescent="0.2">
      <c r="B161" s="282" t="str">
        <f>IF('Limestone Plant (LP-2)'!$E$4&gt;9,"Material Being Processed has","")</f>
        <v/>
      </c>
      <c r="C161" s="280"/>
      <c r="D161" s="55"/>
      <c r="E161" s="166" t="str">
        <f t="shared" si="45"/>
        <v/>
      </c>
      <c r="F161" s="166" t="str">
        <f t="shared" si="46"/>
        <v/>
      </c>
      <c r="G161" s="98"/>
      <c r="H161" s="71"/>
      <c r="I161" s="184"/>
      <c r="J161" s="81">
        <f t="shared" si="47"/>
        <v>0</v>
      </c>
      <c r="K161" s="81">
        <f t="shared" si="48"/>
        <v>0</v>
      </c>
    </row>
    <row r="162" spans="2:11" ht="14.25" customHeight="1" x14ac:dyDescent="0.2">
      <c r="B162" s="284" t="str">
        <f>IF('Limestone Plant (LP-2)'!$E$4&gt;9,"Moisture Content &gt; 1.5%?","")</f>
        <v/>
      </c>
      <c r="C162" s="55"/>
      <c r="D162" s="55"/>
      <c r="E162" s="166" t="str">
        <f t="shared" si="45"/>
        <v/>
      </c>
      <c r="F162" s="166" t="str">
        <f t="shared" si="46"/>
        <v/>
      </c>
      <c r="G162" s="98"/>
      <c r="H162" s="71"/>
      <c r="I162" s="184"/>
      <c r="J162" s="81">
        <f t="shared" si="47"/>
        <v>0</v>
      </c>
      <c r="K162" s="81">
        <f t="shared" si="48"/>
        <v>0</v>
      </c>
    </row>
    <row r="163" spans="2:11" ht="14.25" customHeight="1" x14ac:dyDescent="0.2">
      <c r="B163" s="55"/>
      <c r="C163" s="55"/>
      <c r="D163" s="55"/>
      <c r="E163" s="166" t="str">
        <f t="shared" si="45"/>
        <v/>
      </c>
      <c r="F163" s="166" t="str">
        <f t="shared" si="46"/>
        <v/>
      </c>
      <c r="G163" s="98"/>
      <c r="H163" s="71"/>
      <c r="I163" s="184"/>
      <c r="J163" s="81">
        <f t="shared" si="47"/>
        <v>0</v>
      </c>
      <c r="K163" s="81">
        <f t="shared" si="48"/>
        <v>0</v>
      </c>
    </row>
    <row r="164" spans="2:11" ht="14.25" customHeight="1" x14ac:dyDescent="0.2">
      <c r="B164" s="55"/>
      <c r="D164" s="55"/>
      <c r="E164" s="166" t="str">
        <f t="shared" si="45"/>
        <v/>
      </c>
      <c r="F164" s="166" t="str">
        <f t="shared" si="46"/>
        <v/>
      </c>
      <c r="G164" s="98"/>
      <c r="H164" s="71"/>
      <c r="I164" s="184"/>
      <c r="J164" s="81">
        <f t="shared" si="47"/>
        <v>0</v>
      </c>
      <c r="K164" s="81">
        <f t="shared" si="48"/>
        <v>0</v>
      </c>
    </row>
    <row r="165" spans="2:11" ht="14.25" customHeight="1" x14ac:dyDescent="0.2">
      <c r="B165" s="55"/>
      <c r="D165" s="55"/>
      <c r="E165" s="55"/>
      <c r="F165" s="55"/>
    </row>
    <row r="166" spans="2:11" ht="14.25" customHeight="1" x14ac:dyDescent="0.2">
      <c r="B166" s="55"/>
      <c r="E166" s="88" t="str">
        <f>IF('Limestone Plant (LP-2)'!$E$4&gt;9,"Stock Pile Area","")</f>
        <v/>
      </c>
      <c r="F166" s="88"/>
      <c r="G166" s="89"/>
    </row>
    <row r="167" spans="2:11" ht="14.25" customHeight="1" x14ac:dyDescent="0.2">
      <c r="B167" s="55"/>
      <c r="D167" s="90"/>
      <c r="F167" s="60" t="str">
        <f>IF('Limestone Plant (LP-2)'!$E$4&gt;9,"Emission Unit #","")</f>
        <v/>
      </c>
      <c r="G167" s="95" t="str">
        <f>IF('Limestone Plant (LP-2)'!$E$4&gt;9,"Maximum Storage Area (acres)","")</f>
        <v/>
      </c>
      <c r="H167" s="96" t="str">
        <f>IF('Limestone Plant (LP-2)'!$E$4&gt;9,"Actual Storage Area (acres)","")</f>
        <v/>
      </c>
      <c r="I167" s="95" t="str">
        <f>IF('Limestone Plant (LP-2)'!$E$4&gt;9,"Actual Days in Existence (days)","")</f>
        <v/>
      </c>
    </row>
    <row r="168" spans="2:11" ht="14.25" customHeight="1" x14ac:dyDescent="0.2">
      <c r="F168" s="77"/>
      <c r="G168" s="126"/>
      <c r="H168" s="78"/>
      <c r="I168" s="126"/>
    </row>
  </sheetData>
  <sheetProtection algorithmName="SHA-512" hashValue="782IQOAgh1+IgWeCBzoVwBgQNjF7L/SbvI65zbsUQv/iX+JbZpj9QN9xut+eez54Ma8VurGMfwYBpNOQ9J1UYg==" saltValue="O6MNkC9K7sBP2arwxiHcQg==" spinCount="100000" sheet="1" objects="1" scenarios="1"/>
  <conditionalFormatting sqref="F45:I45 B35:B37 B51:B53 B66:B68 B82:B84 B97:B99 B112:B114 B127:B129 B142:B144 B157:B159">
    <cfRule type="notContainsBlanks" dxfId="556" priority="65" stopIfTrue="1">
      <formula>LEN(TRIM(B35))&gt;0</formula>
    </cfRule>
  </conditionalFormatting>
  <conditionalFormatting sqref="F45:I46 D34:I34 D45:D46 D43:I44 D35:D42 G35:I42 B41:C41 B43:C46 B42 C39:C40 B34:C37">
    <cfRule type="cellIs" dxfId="555" priority="62" stopIfTrue="1" operator="equal">
      <formula>$B$34="crusher plant"</formula>
    </cfRule>
  </conditionalFormatting>
  <conditionalFormatting sqref="C43 B34:C34">
    <cfRule type="notContainsBlanks" dxfId="554" priority="66" stopIfTrue="1">
      <formula>LEN(TRIM(B34))&gt;0</formula>
    </cfRule>
  </conditionalFormatting>
  <conditionalFormatting sqref="F61:I61">
    <cfRule type="notContainsBlanks" dxfId="553" priority="61" stopIfTrue="1">
      <formula>LEN(TRIM(F61))&gt;0</formula>
    </cfRule>
  </conditionalFormatting>
  <conditionalFormatting sqref="C59 B50:C50">
    <cfRule type="notContainsBlanks" dxfId="552" priority="67" stopIfTrue="1">
      <formula>LEN(TRIM(B50))&gt;0</formula>
    </cfRule>
  </conditionalFormatting>
  <conditionalFormatting sqref="F76:I76">
    <cfRule type="notContainsBlanks" dxfId="551" priority="56" stopIfTrue="1">
      <formula>LEN(TRIM(F76))&gt;0</formula>
    </cfRule>
  </conditionalFormatting>
  <conditionalFormatting sqref="C74 B65:C65">
    <cfRule type="notContainsBlanks" dxfId="550" priority="57" stopIfTrue="1">
      <formula>LEN(TRIM(B65))&gt;0</formula>
    </cfRule>
  </conditionalFormatting>
  <conditionalFormatting sqref="F92:I92">
    <cfRule type="notContainsBlanks" dxfId="549" priority="51" stopIfTrue="1">
      <formula>LEN(TRIM(F92))&gt;0</formula>
    </cfRule>
  </conditionalFormatting>
  <conditionalFormatting sqref="C90 B81:C81">
    <cfRule type="notContainsBlanks" dxfId="548" priority="52" stopIfTrue="1">
      <formula>LEN(TRIM(B81))&gt;0</formula>
    </cfRule>
  </conditionalFormatting>
  <conditionalFormatting sqref="F107:I107">
    <cfRule type="notContainsBlanks" dxfId="547" priority="46" stopIfTrue="1">
      <formula>LEN(TRIM(F107))&gt;0</formula>
    </cfRule>
  </conditionalFormatting>
  <conditionalFormatting sqref="C105 B96:C96">
    <cfRule type="notContainsBlanks" dxfId="546" priority="47" stopIfTrue="1">
      <formula>LEN(TRIM(B96))&gt;0</formula>
    </cfRule>
  </conditionalFormatting>
  <conditionalFormatting sqref="F122:I122">
    <cfRule type="notContainsBlanks" dxfId="545" priority="41" stopIfTrue="1">
      <formula>LEN(TRIM(F122))&gt;0</formula>
    </cfRule>
  </conditionalFormatting>
  <conditionalFormatting sqref="C120 B111:C111">
    <cfRule type="notContainsBlanks" dxfId="544" priority="42" stopIfTrue="1">
      <formula>LEN(TRIM(B111))&gt;0</formula>
    </cfRule>
  </conditionalFormatting>
  <conditionalFormatting sqref="F137:I137">
    <cfRule type="notContainsBlanks" dxfId="543" priority="36" stopIfTrue="1">
      <formula>LEN(TRIM(F137))&gt;0</formula>
    </cfRule>
  </conditionalFormatting>
  <conditionalFormatting sqref="C135 B126:C126">
    <cfRule type="notContainsBlanks" dxfId="542" priority="37" stopIfTrue="1">
      <formula>LEN(TRIM(B126))&gt;0</formula>
    </cfRule>
  </conditionalFormatting>
  <conditionalFormatting sqref="F152:I152">
    <cfRule type="notContainsBlanks" dxfId="541" priority="31" stopIfTrue="1">
      <formula>LEN(TRIM(F152))&gt;0</formula>
    </cfRule>
  </conditionalFormatting>
  <conditionalFormatting sqref="C150 B141:C141">
    <cfRule type="notContainsBlanks" dxfId="540" priority="32" stopIfTrue="1">
      <formula>LEN(TRIM(B141))&gt;0</formula>
    </cfRule>
  </conditionalFormatting>
  <conditionalFormatting sqref="F167:I167">
    <cfRule type="notContainsBlanks" dxfId="539" priority="26" stopIfTrue="1">
      <formula>LEN(TRIM(F167))&gt;0</formula>
    </cfRule>
  </conditionalFormatting>
  <conditionalFormatting sqref="C165 B156:C156">
    <cfRule type="notContainsBlanks" dxfId="538" priority="27" stopIfTrue="1">
      <formula>LEN(TRIM(B156))&gt;0</formula>
    </cfRule>
  </conditionalFormatting>
  <conditionalFormatting sqref="B61:D62 F61:I62 B50:I50 B59:I60 B51:D53 G51:I58 D54 B57:D57 B58 D58 C55:D56">
    <cfRule type="cellIs" dxfId="537" priority="575" stopIfTrue="1" operator="equal">
      <formula>$B$50="crusher plant"</formula>
    </cfRule>
  </conditionalFormatting>
  <conditionalFormatting sqref="B76:D77 F76:I77 B65:I65 B74:I75 B66:D68 G66:I73 D69 B72:D72 B73 D73 C70:D71">
    <cfRule type="cellIs" dxfId="536" priority="593" stopIfTrue="1" operator="equal">
      <formula>$B$65="crusher plant"</formula>
    </cfRule>
  </conditionalFormatting>
  <conditionalFormatting sqref="B92:D93 F92:I93 B81:I81 B90:I91 B82:D84 G82:I89 D85 B88:D88 B89 D89 C86:D87">
    <cfRule type="cellIs" dxfId="535" priority="609" stopIfTrue="1" operator="equal">
      <formula>$B$81="crusher plant"</formula>
    </cfRule>
  </conditionalFormatting>
  <conditionalFormatting sqref="B107:D108 F107:I108 B96:I96 B105:I106 B97:D99 G97:I104 D100 B103:D103 B104 D104 C101:D102">
    <cfRule type="cellIs" dxfId="534" priority="623" stopIfTrue="1" operator="equal">
      <formula>$B$96="crusher plant"</formula>
    </cfRule>
  </conditionalFormatting>
  <conditionalFormatting sqref="B122:D123 F122:I123 B111:I111 B120:I121 B112:D114 G112:I119 D115 B118:D118 B119 D119 C116:D117">
    <cfRule type="cellIs" dxfId="533" priority="635" stopIfTrue="1" operator="equal">
      <formula>$B$111="crusher plant"</formula>
    </cfRule>
  </conditionalFormatting>
  <conditionalFormatting sqref="B137:D138 F137:I138 B126:I126 B135:I136 B127:D129 G127:I134 D130 B133:D133 B134 D134 C131:D132">
    <cfRule type="cellIs" dxfId="532" priority="645" stopIfTrue="1" operator="equal">
      <formula>$B$126="crusher plant"</formula>
    </cfRule>
  </conditionalFormatting>
  <conditionalFormatting sqref="B152:D153 F152:I153 B141:I141 B150:I151 B142:D144 G142:I149 D145 B148:D148 B149 D149 C146:D147">
    <cfRule type="cellIs" dxfId="531" priority="653" stopIfTrue="1" operator="equal">
      <formula>$B$141="crusher plant"</formula>
    </cfRule>
  </conditionalFormatting>
  <conditionalFormatting sqref="D165:I166 B157:C159 D167:D168 F167:I168 B156:I156 D157:D164 G157:I164 B163:C163 B165:C167 B164 C161:C162">
    <cfRule type="cellIs" dxfId="530" priority="659" stopIfTrue="1" operator="equal">
      <formula>$B$156="crusher plant"</formula>
    </cfRule>
  </conditionalFormatting>
  <conditionalFormatting sqref="E35:E42">
    <cfRule type="expression" dxfId="529" priority="20">
      <formula>$B$34="crusher plant"</formula>
    </cfRule>
  </conditionalFormatting>
  <conditionalFormatting sqref="E51:E58">
    <cfRule type="expression" dxfId="528" priority="19">
      <formula>$B$50="crusher plant"</formula>
    </cfRule>
  </conditionalFormatting>
  <conditionalFormatting sqref="E66:E73">
    <cfRule type="expression" dxfId="527" priority="17">
      <formula>$B$65="crusher plant"</formula>
    </cfRule>
  </conditionalFormatting>
  <conditionalFormatting sqref="E82:E89">
    <cfRule type="expression" dxfId="526" priority="16">
      <formula>$B$81="crusher plant"</formula>
    </cfRule>
  </conditionalFormatting>
  <conditionalFormatting sqref="E97:E104">
    <cfRule type="expression" dxfId="525" priority="15">
      <formula>$B$96="crusher plant"</formula>
    </cfRule>
  </conditionalFormatting>
  <conditionalFormatting sqref="E112:E119">
    <cfRule type="expression" dxfId="524" priority="14">
      <formula>$B$111="crusher plant"</formula>
    </cfRule>
  </conditionalFormatting>
  <conditionalFormatting sqref="E127:E134">
    <cfRule type="expression" dxfId="523" priority="13">
      <formula>$B$126="crusher plant"</formula>
    </cfRule>
  </conditionalFormatting>
  <conditionalFormatting sqref="E142:E149">
    <cfRule type="expression" dxfId="522" priority="12">
      <formula>$B$141="crusher plant"</formula>
    </cfRule>
  </conditionalFormatting>
  <conditionalFormatting sqref="E157:E164">
    <cfRule type="expression" dxfId="521" priority="11">
      <formula>$B$156="crusher plant"</formula>
    </cfRule>
  </conditionalFormatting>
  <conditionalFormatting sqref="F20:F27">
    <cfRule type="notContainsBlanks" dxfId="520" priority="10">
      <formula>LEN(TRIM(F20))&gt;0</formula>
    </cfRule>
  </conditionalFormatting>
  <conditionalFormatting sqref="F35:F42">
    <cfRule type="expression" dxfId="519" priority="9">
      <formula>$B$34="crusher plant"</formula>
    </cfRule>
  </conditionalFormatting>
  <conditionalFormatting sqref="F51:F58">
    <cfRule type="expression" dxfId="518" priority="8">
      <formula>$B$50="crusher plant"</formula>
    </cfRule>
  </conditionalFormatting>
  <conditionalFormatting sqref="F66:F73">
    <cfRule type="expression" dxfId="517" priority="7">
      <formula>$B$65="crusher plant"</formula>
    </cfRule>
  </conditionalFormatting>
  <conditionalFormatting sqref="F82:F89">
    <cfRule type="expression" dxfId="516" priority="6">
      <formula>$B$81="crusher plant"</formula>
    </cfRule>
  </conditionalFormatting>
  <conditionalFormatting sqref="F97:F104">
    <cfRule type="expression" dxfId="515" priority="5">
      <formula>$B$96="crusher plant"</formula>
    </cfRule>
  </conditionalFormatting>
  <conditionalFormatting sqref="F112:F119">
    <cfRule type="expression" dxfId="514" priority="4">
      <formula>$B$111="crusher plant"</formula>
    </cfRule>
  </conditionalFormatting>
  <conditionalFormatting sqref="F127:F134">
    <cfRule type="expression" dxfId="513" priority="3">
      <formula>$B$126="crusher plant"</formula>
    </cfRule>
  </conditionalFormatting>
  <conditionalFormatting sqref="F142:F149">
    <cfRule type="expression" dxfId="512" priority="2">
      <formula>$B$141="crusher plant"</formula>
    </cfRule>
  </conditionalFormatting>
  <conditionalFormatting sqref="F157:F164">
    <cfRule type="expression" dxfId="511" priority="1">
      <formula>$B$156="crusher plant"</formula>
    </cfRule>
  </conditionalFormatting>
  <dataValidations count="3">
    <dataValidation type="whole" allowBlank="1" showInputMessage="1" showErrorMessage="1" sqref="C18 E4 D5" xr:uid="{00000000-0002-0000-0200-000000000000}">
      <formula1>0</formula1>
      <formula2>100</formula2>
    </dataValidation>
    <dataValidation type="list" allowBlank="1" showInputMessage="1" showErrorMessage="1" sqref="G20:G27 G35:G42 G51:G58 G66:G73 G82:G89 G97:G104 G112:G119 G127:G134 G142:G149 G157:G164" xr:uid="{00000000-0002-0000-0200-000001000000}">
      <formula1>process</formula1>
    </dataValidation>
    <dataValidation type="list" allowBlank="1" showInputMessage="1" showErrorMessage="1" sqref="C24 C39 C55 C70 C86 C101 C116 C131 C146 C161" xr:uid="{00000000-0002-0000-0200-000002000000}">
      <formula1>CHECK</formula1>
    </dataValidation>
  </dataValidations>
  <pageMargins left="0.7" right="0.7" top="0.75" bottom="0.75" header="0.3" footer="0.3"/>
  <pageSetup scale="70" fitToHeight="0" orientation="landscape"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S168"/>
  <sheetViews>
    <sheetView topLeftCell="B1" zoomScaleNormal="100" workbookViewId="0">
      <selection activeCell="B1" sqref="B1"/>
    </sheetView>
  </sheetViews>
  <sheetFormatPr defaultColWidth="8.85546875" defaultRowHeight="14.25" customHeight="1" x14ac:dyDescent="0.2"/>
  <cols>
    <col min="1" max="1" width="21.4257812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8.5703125" style="80" customWidth="1"/>
    <col min="10" max="10" width="11.42578125" style="81" hidden="1" customWidth="1"/>
    <col min="11" max="11" width="14" style="81" hidden="1" customWidth="1"/>
    <col min="12" max="12" width="6.85546875" style="80" customWidth="1"/>
    <col min="13" max="13" width="26.85546875" style="80" customWidth="1"/>
    <col min="14" max="14" width="17.7109375" style="80" customWidth="1"/>
    <col min="15" max="15" width="20.42578125" style="80" customWidth="1"/>
    <col min="16" max="16" width="20.42578125" style="80" hidden="1" customWidth="1"/>
    <col min="17" max="17" width="17.7109375" style="80" hidden="1" customWidth="1"/>
    <col min="18" max="18" width="16.42578125" style="80" hidden="1" customWidth="1"/>
    <col min="19" max="19" width="21" style="80" customWidth="1"/>
    <col min="20" max="16384" width="8.85546875" style="80"/>
  </cols>
  <sheetData>
    <row r="1" spans="2:19" ht="14.25" customHeight="1" x14ac:dyDescent="0.2">
      <c r="B1" s="277" t="s">
        <v>147</v>
      </c>
      <c r="C1" s="277"/>
    </row>
    <row r="2" spans="2:19" ht="14.25" customHeight="1" x14ac:dyDescent="0.25">
      <c r="B2" s="278" t="s">
        <v>32</v>
      </c>
      <c r="C2" s="278"/>
      <c r="G2" s="39"/>
      <c r="I2" s="214" t="s">
        <v>135</v>
      </c>
      <c r="J2" s="214"/>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35,MATCH("Screening",$G$36:$G$43,0)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SUM(G32,G47,G63,G78,G93,G108,G123,G138,G153,G168)</f>
        <v>0</v>
      </c>
      <c r="O14" s="110">
        <f>SUM(H32*I32,H47*I47,H63*I63,H78*I78,H93*I93,H108*I108,H123*I123,H138*I138,H153*I153,H168*I168)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371" t="str">
        <f>('Facility Information'!G5&amp;" Annual Throughput (tons)")</f>
        <v xml:space="preserve"> Annual Throughput (tons)</v>
      </c>
      <c r="J20" s="81" t="s">
        <v>132</v>
      </c>
      <c r="K20" s="81" t="s">
        <v>133</v>
      </c>
      <c r="M20" s="109" t="s">
        <v>38</v>
      </c>
      <c r="N20" s="136">
        <f t="shared" ref="N20:N27" ca="1" si="0">N5</f>
        <v>0</v>
      </c>
      <c r="O20" s="145">
        <f ca="1">IF(N20=0,0,IF(OR($C$25="no",$C$40="no",$C$56="no",$C$71="no",$C$86="no",$C$101="no",$C$116="no",$C$131="no",$C$146="no",$C$161="no"),'Emission Factors'!D8,'Emission Factors'!D20))</f>
        <v>0</v>
      </c>
      <c r="P20" s="136" t="str">
        <f t="shared" ref="P20:P27" si="1">IF(OR($C$25="no",$C$40="no",$C$56="no",$C$71="no",$C$86="no",$C$101="no",$C$116="no",$C$131="no",$C$146="no",$C$161="no"),N20*O20,"")</f>
        <v/>
      </c>
      <c r="Q20" s="136">
        <f t="shared" ref="Q20:Q27" ca="1" si="2">IF($F$10&gt;0,$F$10,IF(OR($C$25="no",$C$40="no",$C$56="no",$C$71="no",$C$86="no",$C$101="no",$C$116="no",$C$131="no",$C$146="no",$C$161="no"),"",N20*O20))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IF(G21="","","LP-3 EP-1")</f>
        <v/>
      </c>
      <c r="F21" s="165" t="str">
        <f>IF(G21="","",IF(G21="primary crusher","LP-3 EU-1",IF(G21="screening","LP-3 EU-2",IF(G21="secondary crusher","LP-3 EU-3",IF(G21="tertiary crusher","LP-3 EU-4",IF(G21="fines crushing","LP-3 EU-5",IF(G21="fines screening","LP-3 EU-6",IF(G21="wet drilling: unfragmented stone","LP-3 EU-7",IF(G21="conveyor transfer points","LP-3 EU-8")))))))))</f>
        <v/>
      </c>
      <c r="G21" s="98"/>
      <c r="H21" s="71"/>
      <c r="I21" s="184"/>
      <c r="J21" s="81">
        <f>IF($C25="no",I21,0)</f>
        <v>0</v>
      </c>
      <c r="K21" s="81">
        <f t="shared" ref="K21:K28" si="3">IF($C$25="yes",I21,0)</f>
        <v>0</v>
      </c>
      <c r="M21" s="109" t="s">
        <v>36</v>
      </c>
      <c r="N21" s="136">
        <f t="shared" ca="1" si="0"/>
        <v>0</v>
      </c>
      <c r="O21" s="145">
        <f ca="1">IF(N21=0,0,IF(OR($C$25="no",$C$40="no",$C$56="no",$C$71="no",$C$86="no",$C$101="no",$C$116="no",$C$131="no",$C$146="no",$C$161="no"),'Emission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IF(G22="","","LP-3 EP-1")</f>
        <v/>
      </c>
      <c r="F22" s="165" t="str">
        <f t="shared" ref="F22:F28" si="6">IF(G22="","",IF(G22="primary crusher","LP-3 EU-1",IF(G22="screening","LP-3 EU-2",IF(G22="secondary crusher","LP-3 EU-3",IF(G22="tertiary crusher","LP-3 EU-4",IF(G22="fines crushing","LP-3 EU-5",IF(G22="fines screening","LP-3 EU-6",IF(G22="wet drilling: unfragmented stone","LP-3 EU-7",IF(G22="conveyor transfer points","LP-3 EU-8")))))))))</f>
        <v/>
      </c>
      <c r="G22" s="98"/>
      <c r="H22" s="71"/>
      <c r="I22" s="184"/>
      <c r="J22" s="81">
        <f t="shared" ref="J22:J28" si="7">IF($C$25="no",I22,0)</f>
        <v>0</v>
      </c>
      <c r="K22" s="81">
        <f t="shared" si="3"/>
        <v>0</v>
      </c>
      <c r="M22" s="109" t="s">
        <v>37</v>
      </c>
      <c r="N22" s="136">
        <f t="shared" ca="1" si="0"/>
        <v>0</v>
      </c>
      <c r="O22" s="145">
        <f ca="1">IF(N22=0,0,IF(OR($C$25="no",$C$40="no",$C$56="no",$C$71="no",$C$86="no",$C$101="no",$C$116="no",$C$131="no",$C$146="no",$C$161="no"),'Emission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71"/>
      <c r="I23" s="184"/>
      <c r="J23" s="81">
        <f t="shared" si="7"/>
        <v>0</v>
      </c>
      <c r="K23" s="81">
        <f t="shared" si="3"/>
        <v>0</v>
      </c>
      <c r="M23" s="109" t="s">
        <v>39</v>
      </c>
      <c r="N23" s="136">
        <f t="shared" ca="1" si="0"/>
        <v>0</v>
      </c>
      <c r="O23" s="145">
        <f ca="1">IF(N23=0,0,IF(OR(C25="no",C40="no",C56="no",C71="no",C86="no",C101="no",C116="no",C131="no",C146="no",C161="no"),'Emission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6">
        <f t="shared" ca="1" si="0"/>
        <v>0</v>
      </c>
      <c r="O24" s="145">
        <f ca="1">IF(N24=0,0,IF(OR(C25="no",C40="no",C56="no",C71="no",C86="no",C101="no",C116="no",C131="no",C146="no",C161="no"),'Emission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71"/>
      <c r="I25" s="184"/>
      <c r="J25" s="81">
        <f t="shared" si="7"/>
        <v>0</v>
      </c>
      <c r="K25" s="81">
        <f t="shared" si="3"/>
        <v>0</v>
      </c>
      <c r="M25" s="109" t="s">
        <v>41</v>
      </c>
      <c r="N25" s="136">
        <f t="shared" ca="1" si="0"/>
        <v>0</v>
      </c>
      <c r="O25" s="145">
        <f ca="1">IF(N25=0,0,IF(OR($C$25="no",$C$40="no",$C$56="no",$C$71="no",$C$86="no",$C$101="no",$C$116="no",$C$131="no",$C$146="no",$C$161="no"),'Emission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71"/>
      <c r="I26" s="184"/>
      <c r="J26" s="81">
        <f t="shared" si="7"/>
        <v>0</v>
      </c>
      <c r="K26" s="81">
        <f t="shared" si="3"/>
        <v>0</v>
      </c>
      <c r="M26" s="109" t="s">
        <v>42</v>
      </c>
      <c r="N26" s="136">
        <f t="shared" ca="1" si="0"/>
        <v>0</v>
      </c>
      <c r="O26" s="145">
        <f ca="1">IF(N26=0,0,IF(OR(C25="no",C40="no",C56="no",C71="no",C86="no",C101="no",C116="no",C131="no",C146="no",C161="no"),'Emission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C27" s="55"/>
      <c r="D27" s="55"/>
      <c r="E27" s="165" t="str">
        <f t="shared" si="5"/>
        <v/>
      </c>
      <c r="F27" s="165" t="str">
        <f t="shared" si="6"/>
        <v/>
      </c>
      <c r="G27" s="98"/>
      <c r="H27" s="71"/>
      <c r="I27" s="184"/>
      <c r="J27" s="81">
        <f t="shared" si="7"/>
        <v>0</v>
      </c>
      <c r="K27" s="81">
        <f t="shared" si="3"/>
        <v>0</v>
      </c>
      <c r="M27" s="109" t="s">
        <v>43</v>
      </c>
      <c r="N27" s="136">
        <f t="shared" ca="1" si="0"/>
        <v>0</v>
      </c>
      <c r="O27" s="145">
        <f ca="1">IF(N27=0,0,IF(OR(C25="no",C40="no",C56="no",C71="no",C86="no",C101="no",C116="no",C131="no",C146="no",C161="no"),'Emission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D28" s="55"/>
      <c r="E28" s="165" t="str">
        <f t="shared" si="5"/>
        <v/>
      </c>
      <c r="F28" s="165" t="str">
        <f t="shared" si="6"/>
        <v/>
      </c>
      <c r="G28" s="98"/>
      <c r="H28" s="71"/>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IF(N29=0,0,IF(OR($C$25="no",$C$40="no",$C$56="no",$C$71="no",$C$86="no",$C$101="no",$C$116="no",$C$131="no",$C$146="no",$C$161="no"),'Emission Factors'!F8,'Emission Factors'!F20))</f>
        <v>0</v>
      </c>
      <c r="P29" s="136" t="str">
        <f t="shared" ref="P29:P36" si="8">IF(OR($C$25="no",$C$40="no",$C$56="no",$C$71="no",$C$86="no",$C$101="no",$C$116="no",$C$131="no",$C$146="no",$C$161="no"),N29*O29,"")</f>
        <v/>
      </c>
      <c r="Q29" s="136">
        <f t="shared" ref="Q29:Q36" ca="1" si="9">IF($F$11&gt;0,$F$11,IF(OR($C$25="no",$C$40="no",$C$56="no",$C$71="no",$C$86="no",$C$101="no",$C$116="no",$C$131="no",$C$146="no",$C$161="no"),"",N29*O29))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6" ca="1" si="10">N6</f>
        <v>0</v>
      </c>
      <c r="O30" s="145">
        <f ca="1">IF(N30=0,0,IF(OR($C$25="no",$C$40="no",$C$56="no",$C$71="no",$C$86="no",$C$101="no",$C$116="no",$C$131="no",$C$146="no",$C$161="no"),'Emission Factors'!F9,'Emission Factors'!F21))</f>
        <v>0</v>
      </c>
      <c r="P30" s="140" t="str">
        <f t="shared" si="8"/>
        <v/>
      </c>
      <c r="Q30" s="136">
        <f t="shared" ca="1" si="9"/>
        <v>0</v>
      </c>
      <c r="R30" s="136">
        <f t="shared" ref="R30:R36"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8.5" customHeight="1" x14ac:dyDescent="0.25">
      <c r="A35" s="80">
        <f>C36</f>
        <v>0</v>
      </c>
      <c r="B35" s="92" t="str">
        <f>IF('Limestone Plant (LP-3)'!$E$4&gt;1,"CRUSHER PLANT","")</f>
        <v/>
      </c>
      <c r="C35" s="84" t="str">
        <f>IF('Limestone Plant (LP-3)'!$E$4&gt;1,"Site 2","")</f>
        <v/>
      </c>
      <c r="E35" s="213" t="str">
        <f>IF('Limestone Plant (LP-3)'!$E$4&gt;1,"Emission Point #","")</f>
        <v/>
      </c>
      <c r="F35" s="213" t="str">
        <f>IF('Limestone Plant (LP-3)'!$E$4&gt;1,"Emission    Unit #","")</f>
        <v/>
      </c>
      <c r="G35" s="213" t="str">
        <f>IF('Limestone Plant (LP-3)'!$E$4&gt;1,"Processes","")</f>
        <v/>
      </c>
      <c r="H35" s="220" t="str">
        <f>IF('Limestone Plant (LP-3)'!$E$4&gt;1,"Combined Maximum Hourly Design Rate for all Like Processes (tons/hr)","")</f>
        <v/>
      </c>
      <c r="I35" s="213" t="str">
        <f>IF('Limestone Plant (LP-3)'!$E$4&gt;1,('Facility Information'!G5&amp;" Annual Throughput (tons)"),"")</f>
        <v/>
      </c>
      <c r="M35" s="109" t="s">
        <v>42</v>
      </c>
      <c r="N35" s="136">
        <f t="shared" ca="1" si="10"/>
        <v>0</v>
      </c>
      <c r="O35" s="145">
        <f ca="1">IF(N35=0,0,IF(OR(C25="no",C40="no",C56="no",C71="no",C86="no",C101="no",C116="no",C131="no",C146="no",C161="no"),'Emission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C52</f>
        <v>0</v>
      </c>
      <c r="B36" s="94" t="str">
        <f>IF('Limestone Plant (LP-3)'!$E$4&gt;1,"Site Name:","")</f>
        <v/>
      </c>
      <c r="C36" s="76"/>
      <c r="D36" s="55"/>
      <c r="E36" s="166" t="str">
        <f>IF(G36="","","LP-3 EP-1")</f>
        <v/>
      </c>
      <c r="F36" s="166" t="str">
        <f>IF(G36="","",IF(G36="primary crusher","LP-3 EU-1",IF(G36="screening","LP-3 EU-2",IF(G36="secondary crusher","LP-3 EU-3",IF(G36="tertiary crusher","LP-3 EU-4",IF(G36="fines crushing","LP-3 EU-5",IF(G36="fines screening","LP-3 EU-6",IF(G36="wet drilling: unfragmented stone","LP-3 EU-7",IF(G36="conveyor transfer points","LP-3 EU-8")))))))))</f>
        <v/>
      </c>
      <c r="G36" s="98"/>
      <c r="H36" s="71"/>
      <c r="I36" s="184"/>
      <c r="J36" s="81">
        <f t="shared" ref="J36:J43" si="12">IF($C$40="no",I36,0)</f>
        <v>0</v>
      </c>
      <c r="K36" s="81">
        <f t="shared" ref="K36:K43" si="13">IF($C$40="yes",I36,0)</f>
        <v>0</v>
      </c>
      <c r="M36" s="109" t="s">
        <v>43</v>
      </c>
      <c r="N36" s="136">
        <f t="shared" ca="1" si="10"/>
        <v>0</v>
      </c>
      <c r="O36" s="145">
        <f ca="1">IF(N36=0,0,IF(OR(C25="no",C40="no",C56="no",C71="no",C86="no",C101="no",C116="no",C131="no",C146="no",C161="no"),'Emission Factors'!F5,'Emission Factors'!F17))</f>
        <v>0</v>
      </c>
      <c r="P36" s="136" t="str">
        <f t="shared" si="8"/>
        <v/>
      </c>
      <c r="Q36" s="136">
        <f t="shared" ca="1" si="9"/>
        <v>0</v>
      </c>
      <c r="R36" s="136">
        <f t="shared" ca="1" si="11"/>
        <v>0</v>
      </c>
      <c r="S36" s="136">
        <f ca="1">(O12*'Emission Factors'!F5/2000)+('Emission Factors'!F17*S12/2000)</f>
        <v>0</v>
      </c>
    </row>
    <row r="37" spans="1:19" ht="14.25" customHeight="1" x14ac:dyDescent="0.2">
      <c r="A37" s="80">
        <f>C67</f>
        <v>0</v>
      </c>
      <c r="B37" s="94" t="str">
        <f>IF('Limestone Plant (LP-3)'!$E$4&gt;1,"County:","")</f>
        <v/>
      </c>
      <c r="C37" s="76"/>
      <c r="D37" s="55"/>
      <c r="E37" s="166" t="str">
        <f t="shared" ref="E37:E43" si="14">IF(G37="","","LP-3 EP-1")</f>
        <v/>
      </c>
      <c r="F37" s="166" t="str">
        <f t="shared" ref="F37:F43" si="15">IF(G37="","",IF(G37="primary crusher","LP-3 EU-1",IF(G37="screening","LP-3 EU-2",IF(G37="secondary crusher","LP-3 EU-3",IF(G37="tertiary crusher","LP-3 EU-4",IF(G37="fines crushing","LP-3 EU-5",IF(G37="fines screening","LP-3 EU-6",IF(G37="wet drilling: unfragmented stone","LP-3 EU-7",IF(G37="conveyor transfer points","LP-3 EU-8")))))))))</f>
        <v/>
      </c>
      <c r="G37" s="98"/>
      <c r="H37" s="71"/>
      <c r="I37" s="184"/>
      <c r="J37" s="81">
        <f t="shared" si="12"/>
        <v>0</v>
      </c>
      <c r="K37" s="81">
        <f t="shared" si="13"/>
        <v>0</v>
      </c>
    </row>
    <row r="38" spans="1:19" ht="14.25" customHeight="1" x14ac:dyDescent="0.2">
      <c r="A38" s="80">
        <f>C82</f>
        <v>0</v>
      </c>
      <c r="B38" s="94" t="str">
        <f>IF('Limestone Plant (LP-3)'!$E$4&gt;1,"Crushing Period (Dates):","")</f>
        <v/>
      </c>
      <c r="C38" s="73"/>
      <c r="D38" s="55"/>
      <c r="E38" s="166" t="str">
        <f t="shared" si="14"/>
        <v/>
      </c>
      <c r="F38" s="166" t="str">
        <f t="shared" si="15"/>
        <v/>
      </c>
      <c r="G38" s="98"/>
      <c r="H38" s="71"/>
      <c r="I38" s="184"/>
      <c r="J38" s="81">
        <f t="shared" si="12"/>
        <v>0</v>
      </c>
      <c r="K38" s="81">
        <f t="shared" si="13"/>
        <v>0</v>
      </c>
      <c r="N38" s="216" t="s">
        <v>295</v>
      </c>
      <c r="O38" s="216" t="s">
        <v>13</v>
      </c>
      <c r="P38" s="345" t="s">
        <v>304</v>
      </c>
      <c r="Q38" s="216" t="s">
        <v>303</v>
      </c>
      <c r="R38" s="216" t="s">
        <v>289</v>
      </c>
      <c r="S38" s="216" t="s">
        <v>300</v>
      </c>
    </row>
    <row r="39" spans="1:19" ht="14.25" customHeight="1" x14ac:dyDescent="0.2">
      <c r="A39" s="80">
        <f>C97</f>
        <v>0</v>
      </c>
      <c r="B39" s="281" t="str">
        <f>IF('Limestone Plant (LP-3)'!$E$4&gt;1,"Controlled with Dust Suppressant or","")</f>
        <v/>
      </c>
      <c r="D39" s="55"/>
      <c r="E39" s="166" t="str">
        <f t="shared" si="14"/>
        <v/>
      </c>
      <c r="F39" s="166" t="str">
        <f t="shared" si="15"/>
        <v/>
      </c>
      <c r="G39" s="98"/>
      <c r="H39" s="71"/>
      <c r="I39" s="184"/>
      <c r="J39" s="81">
        <f t="shared" si="12"/>
        <v>0</v>
      </c>
      <c r="K39" s="81">
        <f t="shared" si="13"/>
        <v>0</v>
      </c>
      <c r="M39" s="81" t="s">
        <v>44</v>
      </c>
      <c r="N39" s="216" t="s">
        <v>296</v>
      </c>
      <c r="O39" s="221" t="s">
        <v>301</v>
      </c>
      <c r="P39" s="345" t="s">
        <v>249</v>
      </c>
      <c r="Q39" s="216" t="s">
        <v>249</v>
      </c>
      <c r="R39" s="216" t="s">
        <v>253</v>
      </c>
      <c r="S39" s="216" t="s">
        <v>253</v>
      </c>
    </row>
    <row r="40" spans="1:19" ht="14.25" customHeight="1" x14ac:dyDescent="0.2">
      <c r="A40" s="80">
        <f>C112</f>
        <v>0</v>
      </c>
      <c r="B40" s="282" t="str">
        <f>IF('Limestone Plant (LP-3)'!$E$4&gt;1,"Material Being Processed has","")</f>
        <v/>
      </c>
      <c r="C40" s="280"/>
      <c r="D40" s="55"/>
      <c r="E40" s="166" t="str">
        <f t="shared" si="14"/>
        <v/>
      </c>
      <c r="F40" s="166" t="str">
        <f t="shared" si="15"/>
        <v/>
      </c>
      <c r="G40" s="98"/>
      <c r="H40" s="71"/>
      <c r="I40" s="184"/>
      <c r="J40" s="81">
        <f t="shared" si="12"/>
        <v>0</v>
      </c>
      <c r="K40" s="81">
        <f t="shared" si="13"/>
        <v>0</v>
      </c>
      <c r="M40" s="111" t="s">
        <v>143</v>
      </c>
      <c r="N40" s="110">
        <f>N14</f>
        <v>0</v>
      </c>
      <c r="O40" s="110">
        <v>3.64</v>
      </c>
      <c r="P40" s="110">
        <f>N40*O40*(1/24)</f>
        <v>0</v>
      </c>
      <c r="Q40" s="110"/>
      <c r="R40" s="110">
        <f>N40*O40*365/2000</f>
        <v>0</v>
      </c>
      <c r="S40" s="110">
        <f>O14*O40/2000</f>
        <v>0</v>
      </c>
    </row>
    <row r="41" spans="1:19" ht="14.25" customHeight="1" x14ac:dyDescent="0.2">
      <c r="A41" s="80">
        <f>C127</f>
        <v>0</v>
      </c>
      <c r="B41" s="284" t="str">
        <f>IF('Limestone Plant (LP-3)'!$E$4&gt;1,"Moisture Content &gt; 1.5%?","")</f>
        <v/>
      </c>
      <c r="D41" s="55"/>
      <c r="E41" s="166" t="str">
        <f t="shared" si="14"/>
        <v/>
      </c>
      <c r="F41" s="166" t="str">
        <f t="shared" si="15"/>
        <v/>
      </c>
      <c r="G41" s="98"/>
      <c r="H41" s="71"/>
      <c r="I41" s="184"/>
      <c r="J41" s="81">
        <f t="shared" si="12"/>
        <v>0</v>
      </c>
      <c r="K41" s="81">
        <f t="shared" si="13"/>
        <v>0</v>
      </c>
    </row>
    <row r="42" spans="1:19" ht="14.25" customHeight="1" x14ac:dyDescent="0.2">
      <c r="A42" s="80">
        <f>C142</f>
        <v>0</v>
      </c>
      <c r="B42" s="55"/>
      <c r="D42" s="55"/>
      <c r="E42" s="166" t="str">
        <f t="shared" si="14"/>
        <v/>
      </c>
      <c r="F42" s="166" t="str">
        <f t="shared" si="15"/>
        <v/>
      </c>
      <c r="G42" s="98"/>
      <c r="H42" s="71"/>
      <c r="I42" s="184"/>
      <c r="J42" s="81">
        <f t="shared" si="12"/>
        <v>0</v>
      </c>
      <c r="K42" s="81">
        <f t="shared" si="13"/>
        <v>0</v>
      </c>
      <c r="N42" s="81"/>
      <c r="O42" s="81"/>
      <c r="P42" s="81"/>
    </row>
    <row r="43" spans="1:19" ht="14.25" customHeight="1" x14ac:dyDescent="0.2">
      <c r="A43" s="80">
        <f>C157</f>
        <v>0</v>
      </c>
      <c r="B43" s="55"/>
      <c r="C43" s="55"/>
      <c r="D43" s="55"/>
      <c r="E43" s="166" t="str">
        <f t="shared" si="14"/>
        <v/>
      </c>
      <c r="F43" s="166" t="str">
        <f t="shared" si="15"/>
        <v/>
      </c>
      <c r="G43" s="98"/>
      <c r="H43" s="71"/>
      <c r="I43" s="184"/>
      <c r="J43" s="81">
        <f t="shared" si="12"/>
        <v>0</v>
      </c>
      <c r="K43" s="81">
        <f t="shared" si="13"/>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(LP-3)'!$E$4&gt;1,"Stock Pile Area","")</f>
        <v/>
      </c>
      <c r="F45" s="88"/>
      <c r="G45" s="89"/>
      <c r="N45" s="81"/>
      <c r="O45" s="81"/>
      <c r="P45" s="81"/>
    </row>
    <row r="46" spans="1:19" ht="14.25" customHeight="1" x14ac:dyDescent="0.2">
      <c r="B46" s="55"/>
      <c r="D46" s="90"/>
      <c r="F46" s="60" t="str">
        <f>IF('Limestone Plant (LP-3)'!$E$4&gt;1,"Emission Unit #","")</f>
        <v/>
      </c>
      <c r="G46" s="95" t="str">
        <f>IF('Limestone Plant (LP-3)'!$E$4&gt;1,"Maximum Storage Area (acres)","")</f>
        <v/>
      </c>
      <c r="H46" s="96" t="str">
        <f>IF('Limestone Plant (LP-3)'!$E$4&gt;1,"Actual Storage Area (acres)","")</f>
        <v/>
      </c>
      <c r="I46" s="95" t="str">
        <f>IF('Limestone Plant (LP-3)'!$E$4&gt;1,"Actual Days in Existence (days)","")</f>
        <v/>
      </c>
      <c r="J46" s="97"/>
      <c r="K46" s="97"/>
      <c r="N46" s="81"/>
      <c r="O46" s="81"/>
      <c r="P46" s="81"/>
    </row>
    <row r="47" spans="1:19" ht="14.25" customHeight="1" x14ac:dyDescent="0.2">
      <c r="B47" s="55"/>
      <c r="F47" s="77"/>
      <c r="G47" s="126"/>
      <c r="H47" s="78"/>
      <c r="I47" s="126"/>
      <c r="L47" s="90"/>
      <c r="N47" s="81"/>
      <c r="O47" s="81"/>
      <c r="P47" s="81"/>
    </row>
    <row r="48" spans="1:19" ht="14.25" customHeight="1" x14ac:dyDescent="0.2">
      <c r="B48" s="84"/>
      <c r="C48" s="125"/>
      <c r="D48" s="374"/>
      <c r="E48" s="374"/>
      <c r="F48" s="163"/>
      <c r="G48" s="125"/>
      <c r="H48" s="125"/>
      <c r="N48" s="81"/>
      <c r="O48" s="81"/>
      <c r="P48" s="81"/>
    </row>
    <row r="49" spans="2:16" ht="14.25" customHeight="1" x14ac:dyDescent="0.2">
      <c r="B49" s="84"/>
      <c r="C49" s="218"/>
      <c r="D49" s="374"/>
      <c r="E49" s="374"/>
      <c r="F49" s="218"/>
      <c r="G49" s="218"/>
      <c r="H49" s="218"/>
      <c r="N49" s="81"/>
      <c r="O49" s="81"/>
      <c r="P49" s="81"/>
    </row>
    <row r="50" spans="2:16" ht="14.25" customHeight="1" x14ac:dyDescent="0.2">
      <c r="B50" s="84"/>
      <c r="C50" s="84"/>
      <c r="D50" s="84"/>
      <c r="E50" s="84"/>
      <c r="F50" s="84"/>
      <c r="G50" s="84"/>
      <c r="H50" s="84"/>
      <c r="N50" s="81"/>
      <c r="O50" s="81"/>
      <c r="P50" s="81"/>
    </row>
    <row r="51" spans="2:16" ht="29.25" customHeight="1" x14ac:dyDescent="0.25">
      <c r="B51" s="92" t="str">
        <f>IF('Limestone Plant (LP-3)'!$E$4&gt;2,"CRUSHER PLANT","")</f>
        <v/>
      </c>
      <c r="C51" s="84" t="str">
        <f>IF('Limestone Plant (LP-3)'!$E$4&gt;2,"Site 3","")</f>
        <v/>
      </c>
      <c r="E51" s="213" t="str">
        <f>IF('Limestone Plant (LP-3)'!$E$4&gt;2,"Emission Point #","")</f>
        <v/>
      </c>
      <c r="F51" s="213" t="str">
        <f>IF('Limestone Plant (LP-3)'!$E$4&gt;2,"Emission    Unit #","")</f>
        <v/>
      </c>
      <c r="G51" s="213" t="str">
        <f>IF('Limestone Plant (LP-3)'!$E$4&gt;2,"Processes","")</f>
        <v/>
      </c>
      <c r="H51" s="220" t="str">
        <f>IF('Limestone Plant (LP-3)'!$E$4&gt;2,"Combined Maximum Hourly Design Rate for all Like Processes (tons/hr)","")</f>
        <v/>
      </c>
      <c r="I51" s="213" t="str">
        <f>IF('Limestone Plant (LP-3)'!$E$4&gt;2,('Facility Information'!G5&amp;" Annual Throughput (tons)"),"")</f>
        <v/>
      </c>
      <c r="N51" s="81"/>
      <c r="O51" s="81"/>
      <c r="P51" s="81"/>
    </row>
    <row r="52" spans="2:16" ht="28.5" customHeight="1" x14ac:dyDescent="0.2">
      <c r="B52" s="94" t="str">
        <f>IF('Limestone Plant (LP-3)'!$E$4&gt;2,"Site Name:","")</f>
        <v/>
      </c>
      <c r="C52" s="76"/>
      <c r="D52" s="55"/>
      <c r="E52" s="166" t="str">
        <f>IF(G52="","","LP-3 EP-1")</f>
        <v/>
      </c>
      <c r="F52" s="166" t="str">
        <f>IF(G52="","",IF(G52="primary crusher","LP-3 EU-1",IF(G52="screening","LP-3 EU-2",IF(G52="secondary crusher","LP-3 EU-3",IF(G52="tertiary crusher","LP-3 EU-4",IF(G52="fines crushing","LP-3 EU-5",IF(G52="fines screening","LP-3 EU-6",IF(G52="wet drilling: unfragmented stone","LP-3 EU-7",IF(G52="conveyor transfer points","LP-3 EU-8")))))))))</f>
        <v/>
      </c>
      <c r="G52" s="98"/>
      <c r="H52" s="71"/>
      <c r="I52" s="184"/>
      <c r="J52" s="81">
        <f t="shared" ref="J52:J59" si="16">IF($C$56="no",I52,0)</f>
        <v>0</v>
      </c>
      <c r="K52" s="81">
        <f t="shared" ref="K52:K59" si="17">IF($C$56="yes",I52,0)</f>
        <v>0</v>
      </c>
      <c r="N52" s="81"/>
      <c r="O52" s="81"/>
      <c r="P52" s="81"/>
    </row>
    <row r="53" spans="2:16" ht="14.25" customHeight="1" x14ac:dyDescent="0.2">
      <c r="B53" s="94" t="str">
        <f>IF('Limestone Plant (LP-3)'!$E$4&gt;2,"County:","")</f>
        <v/>
      </c>
      <c r="C53" s="76"/>
      <c r="D53" s="55"/>
      <c r="E53" s="166" t="str">
        <f t="shared" ref="E53:E59" si="18">IF(G53="","","LP-3 EP-1")</f>
        <v/>
      </c>
      <c r="F53" s="166" t="str">
        <f t="shared" ref="F53:F59" si="19">IF(G53="","",IF(G53="primary crusher","LP-3 EU-1",IF(G53="screening","LP-3 EU-2",IF(G53="secondary crusher","LP-3 EU-3",IF(G53="tertiary crusher","LP-3 EU-4",IF(G53="fines crushing","LP-3 EU-5",IF(G53="fines screening","LP-3 EU-6",IF(G53="wet drilling: unfragmented stone","LP-3 EU-7",IF(G53="conveyor transfer points","LP-3 EU-8")))))))))</f>
        <v/>
      </c>
      <c r="G53" s="98"/>
      <c r="H53" s="71"/>
      <c r="I53" s="184"/>
      <c r="J53" s="81">
        <f t="shared" si="16"/>
        <v>0</v>
      </c>
      <c r="K53" s="81">
        <f t="shared" si="17"/>
        <v>0</v>
      </c>
    </row>
    <row r="54" spans="2:16" ht="14.25" customHeight="1" x14ac:dyDescent="0.2">
      <c r="B54" s="94" t="str">
        <f>IF('Limestone Plant (LP-3)'!$E$4&gt;2,"Crushing Period (Dates):","")</f>
        <v/>
      </c>
      <c r="C54" s="73"/>
      <c r="D54" s="55"/>
      <c r="E54" s="166" t="str">
        <f t="shared" si="18"/>
        <v/>
      </c>
      <c r="F54" s="166" t="str">
        <f t="shared" si="19"/>
        <v/>
      </c>
      <c r="G54" s="98"/>
      <c r="H54" s="71"/>
      <c r="I54" s="184"/>
      <c r="J54" s="81">
        <f t="shared" si="16"/>
        <v>0</v>
      </c>
      <c r="K54" s="81">
        <f t="shared" si="17"/>
        <v>0</v>
      </c>
    </row>
    <row r="55" spans="2:16" ht="14.25" customHeight="1" x14ac:dyDescent="0.2">
      <c r="B55" s="281" t="str">
        <f>IF('Limestone Plant (LP-3)'!$E$4&gt;2,"Controlled with Dust Suppressant or","")</f>
        <v/>
      </c>
      <c r="D55" s="55"/>
      <c r="E55" s="166" t="str">
        <f t="shared" si="18"/>
        <v/>
      </c>
      <c r="F55" s="166" t="str">
        <f t="shared" si="19"/>
        <v/>
      </c>
      <c r="G55" s="98"/>
      <c r="H55" s="71"/>
      <c r="I55" s="184"/>
      <c r="J55" s="81">
        <f t="shared" si="16"/>
        <v>0</v>
      </c>
      <c r="K55" s="81">
        <f t="shared" si="17"/>
        <v>0</v>
      </c>
    </row>
    <row r="56" spans="2:16" ht="14.25" customHeight="1" x14ac:dyDescent="0.2">
      <c r="B56" s="282" t="str">
        <f>IF('Limestone Plant (LP-3)'!$E$4&gt;2,"Material Being Processed has","")</f>
        <v/>
      </c>
      <c r="C56" s="280"/>
      <c r="D56" s="55"/>
      <c r="E56" s="166" t="str">
        <f t="shared" si="18"/>
        <v/>
      </c>
      <c r="F56" s="166" t="str">
        <f t="shared" si="19"/>
        <v/>
      </c>
      <c r="G56" s="98"/>
      <c r="H56" s="71"/>
      <c r="I56" s="184"/>
      <c r="J56" s="81">
        <f t="shared" si="16"/>
        <v>0</v>
      </c>
      <c r="K56" s="81">
        <f t="shared" si="17"/>
        <v>0</v>
      </c>
    </row>
    <row r="57" spans="2:16" ht="14.25" customHeight="1" x14ac:dyDescent="0.2">
      <c r="B57" s="284" t="str">
        <f>IF('Limestone Plant (LP-3)'!$E$4&gt;2,"Moisture Content &gt; 1.5%?","")</f>
        <v/>
      </c>
      <c r="C57" s="55"/>
      <c r="D57" s="55"/>
      <c r="E57" s="166" t="str">
        <f t="shared" si="18"/>
        <v/>
      </c>
      <c r="F57" s="166" t="str">
        <f t="shared" si="19"/>
        <v/>
      </c>
      <c r="G57" s="98"/>
      <c r="H57" s="71"/>
      <c r="I57" s="184"/>
      <c r="J57" s="81">
        <f t="shared" si="16"/>
        <v>0</v>
      </c>
      <c r="K57" s="81">
        <f t="shared" si="17"/>
        <v>0</v>
      </c>
    </row>
    <row r="58" spans="2:16" ht="14.25" customHeight="1" x14ac:dyDescent="0.2">
      <c r="B58" s="55"/>
      <c r="C58" s="55"/>
      <c r="D58" s="55"/>
      <c r="E58" s="166" t="str">
        <f t="shared" si="18"/>
        <v/>
      </c>
      <c r="F58" s="166" t="str">
        <f t="shared" si="19"/>
        <v/>
      </c>
      <c r="G58" s="98"/>
      <c r="H58" s="71"/>
      <c r="I58" s="184"/>
      <c r="J58" s="81">
        <f t="shared" si="16"/>
        <v>0</v>
      </c>
      <c r="K58" s="81">
        <f t="shared" si="17"/>
        <v>0</v>
      </c>
    </row>
    <row r="59" spans="2:16" ht="14.25" customHeight="1" x14ac:dyDescent="0.2">
      <c r="B59" s="55"/>
      <c r="D59" s="55"/>
      <c r="E59" s="166" t="str">
        <f t="shared" si="18"/>
        <v/>
      </c>
      <c r="F59" s="166" t="str">
        <f t="shared" si="19"/>
        <v/>
      </c>
      <c r="G59" s="98"/>
      <c r="H59" s="71"/>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(LP-3)'!$E$4&gt;2,"Stock Pile Area","")</f>
        <v/>
      </c>
      <c r="F61" s="88"/>
      <c r="G61" s="89"/>
    </row>
    <row r="62" spans="2:16" ht="14.25" customHeight="1" x14ac:dyDescent="0.2">
      <c r="B62" s="55"/>
      <c r="D62" s="90"/>
      <c r="F62" s="60" t="str">
        <f>IF('Limestone Plant (LP-3)'!$E$4&gt;2,"Emission Unit #","")</f>
        <v/>
      </c>
      <c r="G62" s="95" t="str">
        <f>IF('Limestone Plant (LP-3)'!$E$4&gt;2,"Maximum Storage Area (acres)","")</f>
        <v/>
      </c>
      <c r="H62" s="96" t="str">
        <f>IF('Limestone Plant (LP-3)'!$E$4&gt;2,"Actual Storage Area (acres)","")</f>
        <v/>
      </c>
      <c r="I62" s="95" t="str">
        <f>IF('Limestone Plant (LP-3)'!$E$4&gt;2,"Actual Days in Existence (days)","")</f>
        <v/>
      </c>
    </row>
    <row r="63" spans="2:16" ht="14.25" customHeight="1" x14ac:dyDescent="0.2">
      <c r="B63" s="55"/>
      <c r="F63" s="77"/>
      <c r="G63" s="126"/>
      <c r="H63" s="78"/>
      <c r="I63" s="126"/>
    </row>
    <row r="64" spans="2:16" ht="25.5" customHeight="1" x14ac:dyDescent="0.2"/>
    <row r="66" spans="2:11" ht="28.5" customHeight="1" x14ac:dyDescent="0.25">
      <c r="B66" s="92" t="str">
        <f>IF('Limestone Plant (LP-3)'!$E$4&gt;3,"CRUSHER PLANT","")</f>
        <v/>
      </c>
      <c r="C66" s="84" t="str">
        <f>IF('Limestone Plant (LP-3)'!$E$4&gt;3,"Site 4","")</f>
        <v/>
      </c>
      <c r="E66" s="213" t="str">
        <f>IF('Limestone Plant (LP-3)'!$E$4&gt;3,"Emission Point #","")</f>
        <v/>
      </c>
      <c r="F66" s="213" t="str">
        <f>IF('Limestone Plant (LP-3)'!$E$4&gt;3,"Emission    Unit #","")</f>
        <v/>
      </c>
      <c r="G66" s="213" t="str">
        <f>IF('Limestone Plant (LP-3)'!$E$4&gt;3,"Processes","")</f>
        <v/>
      </c>
      <c r="H66" s="220" t="str">
        <f>IF('Limestone Plant (LP-3)'!$E$4&gt;3,"Combined Maximum Hourly Design Rate for all Like Processes (tons/hr)","")</f>
        <v/>
      </c>
      <c r="I66" s="213" t="str">
        <f>IF('Limestone Plant (LP-3)'!$E$4&gt;3,('Facility Information'!G5&amp;" Annual Throughput (tons)"),"")</f>
        <v/>
      </c>
    </row>
    <row r="67" spans="2:11" x14ac:dyDescent="0.2">
      <c r="B67" s="94" t="str">
        <f>IF('Limestone Plant (LP-3)'!$E$4&gt;3,"Site Name:","")</f>
        <v/>
      </c>
      <c r="C67" s="76"/>
      <c r="D67" s="55"/>
      <c r="E67" s="166" t="str">
        <f>IF(G67="","","LP-3 EP-1")</f>
        <v/>
      </c>
      <c r="F67" s="166" t="str">
        <f>IF(G67="","",IF(G67="primary crusher","LP-3 EU-1",IF(G67="screening","LP-3 EU-2",IF(G67="secondary crusher","LP-3 EU-3",IF(G67="tertiary crusher","LP-3 EU-4",IF(G67="fines crushing","LP-3 EU-5",IF(G67="fines screening","LP-3 EU-6",IF(G67="wet drilling: unfragmented stone","LP-3 EU-7",IF(G67="conveyor transfer points","LP-3 EU-8")))))))))</f>
        <v/>
      </c>
      <c r="G67" s="98"/>
      <c r="H67" s="71"/>
      <c r="I67" s="184"/>
      <c r="J67" s="81">
        <f t="shared" ref="J67:J74" si="20">IF($C$71="no",I67,0)</f>
        <v>0</v>
      </c>
      <c r="K67" s="81">
        <f t="shared" ref="K67:K74" si="21">IF($C$71="yes",I67,0)</f>
        <v>0</v>
      </c>
    </row>
    <row r="68" spans="2:11" ht="14.25" customHeight="1" x14ac:dyDescent="0.2">
      <c r="B68" s="94" t="str">
        <f>IF('Limestone Plant (LP-3)'!$E$4&gt;3,"County:","")</f>
        <v/>
      </c>
      <c r="C68" s="76"/>
      <c r="D68" s="55"/>
      <c r="E68" s="166" t="str">
        <f t="shared" ref="E68:E73" si="22">IF(G68="","","LP-3 EP-1")</f>
        <v/>
      </c>
      <c r="F68" s="166" t="str">
        <f t="shared" ref="F68:F74" si="23">IF(G68="","",IF(G68="primary crusher","LP-3 EU-1",IF(G68="screening","LP-3 EU-2",IF(G68="secondary crusher","LP-3 EU-3",IF(G68="tertiary crusher","LP-3 EU-4",IF(G68="fines crushing","LP-3 EU-5",IF(G68="fines screening","LP-3 EU-6",IF(G68="wet drilling: unfragmented stone","LP-3 EU-7",IF(G68="conveyor transfer points","LP-3 EU-8")))))))))</f>
        <v/>
      </c>
      <c r="G68" s="98"/>
      <c r="H68" s="71"/>
      <c r="I68" s="184"/>
      <c r="J68" s="81">
        <f t="shared" si="20"/>
        <v>0</v>
      </c>
      <c r="K68" s="81">
        <f t="shared" si="21"/>
        <v>0</v>
      </c>
    </row>
    <row r="69" spans="2:11" ht="14.25" customHeight="1" x14ac:dyDescent="0.2">
      <c r="B69" s="94" t="str">
        <f>IF('Limestone Plant (LP-3)'!$E$4&gt;3,"Crushing Period (Dates):","")</f>
        <v/>
      </c>
      <c r="C69" s="73"/>
      <c r="D69" s="55"/>
      <c r="E69" s="166" t="str">
        <f t="shared" si="22"/>
        <v/>
      </c>
      <c r="F69" s="166" t="str">
        <f t="shared" si="23"/>
        <v/>
      </c>
      <c r="G69" s="98"/>
      <c r="H69" s="71"/>
      <c r="I69" s="184"/>
      <c r="J69" s="81">
        <f t="shared" si="20"/>
        <v>0</v>
      </c>
      <c r="K69" s="81">
        <f t="shared" si="21"/>
        <v>0</v>
      </c>
    </row>
    <row r="70" spans="2:11" ht="14.25" customHeight="1" x14ac:dyDescent="0.2">
      <c r="B70" s="281" t="str">
        <f>IF('Limestone Plant (LP-3)'!$E$4&gt;3,"Controlled with Dust Suppressant or","")</f>
        <v/>
      </c>
      <c r="D70" s="55"/>
      <c r="E70" s="166" t="str">
        <f t="shared" si="22"/>
        <v/>
      </c>
      <c r="F70" s="166" t="str">
        <f t="shared" si="23"/>
        <v/>
      </c>
      <c r="G70" s="98"/>
      <c r="H70" s="71"/>
      <c r="I70" s="184"/>
      <c r="J70" s="81">
        <f t="shared" si="20"/>
        <v>0</v>
      </c>
      <c r="K70" s="81">
        <f t="shared" si="21"/>
        <v>0</v>
      </c>
    </row>
    <row r="71" spans="2:11" ht="14.25" customHeight="1" x14ac:dyDescent="0.2">
      <c r="B71" s="282" t="str">
        <f>IF('Limestone Plant (LP-3)'!$E$4&gt;3,"Material Being Processed has","")</f>
        <v/>
      </c>
      <c r="C71" s="280"/>
      <c r="D71" s="55"/>
      <c r="E71" s="166" t="str">
        <f t="shared" si="22"/>
        <v/>
      </c>
      <c r="F71" s="166" t="str">
        <f t="shared" si="23"/>
        <v/>
      </c>
      <c r="G71" s="98"/>
      <c r="H71" s="71"/>
      <c r="I71" s="184"/>
      <c r="J71" s="81">
        <f t="shared" si="20"/>
        <v>0</v>
      </c>
      <c r="K71" s="81">
        <f t="shared" si="21"/>
        <v>0</v>
      </c>
    </row>
    <row r="72" spans="2:11" ht="14.25" customHeight="1" x14ac:dyDescent="0.2">
      <c r="B72" s="284" t="str">
        <f>IF('Limestone Plant (LP-3)'!$E$4&gt;3,"Moisture Content &gt; 1.5%?","")</f>
        <v/>
      </c>
      <c r="D72" s="55"/>
      <c r="E72" s="166" t="str">
        <f t="shared" si="22"/>
        <v/>
      </c>
      <c r="F72" s="166" t="str">
        <f t="shared" si="23"/>
        <v/>
      </c>
      <c r="G72" s="98"/>
      <c r="H72" s="71"/>
      <c r="I72" s="184"/>
      <c r="J72" s="81">
        <f t="shared" si="20"/>
        <v>0</v>
      </c>
      <c r="K72" s="81">
        <f t="shared" si="21"/>
        <v>0</v>
      </c>
    </row>
    <row r="73" spans="2:11" ht="14.25" customHeight="1" x14ac:dyDescent="0.2">
      <c r="B73" s="55"/>
      <c r="C73" s="55"/>
      <c r="D73" s="55"/>
      <c r="E73" s="166" t="str">
        <f t="shared" si="22"/>
        <v/>
      </c>
      <c r="F73" s="166" t="str">
        <f t="shared" si="23"/>
        <v/>
      </c>
      <c r="G73" s="98"/>
      <c r="H73" s="71"/>
      <c r="I73" s="184"/>
      <c r="J73" s="81">
        <f t="shared" si="20"/>
        <v>0</v>
      </c>
      <c r="K73" s="81">
        <f t="shared" si="21"/>
        <v>0</v>
      </c>
    </row>
    <row r="74" spans="2:11" ht="14.25" customHeight="1" x14ac:dyDescent="0.2">
      <c r="B74" s="55"/>
      <c r="D74" s="55"/>
      <c r="E74" s="166" t="str">
        <f>IF(G74="","","LP-3 EP-1")</f>
        <v/>
      </c>
      <c r="F74" s="166" t="str">
        <f t="shared" si="23"/>
        <v/>
      </c>
      <c r="G74" s="98"/>
      <c r="H74" s="71"/>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(LP-3)'!$E$4&gt;3,"Stock Pile Area","")</f>
        <v/>
      </c>
      <c r="F76" s="88"/>
      <c r="G76" s="89"/>
    </row>
    <row r="77" spans="2:11" ht="14.25" customHeight="1" x14ac:dyDescent="0.2">
      <c r="B77" s="55"/>
      <c r="D77" s="90"/>
      <c r="F77" s="60" t="str">
        <f>IF('Limestone Plant (LP-3)'!$E$4&gt;3,"Emission Unit #","")</f>
        <v/>
      </c>
      <c r="G77" s="95" t="str">
        <f>IF('Limestone Plant (LP-3)'!$E$4&gt;3,"Maximum Storage Area (acres)","")</f>
        <v/>
      </c>
      <c r="H77" s="96" t="str">
        <f>IF('Limestone Plant (LP-3)'!$E$4&gt;3,"Actual Storage Area (acres)","")</f>
        <v/>
      </c>
      <c r="I77" s="95" t="str">
        <f>IF('Limestone Plant (LP-3)'!$E$4&gt;3,"Actual Days in Existence (days)","")</f>
        <v/>
      </c>
    </row>
    <row r="78" spans="2:11" ht="14.25" customHeight="1" x14ac:dyDescent="0.2">
      <c r="B78" s="55"/>
      <c r="F78" s="77"/>
      <c r="G78" s="126"/>
      <c r="H78" s="78"/>
      <c r="I78" s="126"/>
    </row>
    <row r="79" spans="2:11" ht="27.75" customHeight="1" x14ac:dyDescent="0.2"/>
    <row r="81" spans="2:11" ht="28.5" customHeight="1" x14ac:dyDescent="0.25">
      <c r="B81" s="92" t="str">
        <f>IF('Limestone Plant (LP-3)'!$E$4&gt;4,"CRUSHER PLANT","")</f>
        <v/>
      </c>
      <c r="C81" s="84" t="str">
        <f>IF('Limestone Plant (LP-3)'!$E$4&gt;4,"Site 5","")</f>
        <v/>
      </c>
      <c r="E81" s="213" t="str">
        <f>IF('Limestone Plant (LP-3)'!$E$4&gt;4,"Emission Point #","")</f>
        <v/>
      </c>
      <c r="F81" s="213" t="str">
        <f>IF('Limestone Plant (LP-3)'!$E$4&gt;4,"Emission   Unit #","")</f>
        <v/>
      </c>
      <c r="G81" s="213" t="str">
        <f>IF('Limestone Plant (LP-3)'!$E$4&gt;4,"Processes","")</f>
        <v/>
      </c>
      <c r="H81" s="220" t="str">
        <f>IF('Limestone Plant (LP-3)'!$E$4&gt;4,"Combined Maximum Hourly Design Rate for all Like Processes (tons/hr)","")</f>
        <v/>
      </c>
      <c r="I81" s="213" t="str">
        <f>IF('Limestone Plant (LP-3)'!$E$4&gt;4,('Facility Information'!G5&amp;" Annual Throughput (tons)"),"")</f>
        <v/>
      </c>
    </row>
    <row r="82" spans="2:11" x14ac:dyDescent="0.2">
      <c r="B82" s="94" t="str">
        <f>IF('Limestone Plant (LP-3)'!$E$4&gt;4,"Site Name:","")</f>
        <v/>
      </c>
      <c r="C82" s="76"/>
      <c r="D82" s="55"/>
      <c r="E82" s="166" t="str">
        <f>IF(G82="","","LP-3 EP-1")</f>
        <v/>
      </c>
      <c r="F82" s="166" t="str">
        <f>IF(G82="","",IF(G82="primary crusher","LP-3 EU-1",IF(G82="screening","LP-3 EU-2",IF(G82="secondary crusher","LP-3 EU-3",IF(G82="tertiary crusher","LP-3 EU-4",IF(G82="fines crushing","LP-3 EU-5",IF(G82="fines screening","LP-3 EU-6",IF(G82="wet drilling: unfragmented stone","LP-3 EU-7",IF(G82="conveyor transfer points","LP-3 EU-8")))))))))</f>
        <v/>
      </c>
      <c r="G82" s="98"/>
      <c r="H82" s="71"/>
      <c r="I82" s="184"/>
      <c r="J82" s="81">
        <f t="shared" ref="J82:J89" si="24">IF($C$86="no",I82,0)</f>
        <v>0</v>
      </c>
      <c r="K82" s="81">
        <f t="shared" ref="K82:K89" si="25">IF($C$86="yes",I82,0)</f>
        <v>0</v>
      </c>
    </row>
    <row r="83" spans="2:11" ht="14.25" customHeight="1" x14ac:dyDescent="0.2">
      <c r="B83" s="94" t="str">
        <f>IF('Limestone Plant (LP-3)'!$E$4&gt;4,"County:","")</f>
        <v/>
      </c>
      <c r="C83" s="76"/>
      <c r="D83" s="55"/>
      <c r="E83" s="166" t="str">
        <f t="shared" ref="E83:E89" si="26">IF(G83="","","LP-3 EP-1")</f>
        <v/>
      </c>
      <c r="F83" s="166" t="str">
        <f t="shared" ref="F83:F89" si="27">IF(G83="","",IF(G83="primary crusher","LP-3 EU-1",IF(G83="screening","LP-3 EU-2",IF(G83="secondary crusher","LP-3 EU-3",IF(G83="tertiary crusher","LP-3 EU-4",IF(G83="fines crushing","LP-3 EU-5",IF(G83="fines screening","LP-3 EU-6",IF(G83="wet drilling: unfragmented stone","LP-3 EU-7",IF(G83="conveyor transfer points","LP-3 EU-8")))))))))</f>
        <v/>
      </c>
      <c r="G83" s="98"/>
      <c r="H83" s="71"/>
      <c r="I83" s="184"/>
      <c r="J83" s="81">
        <f t="shared" si="24"/>
        <v>0</v>
      </c>
      <c r="K83" s="81">
        <f t="shared" si="25"/>
        <v>0</v>
      </c>
    </row>
    <row r="84" spans="2:11" ht="14.25" customHeight="1" x14ac:dyDescent="0.2">
      <c r="B84" s="94" t="str">
        <f>IF('Limestone Plant (LP-3)'!$E$4&gt;4,"Crushing Period (Dates):","")</f>
        <v/>
      </c>
      <c r="C84" s="73"/>
      <c r="D84" s="55"/>
      <c r="E84" s="166" t="str">
        <f t="shared" si="26"/>
        <v/>
      </c>
      <c r="F84" s="166" t="str">
        <f t="shared" si="27"/>
        <v/>
      </c>
      <c r="G84" s="98"/>
      <c r="H84" s="71"/>
      <c r="I84" s="184"/>
      <c r="J84" s="81">
        <f t="shared" si="24"/>
        <v>0</v>
      </c>
      <c r="K84" s="81">
        <f t="shared" si="25"/>
        <v>0</v>
      </c>
    </row>
    <row r="85" spans="2:11" ht="14.25" customHeight="1" x14ac:dyDescent="0.2">
      <c r="B85" s="281" t="str">
        <f>IF('Limestone Plant (LP-3)'!$E$4&gt;4,"Controlled with Dust Suppressant or","")</f>
        <v/>
      </c>
      <c r="D85" s="55"/>
      <c r="E85" s="166" t="str">
        <f t="shared" si="26"/>
        <v/>
      </c>
      <c r="F85" s="166" t="str">
        <f t="shared" si="27"/>
        <v/>
      </c>
      <c r="G85" s="98"/>
      <c r="H85" s="71"/>
      <c r="I85" s="184"/>
      <c r="J85" s="81">
        <f t="shared" si="24"/>
        <v>0</v>
      </c>
      <c r="K85" s="81">
        <f t="shared" si="25"/>
        <v>0</v>
      </c>
    </row>
    <row r="86" spans="2:11" ht="14.25" customHeight="1" x14ac:dyDescent="0.2">
      <c r="B86" s="282" t="str">
        <f>IF('Limestone Plant (LP-3)'!$E$4&gt;4,"Material Being Processed has","")</f>
        <v/>
      </c>
      <c r="C86" s="280"/>
      <c r="D86" s="55"/>
      <c r="E86" s="166" t="str">
        <f t="shared" si="26"/>
        <v/>
      </c>
      <c r="F86" s="166" t="str">
        <f t="shared" si="27"/>
        <v/>
      </c>
      <c r="G86" s="98"/>
      <c r="H86" s="71"/>
      <c r="I86" s="184"/>
      <c r="J86" s="81">
        <f t="shared" si="24"/>
        <v>0</v>
      </c>
      <c r="K86" s="81">
        <f t="shared" si="25"/>
        <v>0</v>
      </c>
    </row>
    <row r="87" spans="2:11" ht="14.25" customHeight="1" x14ac:dyDescent="0.2">
      <c r="B87" s="284" t="str">
        <f>IF('Limestone Plant (LP-3)'!$E$4&gt;4,"Moisture Content &gt; 1.5%?","")</f>
        <v/>
      </c>
      <c r="D87" s="55"/>
      <c r="E87" s="166" t="str">
        <f t="shared" si="26"/>
        <v/>
      </c>
      <c r="F87" s="166" t="str">
        <f t="shared" si="27"/>
        <v/>
      </c>
      <c r="G87" s="98"/>
      <c r="H87" s="71"/>
      <c r="I87" s="184"/>
      <c r="J87" s="81">
        <f t="shared" si="24"/>
        <v>0</v>
      </c>
      <c r="K87" s="81">
        <f t="shared" si="25"/>
        <v>0</v>
      </c>
    </row>
    <row r="88" spans="2:11" ht="14.25" customHeight="1" x14ac:dyDescent="0.2">
      <c r="B88" s="55"/>
      <c r="C88" s="55"/>
      <c r="D88" s="55"/>
      <c r="E88" s="166" t="str">
        <f t="shared" si="26"/>
        <v/>
      </c>
      <c r="F88" s="166" t="str">
        <f t="shared" si="27"/>
        <v/>
      </c>
      <c r="G88" s="98"/>
      <c r="H88" s="71"/>
      <c r="I88" s="184"/>
      <c r="J88" s="81">
        <f t="shared" si="24"/>
        <v>0</v>
      </c>
      <c r="K88" s="81">
        <f t="shared" si="25"/>
        <v>0</v>
      </c>
    </row>
    <row r="89" spans="2:11" ht="14.25" customHeight="1" x14ac:dyDescent="0.2">
      <c r="B89" s="55"/>
      <c r="C89" s="55"/>
      <c r="D89" s="55"/>
      <c r="E89" s="166" t="str">
        <f t="shared" si="26"/>
        <v/>
      </c>
      <c r="F89" s="166" t="str">
        <f t="shared" si="27"/>
        <v/>
      </c>
      <c r="G89" s="98"/>
      <c r="H89" s="71"/>
      <c r="I89" s="184"/>
      <c r="J89" s="81">
        <f t="shared" si="24"/>
        <v>0</v>
      </c>
      <c r="K89" s="81">
        <f t="shared" si="25"/>
        <v>0</v>
      </c>
    </row>
    <row r="90" spans="2:11" ht="14.25" customHeight="1" x14ac:dyDescent="0.2">
      <c r="B90" s="55"/>
      <c r="D90" s="55"/>
      <c r="E90" s="59"/>
      <c r="F90" s="59"/>
    </row>
    <row r="91" spans="2:11" ht="14.25" customHeight="1" x14ac:dyDescent="0.2">
      <c r="B91" s="55"/>
      <c r="E91" s="88" t="str">
        <f>IF('Limestone Plant (LP-3)'!$E$4&gt;4,"Stock Pile Area","")</f>
        <v/>
      </c>
      <c r="F91" s="88"/>
      <c r="G91" s="89"/>
    </row>
    <row r="92" spans="2:11" ht="14.25" customHeight="1" x14ac:dyDescent="0.2">
      <c r="B92" s="55"/>
      <c r="D92" s="90"/>
      <c r="F92" s="60" t="str">
        <f>IF('Limestone Plant (LP-3)'!$E$4&gt;4,"Emission Unit #","")</f>
        <v/>
      </c>
      <c r="G92" s="95" t="str">
        <f>IF('Limestone Plant (LP-3)'!$E$4&gt;4,"Maximum Storage Area (acres)","")</f>
        <v/>
      </c>
      <c r="H92" s="96" t="str">
        <f>IF('Limestone Plant (LP-3)'!$E$4&gt;4,"Actual Storage Area (acres)","")</f>
        <v/>
      </c>
      <c r="I92" s="95" t="str">
        <f>IF('Limestone Plant (LP-3)'!$E$4&gt;4,"Actual Days in Existence (days)","")</f>
        <v/>
      </c>
    </row>
    <row r="93" spans="2:11" ht="14.25" customHeight="1" x14ac:dyDescent="0.2">
      <c r="B93" s="55"/>
      <c r="F93" s="72"/>
      <c r="G93" s="126"/>
      <c r="H93" s="78"/>
      <c r="I93" s="126"/>
    </row>
    <row r="95" spans="2:11" ht="27" customHeight="1" x14ac:dyDescent="0.2"/>
    <row r="96" spans="2:11" ht="29.25" customHeight="1" x14ac:dyDescent="0.25">
      <c r="B96" s="92" t="str">
        <f>IF('Limestone Plant (LP-3)'!$E$4&gt;5,"CRUSHER PLANT","")</f>
        <v/>
      </c>
      <c r="C96" s="84" t="str">
        <f>IF('Limestone Plant (LP-3)'!$E$4&gt;5,"Site 6","")</f>
        <v/>
      </c>
      <c r="E96" s="213" t="str">
        <f>IF('Limestone Plant (LP-3)'!$E$4&gt;5,"Emission Point #","")</f>
        <v/>
      </c>
      <c r="F96" s="213" t="str">
        <f>IF('Limestone Plant (LP-3)'!$E$4&gt;5,"Emission    Unit #","")</f>
        <v/>
      </c>
      <c r="G96" s="213" t="str">
        <f>IF('Limestone Plant (LP-3)'!$E$4&gt;5,"Processes","")</f>
        <v/>
      </c>
      <c r="H96" s="220" t="str">
        <f>IF('Limestone Plant (LP-3)'!$E$4&gt;5,"Combined Maximum Hourly Design Rate for all Like Processes (tons/hr)","")</f>
        <v/>
      </c>
      <c r="I96" s="213" t="str">
        <f>IF('Limestone Plant (LP-3)'!$E$4&gt;5,('Facility Information'!G5&amp;" Annual Throughput (tons)"),"")</f>
        <v/>
      </c>
    </row>
    <row r="97" spans="2:11" x14ac:dyDescent="0.2">
      <c r="B97" s="94" t="str">
        <f>IF('Limestone Plant (LP-3)'!$E$4&gt;5,"Site Name:","")</f>
        <v/>
      </c>
      <c r="C97" s="76"/>
      <c r="D97" s="55"/>
      <c r="E97" s="166" t="str">
        <f>IF(G97="","","LP-3 EP-1")</f>
        <v/>
      </c>
      <c r="F97" s="166" t="str">
        <f>IF(G97="","",IF(G97="primary crusher","LP-3 EU-1",IF(G97="screening","LP-3 EU-2",IF(G97="secondary crusher","LP-3 EU-3",IF(G97="tertiary crusher","LP-3 EU-4",IF(G97="fines crushing","LP-3 EU-5",IF(G97="fines screening","LP-3 EU-6",IF(G97="wet drilling: unfragmented stone","LP-3 EU-7",IF(G97="conveyor transfer points","LP-3 EU-8")))))))))</f>
        <v/>
      </c>
      <c r="G97" s="98"/>
      <c r="H97" s="71"/>
      <c r="I97" s="184"/>
      <c r="J97" s="81">
        <f t="shared" ref="J97:J104" si="28">IF($C$101="no",I97,0)</f>
        <v>0</v>
      </c>
      <c r="K97" s="81">
        <f t="shared" ref="K97:K104" si="29">IF($C$101="yes",I97,0)</f>
        <v>0</v>
      </c>
    </row>
    <row r="98" spans="2:11" ht="14.25" customHeight="1" x14ac:dyDescent="0.2">
      <c r="B98" s="94" t="str">
        <f>IF('Limestone Plant (LP-3)'!$E$4&gt;5,"County:","")</f>
        <v/>
      </c>
      <c r="C98" s="76"/>
      <c r="D98" s="55"/>
      <c r="E98" s="166" t="str">
        <f t="shared" ref="E98:E104" si="30">IF(G98="","","LP-3 EP-1")</f>
        <v/>
      </c>
      <c r="F98" s="166" t="str">
        <f t="shared" ref="F98:F104" si="31">IF(G98="","",IF(G98="primary crusher","LP-3 EU-1",IF(G98="screening","LP-3 EU-2",IF(G98="secondary crusher","LP-3 EU-3",IF(G98="tertiary crusher","LP-3 EU-4",IF(G98="fines crushing","LP-3 EU-5",IF(G98="fines screening","LP-3 EU-6",IF(G98="wet drilling: unfragmented stone","LP-3 EU-7",IF(G98="conveyor transfer points","LP-3 EU-8")))))))))</f>
        <v/>
      </c>
      <c r="G98" s="98"/>
      <c r="H98" s="71"/>
      <c r="I98" s="184"/>
      <c r="J98" s="81">
        <f t="shared" si="28"/>
        <v>0</v>
      </c>
      <c r="K98" s="81">
        <f t="shared" si="29"/>
        <v>0</v>
      </c>
    </row>
    <row r="99" spans="2:11" ht="14.25" customHeight="1" x14ac:dyDescent="0.2">
      <c r="B99" s="94" t="str">
        <f>IF('Limestone Plant (LP-3)'!$E$4&gt;5,"Crushing Period (Dates):","")</f>
        <v/>
      </c>
      <c r="C99" s="73"/>
      <c r="D99" s="55"/>
      <c r="E99" s="166" t="str">
        <f t="shared" si="30"/>
        <v/>
      </c>
      <c r="F99" s="166" t="str">
        <f t="shared" si="31"/>
        <v/>
      </c>
      <c r="G99" s="98"/>
      <c r="H99" s="71"/>
      <c r="I99" s="184"/>
      <c r="J99" s="81">
        <f t="shared" si="28"/>
        <v>0</v>
      </c>
      <c r="K99" s="81">
        <f t="shared" si="29"/>
        <v>0</v>
      </c>
    </row>
    <row r="100" spans="2:11" ht="14.25" customHeight="1" x14ac:dyDescent="0.2">
      <c r="B100" s="281" t="str">
        <f>IF('Limestone Plant (LP-3)'!$E$4&gt;5,"Controlled with Dust Suppressant or","")</f>
        <v/>
      </c>
      <c r="D100" s="55"/>
      <c r="E100" s="166" t="str">
        <f t="shared" si="30"/>
        <v/>
      </c>
      <c r="F100" s="166" t="str">
        <f t="shared" si="31"/>
        <v/>
      </c>
      <c r="G100" s="98"/>
      <c r="H100" s="71"/>
      <c r="I100" s="184"/>
      <c r="J100" s="81">
        <f t="shared" si="28"/>
        <v>0</v>
      </c>
      <c r="K100" s="81">
        <f t="shared" si="29"/>
        <v>0</v>
      </c>
    </row>
    <row r="101" spans="2:11" ht="14.25" customHeight="1" x14ac:dyDescent="0.2">
      <c r="B101" s="282" t="str">
        <f>IF('Limestone Plant (LP-3)'!$E$4&gt;5,"Material Being Processed has","")</f>
        <v/>
      </c>
      <c r="C101" s="280"/>
      <c r="D101" s="55"/>
      <c r="E101" s="166" t="str">
        <f t="shared" si="30"/>
        <v/>
      </c>
      <c r="F101" s="166" t="str">
        <f t="shared" si="31"/>
        <v/>
      </c>
      <c r="G101" s="98"/>
      <c r="H101" s="71"/>
      <c r="I101" s="184"/>
      <c r="J101" s="81">
        <f t="shared" si="28"/>
        <v>0</v>
      </c>
      <c r="K101" s="81">
        <f t="shared" si="29"/>
        <v>0</v>
      </c>
    </row>
    <row r="102" spans="2:11" ht="14.25" customHeight="1" x14ac:dyDescent="0.2">
      <c r="B102" s="284" t="str">
        <f>IF('Limestone Plant (LP-3)'!$E$4&gt;5,"Moisture Content &gt; 1.5%?","")</f>
        <v/>
      </c>
      <c r="C102" s="55"/>
      <c r="D102" s="55"/>
      <c r="E102" s="166" t="str">
        <f t="shared" si="30"/>
        <v/>
      </c>
      <c r="F102" s="166" t="str">
        <f t="shared" si="31"/>
        <v/>
      </c>
      <c r="G102" s="98"/>
      <c r="H102" s="71"/>
      <c r="I102" s="184"/>
      <c r="J102" s="81">
        <f t="shared" si="28"/>
        <v>0</v>
      </c>
      <c r="K102" s="81">
        <f t="shared" si="29"/>
        <v>0</v>
      </c>
    </row>
    <row r="103" spans="2:11" ht="14.25" customHeight="1" x14ac:dyDescent="0.2">
      <c r="B103" s="55"/>
      <c r="C103" s="55"/>
      <c r="D103" s="55"/>
      <c r="E103" s="166" t="str">
        <f t="shared" si="30"/>
        <v/>
      </c>
      <c r="F103" s="166" t="str">
        <f t="shared" si="31"/>
        <v/>
      </c>
      <c r="G103" s="98"/>
      <c r="H103" s="71"/>
      <c r="I103" s="184"/>
      <c r="J103" s="81">
        <f t="shared" si="28"/>
        <v>0</v>
      </c>
      <c r="K103" s="81">
        <f t="shared" si="29"/>
        <v>0</v>
      </c>
    </row>
    <row r="104" spans="2:11" ht="14.25" customHeight="1" x14ac:dyDescent="0.2">
      <c r="B104" s="55"/>
      <c r="D104" s="55"/>
      <c r="E104" s="166" t="str">
        <f t="shared" si="30"/>
        <v/>
      </c>
      <c r="F104" s="166" t="str">
        <f t="shared" si="31"/>
        <v/>
      </c>
      <c r="G104" s="98"/>
      <c r="H104" s="71"/>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(LP-3)'!$E$4&gt;5,"Stock Pile Area","")</f>
        <v/>
      </c>
      <c r="F106" s="88"/>
      <c r="G106" s="89"/>
    </row>
    <row r="107" spans="2:11" ht="14.25" customHeight="1" x14ac:dyDescent="0.2">
      <c r="B107" s="55"/>
      <c r="D107" s="90"/>
      <c r="F107" s="60" t="str">
        <f>IF('Limestone Plant (LP-3)'!$E$4&gt;5,"Emission Unit #","")</f>
        <v/>
      </c>
      <c r="G107" s="95" t="str">
        <f>IF('Limestone Plant (LP-3)'!$E$4&gt;5,"Maximum Storage Area (acres)","")</f>
        <v/>
      </c>
      <c r="H107" s="96" t="str">
        <f>IF('Limestone Plant (LP-3)'!$E$4&gt;5,"Actual Storage Area (acres)","")</f>
        <v/>
      </c>
      <c r="I107" s="95" t="str">
        <f>IF('Limestone Plant (LP-3)'!$E$4&gt;5,"Actual Days in Existence (days)","")</f>
        <v/>
      </c>
    </row>
    <row r="108" spans="2:11" ht="14.25" customHeight="1" x14ac:dyDescent="0.2">
      <c r="B108" s="55"/>
      <c r="F108" s="77"/>
      <c r="G108" s="126"/>
      <c r="H108" s="78"/>
      <c r="I108" s="126"/>
    </row>
    <row r="109" spans="2:11" ht="27" customHeight="1" x14ac:dyDescent="0.2"/>
    <row r="111" spans="2:11" ht="28.5" customHeight="1" x14ac:dyDescent="0.25">
      <c r="B111" s="92" t="str">
        <f>IF('Limestone Plant (LP-3)'!$E$4&gt;6,"CRUSHER PLANT","")</f>
        <v/>
      </c>
      <c r="C111" s="84" t="str">
        <f>IF('Limestone Plant (LP-3)'!$E$4&gt;6,"Site 7","")</f>
        <v/>
      </c>
      <c r="E111" s="213" t="str">
        <f>IF('Limestone Plant (LP-3)'!$E$4&gt;6,"Emission Point #","")</f>
        <v/>
      </c>
      <c r="F111" s="213" t="str">
        <f>IF('Limestone Plant (LP-3)'!$E$4&gt;6,"Emission    Unit #","")</f>
        <v/>
      </c>
      <c r="G111" s="213" t="str">
        <f>IF('Limestone Plant (LP-3)'!$E$4&gt;6,"Processes","")</f>
        <v/>
      </c>
      <c r="H111" s="220" t="str">
        <f>IF('Limestone Plant (LP-3)'!$E$4&gt;6,"Combined Maximum Hourly Design Rate for all Like Processes (tons/hr)","")</f>
        <v/>
      </c>
      <c r="I111" s="213" t="str">
        <f>IF('Limestone Plant (LP-3)'!$E$4&gt;6,('Facility Information'!G5&amp;" Annual Throughput (tons)"),"")</f>
        <v/>
      </c>
    </row>
    <row r="112" spans="2:11" x14ac:dyDescent="0.2">
      <c r="B112" s="94" t="str">
        <f>IF('Limestone Plant (LP-3)'!$E$4&gt;6,"Site Name:","")</f>
        <v/>
      </c>
      <c r="C112" s="76"/>
      <c r="D112" s="55"/>
      <c r="E112" s="166" t="str">
        <f>IF(G112="","","LP-3 EP-1")</f>
        <v/>
      </c>
      <c r="F112" s="166" t="str">
        <f>IF(G112="","",IF(G112="primary crusher","LP-3 EU-1",IF(G112="screening","LP-3 EU-2",IF(G112="secondary crusher","LP-3 EU-3",IF(G112="tertiary crusher","LP-3 EU-4",IF(G112="fines crushing","LP-3 EU-5",IF(G112="fines screening","LP-3 EU-6",IF(G112="wet drilling: unfragmented stone","LP-3 EU-7",IF(G112="conveyor transfer points","LP-3 EU-8")))))))))</f>
        <v/>
      </c>
      <c r="G112" s="98"/>
      <c r="H112" s="71"/>
      <c r="I112" s="184"/>
      <c r="J112" s="81">
        <f t="shared" ref="J112:J119" si="32">IF($C$116="no",I112,0)</f>
        <v>0</v>
      </c>
      <c r="K112" s="81">
        <f t="shared" ref="K112:K119" si="33">IF($C$116="yes",I112,0)</f>
        <v>0</v>
      </c>
    </row>
    <row r="113" spans="2:11" ht="14.25" customHeight="1" x14ac:dyDescent="0.2">
      <c r="B113" s="94" t="str">
        <f>IF('Limestone Plant (LP-3)'!$E$4&gt;6,"County:","")</f>
        <v/>
      </c>
      <c r="C113" s="76"/>
      <c r="D113" s="55"/>
      <c r="E113" s="166" t="str">
        <f t="shared" ref="E113:E119" si="34">IF(G113="","","LP-3 EP-1")</f>
        <v/>
      </c>
      <c r="F113" s="166" t="str">
        <f t="shared" ref="F113:F119" si="35">IF(G113="","",IF(G113="primary crusher","LP-3 EU-1",IF(G113="screening","LP-3 EU-2",IF(G113="secondary crusher","LP-3 EU-3",IF(G113="tertiary crusher","LP-3 EU-4",IF(G113="fines crushing","LP-3 EU-5",IF(G113="fines screening","LP-3 EU-6",IF(G113="wet drilling: unfragmented stone","LP-3 EU-7",IF(G113="conveyor transfer points","LP-3 EU-8")))))))))</f>
        <v/>
      </c>
      <c r="G113" s="98"/>
      <c r="H113" s="71"/>
      <c r="I113" s="184"/>
      <c r="J113" s="81">
        <f t="shared" si="32"/>
        <v>0</v>
      </c>
      <c r="K113" s="81">
        <f t="shared" si="33"/>
        <v>0</v>
      </c>
    </row>
    <row r="114" spans="2:11" ht="14.25" customHeight="1" x14ac:dyDescent="0.2">
      <c r="B114" s="94" t="str">
        <f>IF('Limestone Plant (LP-3)'!$E$4&gt;6,"Crushing Period (Dates):","")</f>
        <v/>
      </c>
      <c r="C114" s="73"/>
      <c r="D114" s="55"/>
      <c r="E114" s="166" t="str">
        <f t="shared" si="34"/>
        <v/>
      </c>
      <c r="F114" s="166" t="str">
        <f t="shared" si="35"/>
        <v/>
      </c>
      <c r="G114" s="98"/>
      <c r="H114" s="71"/>
      <c r="I114" s="184"/>
      <c r="J114" s="81">
        <f t="shared" si="32"/>
        <v>0</v>
      </c>
      <c r="K114" s="81">
        <f t="shared" si="33"/>
        <v>0</v>
      </c>
    </row>
    <row r="115" spans="2:11" ht="14.25" customHeight="1" x14ac:dyDescent="0.2">
      <c r="B115" s="281" t="str">
        <f>IF('Limestone Plant (LP-3)'!$E$4&gt;6,"Controlled with Dust Suppressant or","" )</f>
        <v/>
      </c>
      <c r="D115" s="55"/>
      <c r="E115" s="166" t="str">
        <f t="shared" si="34"/>
        <v/>
      </c>
      <c r="F115" s="166" t="str">
        <f t="shared" si="35"/>
        <v/>
      </c>
      <c r="G115" s="98"/>
      <c r="H115" s="71"/>
      <c r="I115" s="184"/>
      <c r="J115" s="81">
        <f t="shared" si="32"/>
        <v>0</v>
      </c>
      <c r="K115" s="81">
        <f t="shared" si="33"/>
        <v>0</v>
      </c>
    </row>
    <row r="116" spans="2:11" ht="14.25" customHeight="1" x14ac:dyDescent="0.2">
      <c r="B116" s="282" t="str">
        <f>IF('Limestone Plant (LP-3)'!$E$4&gt;6,"Material Being Processed has","")</f>
        <v/>
      </c>
      <c r="C116" s="280"/>
      <c r="D116" s="55"/>
      <c r="E116" s="166" t="str">
        <f t="shared" si="34"/>
        <v/>
      </c>
      <c r="F116" s="166" t="str">
        <f t="shared" si="35"/>
        <v/>
      </c>
      <c r="G116" s="98"/>
      <c r="H116" s="71"/>
      <c r="I116" s="184"/>
      <c r="J116" s="81">
        <f t="shared" si="32"/>
        <v>0</v>
      </c>
      <c r="K116" s="81">
        <f t="shared" si="33"/>
        <v>0</v>
      </c>
    </row>
    <row r="117" spans="2:11" ht="14.25" customHeight="1" x14ac:dyDescent="0.2">
      <c r="B117" s="284" t="str">
        <f>IF('Limestone Plant (LP-3)'!$E$4&gt;6,"Moisture Content &gt; 1.5%?","")</f>
        <v/>
      </c>
      <c r="D117" s="55"/>
      <c r="E117" s="166" t="str">
        <f t="shared" si="34"/>
        <v/>
      </c>
      <c r="F117" s="166" t="str">
        <f t="shared" si="35"/>
        <v/>
      </c>
      <c r="G117" s="98"/>
      <c r="H117" s="71"/>
      <c r="I117" s="184"/>
      <c r="J117" s="81">
        <f t="shared" si="32"/>
        <v>0</v>
      </c>
      <c r="K117" s="81">
        <f t="shared" si="33"/>
        <v>0</v>
      </c>
    </row>
    <row r="118" spans="2:11" ht="14.25" customHeight="1" x14ac:dyDescent="0.2">
      <c r="B118" s="55"/>
      <c r="C118" s="55"/>
      <c r="D118" s="55"/>
      <c r="E118" s="166" t="str">
        <f t="shared" si="34"/>
        <v/>
      </c>
      <c r="F118" s="166" t="str">
        <f t="shared" si="35"/>
        <v/>
      </c>
      <c r="G118" s="98"/>
      <c r="H118" s="71"/>
      <c r="I118" s="184"/>
      <c r="J118" s="81">
        <f t="shared" si="32"/>
        <v>0</v>
      </c>
      <c r="K118" s="81">
        <f t="shared" si="33"/>
        <v>0</v>
      </c>
    </row>
    <row r="119" spans="2:11" ht="14.25" customHeight="1" x14ac:dyDescent="0.2">
      <c r="B119" s="55"/>
      <c r="C119" s="55"/>
      <c r="D119" s="55"/>
      <c r="E119" s="166" t="str">
        <f t="shared" si="34"/>
        <v/>
      </c>
      <c r="F119" s="166" t="str">
        <f t="shared" si="35"/>
        <v/>
      </c>
      <c r="G119" s="98"/>
      <c r="H119" s="71"/>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(LP-3)'!$E$4&gt;6,"Stock Pile Area","")</f>
        <v/>
      </c>
      <c r="F121" s="88"/>
      <c r="G121" s="89"/>
    </row>
    <row r="122" spans="2:11" ht="14.25" customHeight="1" x14ac:dyDescent="0.2">
      <c r="B122" s="55"/>
      <c r="D122" s="90"/>
      <c r="F122" s="60" t="str">
        <f>IF('Limestone Plant (LP-3)'!$E$4&gt;6,"Emission Unit #","")</f>
        <v/>
      </c>
      <c r="G122" s="95" t="str">
        <f>IF('Limestone Plant (LP-3)'!$E$4&gt;6,"Maximum Storage Area (acres)","")</f>
        <v/>
      </c>
      <c r="H122" s="96" t="str">
        <f>IF('Limestone Plant (LP-3)'!$E$4&gt;6,"Actual Storage Area (acres)","")</f>
        <v/>
      </c>
      <c r="I122" s="95" t="str">
        <f>IF('Limestone Plant (LP-3)'!$E$4&gt;6,"Actual Days in Existence (days)","")</f>
        <v/>
      </c>
    </row>
    <row r="123" spans="2:11" ht="14.25" customHeight="1" x14ac:dyDescent="0.2">
      <c r="B123" s="55"/>
      <c r="F123" s="77"/>
      <c r="G123" s="126"/>
      <c r="H123" s="78"/>
      <c r="I123" s="126"/>
    </row>
    <row r="124" spans="2:11" ht="27.75" customHeight="1" x14ac:dyDescent="0.2"/>
    <row r="126" spans="2:11" ht="27.75" customHeight="1" x14ac:dyDescent="0.25">
      <c r="B126" s="92" t="str">
        <f>IF('Limestone Plant (LP-3)'!$E$4&gt;7,"CRUSHER PLANT","")</f>
        <v/>
      </c>
      <c r="C126" s="84" t="str">
        <f>IF('Limestone Plant (LP-3)'!$E$4&gt;7,"Site 8","")</f>
        <v/>
      </c>
      <c r="E126" s="213" t="str">
        <f>IF('Limestone Plant (LP-3)'!$E$4&gt;7,"Emission Point #","")</f>
        <v/>
      </c>
      <c r="F126" s="213" t="str">
        <f>IF('Limestone Plant (LP-3)'!$E$4&gt;7,"Emission    Unit #","")</f>
        <v/>
      </c>
      <c r="G126" s="213" t="str">
        <f>IF('Limestone Plant (LP-3)'!$E$4&gt;7,"Processes","")</f>
        <v/>
      </c>
      <c r="H126" s="220" t="str">
        <f>IF('Limestone Plant (LP-3)'!$E$4&gt;7,"Combined Maximum Hourly Design Rate for all Like Processes (tons/hr)","")</f>
        <v/>
      </c>
      <c r="I126" s="213" t="str">
        <f>IF('Limestone Plant (LP-3)'!$E$4&gt;7,('Facility Information'!G5&amp;" Annual Throughput (tons)"),"")</f>
        <v/>
      </c>
    </row>
    <row r="127" spans="2:11" x14ac:dyDescent="0.2">
      <c r="B127" s="94" t="str">
        <f>IF('Limestone Plant (LP-3)'!$E$4&gt;7,"Site Name:","")</f>
        <v/>
      </c>
      <c r="C127" s="76"/>
      <c r="D127" s="55"/>
      <c r="E127" s="166" t="str">
        <f>IF(G127="","","LP-3 EP-1")</f>
        <v/>
      </c>
      <c r="F127" s="166" t="str">
        <f>IF(G127="","",IF(G127="primary crusher","LP-3 EU-1",IF(G127="screening","LP-3 EU-2",IF(G127="secondary crusher","LP-3 EU-3",IF(G127="tertiary crusher","LP-3 EU-4",IF(G127="fines crushing","LP-3 EU-5",IF(G127="fines screening","LP-3 EU-6",IF(G127="wet drilling: unfragmented stone","LP-3 EU-7",IF(G127="conveyor transfer points","LP-3 EU-8")))))))))</f>
        <v/>
      </c>
      <c r="G127" s="98"/>
      <c r="H127" s="71"/>
      <c r="I127" s="184"/>
      <c r="J127" s="81">
        <f t="shared" ref="J127:J134" si="36">IF($C$131="no",I127,0)</f>
        <v>0</v>
      </c>
      <c r="K127" s="81">
        <f t="shared" ref="K127:K134" si="37">IF($C$131="yes",I127,0)</f>
        <v>0</v>
      </c>
    </row>
    <row r="128" spans="2:11" ht="14.25" customHeight="1" x14ac:dyDescent="0.2">
      <c r="B128" s="94" t="str">
        <f>IF('Limestone Plant (LP-3)'!$E$4&gt;7,"County:","")</f>
        <v/>
      </c>
      <c r="C128" s="76"/>
      <c r="D128" s="55"/>
      <c r="E128" s="166" t="str">
        <f t="shared" ref="E128:E134" si="38">IF(G128="","","LP-3 EP-1")</f>
        <v/>
      </c>
      <c r="F128" s="166" t="str">
        <f t="shared" ref="F128:F134" si="39">IF(G128="","",IF(G128="primary crusher","LP-3 EU-1",IF(G128="screening","LP-3 EU-2",IF(G128="secondary crusher","LP-3 EU-3",IF(G128="tertiary crusher","LP-3 EU-4",IF(G128="fines crushing","LP-3 EU-5",IF(G128="fines screening","LP-3 EU-6",IF(G128="wet drilling: unfragmented stone","LP-3 EU-7",IF(G128="conveyor transfer points","LP-3 EU-8")))))))))</f>
        <v/>
      </c>
      <c r="G128" s="98"/>
      <c r="H128" s="71"/>
      <c r="I128" s="184"/>
      <c r="J128" s="81">
        <f t="shared" si="36"/>
        <v>0</v>
      </c>
      <c r="K128" s="81">
        <f t="shared" si="37"/>
        <v>0</v>
      </c>
    </row>
    <row r="129" spans="2:11" ht="14.25" customHeight="1" x14ac:dyDescent="0.2">
      <c r="B129" s="94" t="str">
        <f>IF('Limestone Plant (LP-3)'!$E$4&gt;7,"Crushing Period (Dates):","")</f>
        <v/>
      </c>
      <c r="C129" s="73"/>
      <c r="D129" s="55"/>
      <c r="E129" s="166" t="str">
        <f t="shared" si="38"/>
        <v/>
      </c>
      <c r="F129" s="166" t="str">
        <f t="shared" si="39"/>
        <v/>
      </c>
      <c r="G129" s="98"/>
      <c r="H129" s="71"/>
      <c r="I129" s="184"/>
      <c r="J129" s="81">
        <f t="shared" si="36"/>
        <v>0</v>
      </c>
      <c r="K129" s="81">
        <f t="shared" si="37"/>
        <v>0</v>
      </c>
    </row>
    <row r="130" spans="2:11" ht="14.25" customHeight="1" x14ac:dyDescent="0.2">
      <c r="B130" s="281" t="str">
        <f>IF('Limestone Plant (LP-3)'!$E$4&gt;7,"Controlled with Dust Suppressant or","")</f>
        <v/>
      </c>
      <c r="D130" s="55"/>
      <c r="E130" s="166" t="str">
        <f t="shared" si="38"/>
        <v/>
      </c>
      <c r="F130" s="166" t="str">
        <f t="shared" si="39"/>
        <v/>
      </c>
      <c r="G130" s="98"/>
      <c r="H130" s="71"/>
      <c r="I130" s="184"/>
      <c r="J130" s="81">
        <f t="shared" si="36"/>
        <v>0</v>
      </c>
      <c r="K130" s="81">
        <f t="shared" si="37"/>
        <v>0</v>
      </c>
    </row>
    <row r="131" spans="2:11" ht="14.25" customHeight="1" x14ac:dyDescent="0.2">
      <c r="B131" s="282" t="str">
        <f>IF('Limestone Plant (LP-3)'!$E$4&gt;7,"Material Being Processed has","")</f>
        <v/>
      </c>
      <c r="C131" s="280"/>
      <c r="D131" s="55"/>
      <c r="E131" s="166" t="str">
        <f t="shared" si="38"/>
        <v/>
      </c>
      <c r="F131" s="166" t="str">
        <f t="shared" si="39"/>
        <v/>
      </c>
      <c r="G131" s="98"/>
      <c r="H131" s="71"/>
      <c r="I131" s="184"/>
      <c r="J131" s="81">
        <f t="shared" si="36"/>
        <v>0</v>
      </c>
      <c r="K131" s="81">
        <f t="shared" si="37"/>
        <v>0</v>
      </c>
    </row>
    <row r="132" spans="2:11" ht="14.25" customHeight="1" x14ac:dyDescent="0.2">
      <c r="B132" s="284" t="str">
        <f>IF('Limestone Plant (LP-3)'!$E$4&gt;7,"Moisture Content &gt; 1.5%","")</f>
        <v/>
      </c>
      <c r="C132" s="55"/>
      <c r="D132" s="55"/>
      <c r="E132" s="166" t="str">
        <f t="shared" si="38"/>
        <v/>
      </c>
      <c r="F132" s="166" t="str">
        <f t="shared" si="39"/>
        <v/>
      </c>
      <c r="G132" s="98"/>
      <c r="H132" s="71"/>
      <c r="I132" s="184"/>
      <c r="J132" s="81">
        <f t="shared" si="36"/>
        <v>0</v>
      </c>
      <c r="K132" s="81">
        <f t="shared" si="37"/>
        <v>0</v>
      </c>
    </row>
    <row r="133" spans="2:11" ht="14.25" customHeight="1" x14ac:dyDescent="0.2">
      <c r="B133" s="55"/>
      <c r="C133" s="55"/>
      <c r="D133" s="55"/>
      <c r="E133" s="166" t="str">
        <f t="shared" si="38"/>
        <v/>
      </c>
      <c r="F133" s="166" t="str">
        <f t="shared" si="39"/>
        <v/>
      </c>
      <c r="G133" s="98"/>
      <c r="H133" s="71"/>
      <c r="I133" s="184"/>
      <c r="J133" s="81">
        <f t="shared" si="36"/>
        <v>0</v>
      </c>
      <c r="K133" s="81">
        <f t="shared" si="37"/>
        <v>0</v>
      </c>
    </row>
    <row r="134" spans="2:11" ht="14.25" customHeight="1" x14ac:dyDescent="0.2">
      <c r="B134" s="55"/>
      <c r="D134" s="55"/>
      <c r="E134" s="166" t="str">
        <f t="shared" si="38"/>
        <v/>
      </c>
      <c r="F134" s="166" t="str">
        <f t="shared" si="39"/>
        <v/>
      </c>
      <c r="G134" s="98"/>
      <c r="H134" s="71"/>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(LP-3)'!$E$4&gt;7,"Stock Pile Area","")</f>
        <v/>
      </c>
      <c r="F136" s="88"/>
      <c r="G136" s="89"/>
    </row>
    <row r="137" spans="2:11" ht="14.25" customHeight="1" x14ac:dyDescent="0.2">
      <c r="B137" s="55"/>
      <c r="D137" s="90"/>
      <c r="F137" s="60" t="str">
        <f>IF('Limestone Plant (LP-3)'!$E$4&gt;7,"Emission Unit #","")</f>
        <v/>
      </c>
      <c r="G137" s="95" t="str">
        <f>IF('Limestone Plant (LP-3)'!$E$4&gt;7,"Maximum Storage Area (acres)","")</f>
        <v/>
      </c>
      <c r="H137" s="96" t="str">
        <f>IF('Limestone Plant (LP-3)'!$E$4&gt;7,"Actual Storage Area (acres)","")</f>
        <v/>
      </c>
      <c r="I137" s="95" t="str">
        <f>IF('Limestone Plant (LP-3)'!$E$4&gt;7,"Actual Days in Existence (days)","")</f>
        <v/>
      </c>
    </row>
    <row r="138" spans="2:11" ht="14.25" customHeight="1" x14ac:dyDescent="0.2">
      <c r="B138" s="55"/>
      <c r="F138" s="77"/>
      <c r="G138" s="126"/>
      <c r="H138" s="78"/>
      <c r="I138" s="126"/>
    </row>
    <row r="139" spans="2:11" ht="22.5" customHeight="1" x14ac:dyDescent="0.2"/>
    <row r="140" spans="2:11" ht="22.5" customHeight="1" x14ac:dyDescent="0.2"/>
    <row r="141" spans="2:11" ht="26.25" x14ac:dyDescent="0.25">
      <c r="B141" s="92" t="str">
        <f>IF('Limestone Plant (LP-3)'!$E$4&gt;8,"CRUSHER PLANT","")</f>
        <v/>
      </c>
      <c r="C141" s="84" t="str">
        <f>IF('Limestone Plant (LP-3)'!$E$4&gt;8,"Site 9","")</f>
        <v/>
      </c>
      <c r="E141" s="213" t="str">
        <f>IF('Limestone Plant (LP-3)'!$E$4&gt;8,"Emission Point #","")</f>
        <v/>
      </c>
      <c r="F141" s="213" t="str">
        <f>IF('Limestone Plant (LP-3)'!$E$4&gt;8,"Emission    Unit #","")</f>
        <v/>
      </c>
      <c r="G141" s="213" t="str">
        <f>IF('Limestone Plant (LP-3)'!$E$4&gt;8,"Processes","")</f>
        <v/>
      </c>
      <c r="H141" s="220" t="str">
        <f>IF('Limestone Plant (LP-3)'!$E$4&gt;8,"Combined Maximum Hourly Design Rate for all Like Processes (tons/hr)","")</f>
        <v/>
      </c>
      <c r="I141" s="213" t="str">
        <f>IF('Limestone Plant (LP-3)'!$E$4&gt;8,('Facility Information'!G5&amp;" Annual Throughput (tons)"),"")</f>
        <v/>
      </c>
    </row>
    <row r="142" spans="2:11" x14ac:dyDescent="0.2">
      <c r="B142" s="94" t="str">
        <f>IF('Limestone Plant (LP-3)'!$E$4&gt;8,"Site Name:","")</f>
        <v/>
      </c>
      <c r="C142" s="76"/>
      <c r="D142" s="55"/>
      <c r="E142" s="166" t="str">
        <f>IF(G142="","","LP-3 EP-1")</f>
        <v/>
      </c>
      <c r="F142" s="166" t="str">
        <f>IF(G142="","",IF(G142="primary crusher","LP-3 EU-1",IF(G142="screening","LP-3 EU-2",IF(G142="secondary crusher","LP-3 EU-3",IF(G142="tertiary crusher","LP-3 EU-4",IF(G142="fines crushing","LP-3 EU-5",IF(G142="fines screening","LP-3 EU-6",IF(G142="wet drilling: unfragmented stone","LP-3 EU-7",IF(G142="conveyor transfer points","LP-3 EU-8")))))))))</f>
        <v/>
      </c>
      <c r="G142" s="98"/>
      <c r="H142" s="71"/>
      <c r="I142" s="184"/>
      <c r="J142" s="81">
        <f t="shared" ref="J142:J149" si="40">IF($C$146="no",I142,0)</f>
        <v>0</v>
      </c>
      <c r="K142" s="81">
        <f t="shared" ref="K142:K149" si="41">IF($C$146="yes",I142,0)</f>
        <v>0</v>
      </c>
    </row>
    <row r="143" spans="2:11" ht="14.25" customHeight="1" x14ac:dyDescent="0.2">
      <c r="B143" s="94" t="str">
        <f>IF('Limestone Plant (LP-3)'!$E$4&gt;8,"County:","")</f>
        <v/>
      </c>
      <c r="C143" s="76"/>
      <c r="D143" s="55"/>
      <c r="E143" s="166" t="str">
        <f t="shared" ref="E143:E149" si="42">IF(G143="","","LP-3 EP-1")</f>
        <v/>
      </c>
      <c r="F143" s="166" t="str">
        <f t="shared" ref="F143:F149" si="43">IF(G143="","",IF(G143="primary crusher","LP-3 EU-1",IF(G143="screening","LP-3 EU-2",IF(G143="secondary crusher","LP-3 EU-3",IF(G143="tertiary crusher","LP-3 EU-4",IF(G143="fines crushing","LP-3 EU-5",IF(G143="fines screening","LP-3 EU-6",IF(G143="wet drilling: unfragmented stone","LP-3 EU-7",IF(G143="conveyor transfer points","LP-3 EU-8")))))))))</f>
        <v/>
      </c>
      <c r="G143" s="98"/>
      <c r="H143" s="71"/>
      <c r="I143" s="184"/>
      <c r="J143" s="81">
        <f t="shared" si="40"/>
        <v>0</v>
      </c>
      <c r="K143" s="81">
        <f t="shared" si="41"/>
        <v>0</v>
      </c>
    </row>
    <row r="144" spans="2:11" ht="14.25" customHeight="1" x14ac:dyDescent="0.2">
      <c r="B144" s="94" t="str">
        <f>IF('Limestone Plant (LP-3)'!$E$4&gt;8,"Crushing Period (Dates):","")</f>
        <v/>
      </c>
      <c r="C144" s="73"/>
      <c r="D144" s="55"/>
      <c r="E144" s="166" t="str">
        <f t="shared" si="42"/>
        <v/>
      </c>
      <c r="F144" s="166" t="str">
        <f t="shared" si="43"/>
        <v/>
      </c>
      <c r="G144" s="98"/>
      <c r="H144" s="71"/>
      <c r="I144" s="184"/>
      <c r="J144" s="81">
        <f t="shared" si="40"/>
        <v>0</v>
      </c>
      <c r="K144" s="81">
        <f t="shared" si="41"/>
        <v>0</v>
      </c>
    </row>
    <row r="145" spans="2:11" ht="14.25" customHeight="1" x14ac:dyDescent="0.2">
      <c r="B145" s="281" t="str">
        <f>IF('Limestone Plant (LP-3)'!$E$4&gt;8,"Controlled with Dust Suppressant or","")</f>
        <v/>
      </c>
      <c r="D145" s="55"/>
      <c r="E145" s="166" t="str">
        <f t="shared" si="42"/>
        <v/>
      </c>
      <c r="F145" s="166" t="str">
        <f t="shared" si="43"/>
        <v/>
      </c>
      <c r="G145" s="98"/>
      <c r="H145" s="71"/>
      <c r="I145" s="184"/>
      <c r="J145" s="81">
        <f t="shared" si="40"/>
        <v>0</v>
      </c>
      <c r="K145" s="81">
        <f t="shared" si="41"/>
        <v>0</v>
      </c>
    </row>
    <row r="146" spans="2:11" ht="14.25" customHeight="1" x14ac:dyDescent="0.2">
      <c r="B146" s="282" t="str">
        <f>IF('Limestone Plant (LP-3)'!$E$4&gt;8,"Material Being Processed has","")</f>
        <v/>
      </c>
      <c r="C146" s="280"/>
      <c r="D146" s="55"/>
      <c r="E146" s="166" t="str">
        <f t="shared" si="42"/>
        <v/>
      </c>
      <c r="F146" s="166" t="str">
        <f t="shared" si="43"/>
        <v/>
      </c>
      <c r="G146" s="98"/>
      <c r="H146" s="71"/>
      <c r="I146" s="184"/>
      <c r="J146" s="81">
        <f t="shared" si="40"/>
        <v>0</v>
      </c>
      <c r="K146" s="81">
        <f t="shared" si="41"/>
        <v>0</v>
      </c>
    </row>
    <row r="147" spans="2:11" ht="14.25" customHeight="1" x14ac:dyDescent="0.2">
      <c r="B147" s="284" t="str">
        <f>IF('Limestone Plant (LP-3)'!$E$4&gt;8,"Moisture Content &gt; 1.5%?","")</f>
        <v/>
      </c>
      <c r="C147" s="55"/>
      <c r="D147" s="55"/>
      <c r="E147" s="166" t="str">
        <f t="shared" si="42"/>
        <v/>
      </c>
      <c r="F147" s="166" t="str">
        <f t="shared" si="43"/>
        <v/>
      </c>
      <c r="G147" s="98"/>
      <c r="H147" s="71"/>
      <c r="I147" s="184"/>
      <c r="J147" s="81">
        <f t="shared" si="40"/>
        <v>0</v>
      </c>
      <c r="K147" s="81">
        <f t="shared" si="41"/>
        <v>0</v>
      </c>
    </row>
    <row r="148" spans="2:11" ht="14.25" customHeight="1" x14ac:dyDescent="0.2">
      <c r="B148" s="55"/>
      <c r="C148" s="55"/>
      <c r="D148" s="55"/>
      <c r="E148" s="166" t="str">
        <f t="shared" si="42"/>
        <v/>
      </c>
      <c r="F148" s="166" t="str">
        <f t="shared" si="43"/>
        <v/>
      </c>
      <c r="G148" s="98"/>
      <c r="H148" s="71"/>
      <c r="I148" s="184"/>
      <c r="J148" s="81">
        <f t="shared" si="40"/>
        <v>0</v>
      </c>
      <c r="K148" s="81">
        <f t="shared" si="41"/>
        <v>0</v>
      </c>
    </row>
    <row r="149" spans="2:11" ht="14.25" customHeight="1" x14ac:dyDescent="0.2">
      <c r="B149" s="55"/>
      <c r="D149" s="55"/>
      <c r="E149" s="166" t="str">
        <f t="shared" si="42"/>
        <v/>
      </c>
      <c r="F149" s="166" t="str">
        <f t="shared" si="43"/>
        <v/>
      </c>
      <c r="G149" s="98"/>
      <c r="H149" s="71"/>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(LP-3)'!$E$4&gt;8,"Stock Pile Area","")</f>
        <v/>
      </c>
      <c r="F151" s="88"/>
      <c r="G151" s="89"/>
    </row>
    <row r="152" spans="2:11" ht="14.25" customHeight="1" x14ac:dyDescent="0.2">
      <c r="B152" s="55"/>
      <c r="D152" s="90"/>
      <c r="F152" s="60" t="str">
        <f>IF('Limestone Plant (LP-3)'!$E$4&gt;8,"Emission Unit #","")</f>
        <v/>
      </c>
      <c r="G152" s="95" t="str">
        <f>IF('Limestone Plant (LP-3)'!$E$4&gt;8,"Maximum Storage Area (acres)","")</f>
        <v/>
      </c>
      <c r="H152" s="96" t="str">
        <f>IF('Limestone Plant (LP-3)'!$E$4&gt;8,"Actual Storage Area (acres)","")</f>
        <v/>
      </c>
      <c r="I152" s="95" t="str">
        <f>IF('Limestone Plant (LP-3)'!$E$4&gt;8,"Actual Days in Existence (days)","")</f>
        <v/>
      </c>
    </row>
    <row r="153" spans="2:11" ht="14.25" customHeight="1" x14ac:dyDescent="0.2">
      <c r="B153" s="55"/>
      <c r="F153" s="77"/>
      <c r="G153" s="126"/>
      <c r="H153" s="78"/>
      <c r="I153" s="126"/>
    </row>
    <row r="156" spans="2:11" ht="29.25" customHeight="1" x14ac:dyDescent="0.25">
      <c r="B156" s="92" t="str">
        <f>IF('Limestone Plant (LP-3)'!$E$4&gt;9,"CRUSHER PLANT","")</f>
        <v/>
      </c>
      <c r="C156" s="84" t="str">
        <f>IF('Limestone Plant (LP-3)'!$E$4&gt;9,"Site 10","")</f>
        <v/>
      </c>
      <c r="E156" s="213" t="str">
        <f>IF('Limestone Plant (LP-3)'!$E$4&gt;9,"Emission Point #","")</f>
        <v/>
      </c>
      <c r="F156" s="213" t="str">
        <f>IF('Limestone Plant (LP-3)'!$E$4&gt;9,"Emission    Unit #","")</f>
        <v/>
      </c>
      <c r="G156" s="213" t="str">
        <f>IF('Limestone Plant (LP-3)'!$E$4&gt;9,"Processes","")</f>
        <v/>
      </c>
      <c r="H156" s="220" t="str">
        <f>IF('Limestone Plant (LP-3)'!$E$4&gt;9,"Combined Maximum Hourly Design Rate for all Like Processes (tons/hr)","")</f>
        <v/>
      </c>
      <c r="I156" s="213" t="str">
        <f>IF('Limestone Plant (LP-3)'!$E$4&gt;9,('Facility Information'!G5&amp;" Annual Throughput (tons)"),"")</f>
        <v/>
      </c>
    </row>
    <row r="157" spans="2:11" x14ac:dyDescent="0.2">
      <c r="B157" s="94" t="str">
        <f>IF('Limestone Plant (LP-3)'!$E$4&gt;9,"Site Name:","")</f>
        <v/>
      </c>
      <c r="C157" s="76"/>
      <c r="D157" s="55"/>
      <c r="E157" s="166" t="str">
        <f>IF(G157="","","LP-3 EP-1")</f>
        <v/>
      </c>
      <c r="F157" s="166" t="str">
        <f>IF(G157="","",IF(G157="primary crusher","LP-3 EU-1",IF(G157="screening","LP-3 EU-2",IF(G157="secondary crusher","LP-3 EU-3",IF(G157="tertiary crusher","LP-3 EU-4",IF(G157="fines crushing","LP-3 EU-5",IF(G157="fines screening","LP-3 EU-6",IF(G157="wet drilling: unfragmented stone","LP-3 EU-7",IF(G157="conveyor transfer points","LP-3 EU-8")))))))))</f>
        <v/>
      </c>
      <c r="G157" s="98"/>
      <c r="H157" s="71"/>
      <c r="I157" s="184"/>
      <c r="J157" s="81">
        <f>IF($C161="no",I157,0)</f>
        <v>0</v>
      </c>
      <c r="K157" s="81">
        <f>IF($C161="yes",I157,0)</f>
        <v>0</v>
      </c>
    </row>
    <row r="158" spans="2:11" ht="14.25" customHeight="1" x14ac:dyDescent="0.2">
      <c r="B158" s="94" t="str">
        <f>IF('Limestone Plant (LP-3)'!$E$4&gt;9,"County:","")</f>
        <v/>
      </c>
      <c r="C158" s="76"/>
      <c r="D158" s="55"/>
      <c r="E158" s="166" t="str">
        <f t="shared" ref="E158:E164" si="44">IF(G158="","","LP-3 EP-1")</f>
        <v/>
      </c>
      <c r="F158" s="166" t="str">
        <f t="shared" ref="F158:F164" si="45">IF(G158="","",IF(G158="primary crusher","LP-3 EU-1",IF(G158="screening","LP-3 EU-2",IF(G158="secondary crusher","LP-3 EU-3",IF(G158="tertiary crusher","LP-3 EU-4",IF(G158="fines crushing","LP-3 EU-5",IF(G158="fines screening","LP-3 EU-6",IF(G158="wet drilling: unfragmented stone","LP-3 EU-7",IF(G158="conveyor transfer points","LP-3 EU-8")))))))))</f>
        <v/>
      </c>
      <c r="G158" s="98"/>
      <c r="H158" s="71"/>
      <c r="I158" s="184"/>
      <c r="J158" s="81">
        <f t="shared" ref="J158:J164" si="46">IF($C162="no",I158,0)</f>
        <v>0</v>
      </c>
      <c r="K158" s="81">
        <f t="shared" ref="K158:K164" si="47">IF($C162="yes",I158,0)</f>
        <v>0</v>
      </c>
    </row>
    <row r="159" spans="2:11" ht="14.25" customHeight="1" x14ac:dyDescent="0.2">
      <c r="B159" s="94" t="str">
        <f>IF('Limestone Plant (LP-3)'!$E$4&gt;9,"Crushing Period (Dates):","")</f>
        <v/>
      </c>
      <c r="C159" s="73"/>
      <c r="D159" s="55"/>
      <c r="E159" s="166" t="str">
        <f t="shared" si="44"/>
        <v/>
      </c>
      <c r="F159" s="166" t="str">
        <f t="shared" si="45"/>
        <v/>
      </c>
      <c r="G159" s="98"/>
      <c r="H159" s="71"/>
      <c r="I159" s="184"/>
      <c r="J159" s="81">
        <f t="shared" si="46"/>
        <v>0</v>
      </c>
      <c r="K159" s="81">
        <f t="shared" si="47"/>
        <v>0</v>
      </c>
    </row>
    <row r="160" spans="2:11" ht="14.25" customHeight="1" x14ac:dyDescent="0.2">
      <c r="B160" s="281" t="str">
        <f>IF('Limestone Plant (LP-3)'!$E$4&gt;9,"Controlled with Dust Suppressant or","")</f>
        <v/>
      </c>
      <c r="D160" s="55"/>
      <c r="E160" s="166" t="str">
        <f t="shared" si="44"/>
        <v/>
      </c>
      <c r="F160" s="166" t="str">
        <f t="shared" si="45"/>
        <v/>
      </c>
      <c r="G160" s="98"/>
      <c r="H160" s="71"/>
      <c r="I160" s="184"/>
      <c r="J160" s="81">
        <f t="shared" si="46"/>
        <v>0</v>
      </c>
      <c r="K160" s="81">
        <f t="shared" si="47"/>
        <v>0</v>
      </c>
    </row>
    <row r="161" spans="2:11" ht="14.25" customHeight="1" x14ac:dyDescent="0.2">
      <c r="B161" s="282" t="str">
        <f>IF('Limestone Plant (LP-3)'!$E$4&gt;9,"Material Being Processed has","")</f>
        <v/>
      </c>
      <c r="C161" s="280"/>
      <c r="D161" s="55"/>
      <c r="E161" s="166" t="str">
        <f t="shared" si="44"/>
        <v/>
      </c>
      <c r="F161" s="166" t="str">
        <f t="shared" si="45"/>
        <v/>
      </c>
      <c r="G161" s="98"/>
      <c r="H161" s="71"/>
      <c r="I161" s="184"/>
      <c r="J161" s="81">
        <f t="shared" si="46"/>
        <v>0</v>
      </c>
      <c r="K161" s="81">
        <f t="shared" si="47"/>
        <v>0</v>
      </c>
    </row>
    <row r="162" spans="2:11" ht="14.25" customHeight="1" x14ac:dyDescent="0.2">
      <c r="B162" s="284" t="str">
        <f>IF('Limestone Plant (LP-3)'!$E$4&gt;9,"Moisture Content &gt; 1.5%?","")</f>
        <v/>
      </c>
      <c r="D162" s="55"/>
      <c r="E162" s="166" t="str">
        <f t="shared" si="44"/>
        <v/>
      </c>
      <c r="F162" s="166" t="str">
        <f t="shared" si="45"/>
        <v/>
      </c>
      <c r="G162" s="98"/>
      <c r="H162" s="71"/>
      <c r="I162" s="184"/>
      <c r="J162" s="81">
        <f t="shared" si="46"/>
        <v>0</v>
      </c>
      <c r="K162" s="81">
        <f t="shared" si="47"/>
        <v>0</v>
      </c>
    </row>
    <row r="163" spans="2:11" ht="14.25" customHeight="1" x14ac:dyDescent="0.2">
      <c r="B163" s="55"/>
      <c r="C163" s="55"/>
      <c r="D163" s="55"/>
      <c r="E163" s="166" t="str">
        <f t="shared" si="44"/>
        <v/>
      </c>
      <c r="F163" s="166" t="str">
        <f t="shared" si="45"/>
        <v/>
      </c>
      <c r="G163" s="98"/>
      <c r="H163" s="71"/>
      <c r="I163" s="184"/>
      <c r="J163" s="81">
        <f t="shared" si="46"/>
        <v>0</v>
      </c>
      <c r="K163" s="81">
        <f t="shared" si="47"/>
        <v>0</v>
      </c>
    </row>
    <row r="164" spans="2:11" ht="14.25" customHeight="1" x14ac:dyDescent="0.2">
      <c r="B164" s="55"/>
      <c r="C164" s="55"/>
      <c r="D164" s="55"/>
      <c r="E164" s="166" t="str">
        <f t="shared" si="44"/>
        <v/>
      </c>
      <c r="F164" s="166" t="str">
        <f t="shared" si="45"/>
        <v/>
      </c>
      <c r="G164" s="98"/>
      <c r="H164" s="71"/>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(LP-3)'!$E$4&gt;9,"Stock Pile Area","")</f>
        <v/>
      </c>
      <c r="F166" s="88"/>
      <c r="G166" s="89"/>
    </row>
    <row r="167" spans="2:11" ht="14.25" customHeight="1" x14ac:dyDescent="0.2">
      <c r="B167" s="55"/>
      <c r="D167" s="90"/>
      <c r="F167" s="60" t="str">
        <f>IF('Limestone Plant (LP-3)'!$E$4&gt;9,"Emission Unit #","")</f>
        <v/>
      </c>
      <c r="G167" s="95" t="str">
        <f>IF('Limestone Plant (LP-3)'!$E$4&gt;9,"Maximum Storage Area (acres)","")</f>
        <v/>
      </c>
      <c r="H167" s="96" t="str">
        <f>IF('Limestone Plant (LP-3)'!$E$4&gt;9,"Actual Storage Area (acres)","")</f>
        <v/>
      </c>
      <c r="I167" s="95" t="str">
        <f>IF('Limestone Plant (LP-3)'!$E$4&gt;9,"Actual Days in Existence (days)","")</f>
        <v/>
      </c>
    </row>
    <row r="168" spans="2:11" ht="14.25" customHeight="1" x14ac:dyDescent="0.2">
      <c r="F168" s="77"/>
      <c r="G168" s="126"/>
      <c r="H168" s="78"/>
      <c r="I168" s="126"/>
    </row>
  </sheetData>
  <sheetProtection algorithmName="SHA-512" hashValue="bSS69ld0eYprbMOfSkTtzHcRRBCMysWW2n7ac1pIZ+ujROWd8p8fqVl14KTK3ZmiEZfyYJsxri0TlfdYrzuT1g==" saltValue="q5voyxilrHRTltrhLuarXw==" spinCount="100000" sheet="1"/>
  <conditionalFormatting sqref="F46:I46 B157:B159 B142:B144 B127:B129 B112:B114 B97:B99 B82:B84 B67:B69 B52:B54 B36:B38">
    <cfRule type="notContainsBlanks" dxfId="510" priority="67" stopIfTrue="1">
      <formula>LEN(TRIM(B36))&gt;0</formula>
    </cfRule>
  </conditionalFormatting>
  <conditionalFormatting sqref="F46:I47 D46:D47 D35:I35 D44:I45 D36:D43 G36:I43 C40 B45:C47 B39:B41 B44 B42:C43 B35:C38">
    <cfRule type="cellIs" dxfId="509" priority="61" stopIfTrue="1" operator="equal">
      <formula>$B$35="crusher plant"</formula>
    </cfRule>
  </conditionalFormatting>
  <conditionalFormatting sqref="C42 B35:C35">
    <cfRule type="notContainsBlanks" dxfId="508" priority="65" stopIfTrue="1">
      <formula>LEN(TRIM(B35))&gt;0</formula>
    </cfRule>
  </conditionalFormatting>
  <conditionalFormatting sqref="F62:I62">
    <cfRule type="notContainsBlanks" dxfId="507" priority="60" stopIfTrue="1">
      <formula>LEN(TRIM(F62))&gt;0</formula>
    </cfRule>
  </conditionalFormatting>
  <conditionalFormatting sqref="F62:I63 D51:I51 D62:D63 D60:I61 D52:D59 G52:I59 B58:C58 B60:C63 B59 C56:C57 B51:C54">
    <cfRule type="cellIs" dxfId="506" priority="57" stopIfTrue="1" operator="equal">
      <formula>$B$51="crusher plant"</formula>
    </cfRule>
  </conditionalFormatting>
  <conditionalFormatting sqref="C60 B51:C51">
    <cfRule type="notContainsBlanks" dxfId="505" priority="66" stopIfTrue="1">
      <formula>LEN(TRIM(B51))&gt;0</formula>
    </cfRule>
  </conditionalFormatting>
  <conditionalFormatting sqref="F77:I77">
    <cfRule type="notContainsBlanks" dxfId="504" priority="55" stopIfTrue="1">
      <formula>LEN(TRIM(F77))&gt;0</formula>
    </cfRule>
  </conditionalFormatting>
  <conditionalFormatting sqref="F77:I78 D66:I66 D77:D78 D75:I76 D67:D74 G67:I74 B76:C78 B73:C73 B74:B75 C71:C72 B66:C69">
    <cfRule type="cellIs" dxfId="503" priority="52" stopIfTrue="1" operator="equal">
      <formula>$B$66="crusher plant"</formula>
    </cfRule>
  </conditionalFormatting>
  <conditionalFormatting sqref="C72 B66:C66">
    <cfRule type="notContainsBlanks" dxfId="502" priority="56" stopIfTrue="1">
      <formula>LEN(TRIM(B66))&gt;0</formula>
    </cfRule>
  </conditionalFormatting>
  <conditionalFormatting sqref="F92:I92">
    <cfRule type="notContainsBlanks" dxfId="501" priority="50" stopIfTrue="1">
      <formula>LEN(TRIM(F92))&gt;0</formula>
    </cfRule>
  </conditionalFormatting>
  <conditionalFormatting sqref="F92:I93 D81:I81 D92:D93 D91:I91 D82:D90 G82:I90 B88:C89 B91:C93 B90 C86:C87 B81:C84">
    <cfRule type="cellIs" dxfId="500" priority="47" stopIfTrue="1" operator="equal">
      <formula>$B$81="crusher plant"</formula>
    </cfRule>
  </conditionalFormatting>
  <conditionalFormatting sqref="C87 B81:C81">
    <cfRule type="notContainsBlanks" dxfId="499" priority="51" stopIfTrue="1">
      <formula>LEN(TRIM(B81))&gt;0</formula>
    </cfRule>
  </conditionalFormatting>
  <conditionalFormatting sqref="F107:I107">
    <cfRule type="notContainsBlanks" dxfId="498" priority="45" stopIfTrue="1">
      <formula>LEN(TRIM(F107))&gt;0</formula>
    </cfRule>
  </conditionalFormatting>
  <conditionalFormatting sqref="F107:I108 D96:I96 D107:D108 D105:I106 D97:D104 G97:I104 B103:C103 B105:C108 B104 C101:C102 B96:C99">
    <cfRule type="cellIs" dxfId="497" priority="42" stopIfTrue="1" operator="equal">
      <formula>$B$96="crusher plant"</formula>
    </cfRule>
  </conditionalFormatting>
  <conditionalFormatting sqref="C105 B96:C96">
    <cfRule type="notContainsBlanks" dxfId="496" priority="46" stopIfTrue="1">
      <formula>LEN(TRIM(B96))&gt;0</formula>
    </cfRule>
  </conditionalFormatting>
  <conditionalFormatting sqref="F122:I122">
    <cfRule type="notContainsBlanks" dxfId="495" priority="40" stopIfTrue="1">
      <formula>LEN(TRIM(F122))&gt;0</formula>
    </cfRule>
  </conditionalFormatting>
  <conditionalFormatting sqref="F122:I123 D111:I111 D122:D123 D120:I121 D112:D119 G112:I119 B118:C119 B121:C123 B120 C116:C117 B111:C114">
    <cfRule type="cellIs" dxfId="494" priority="37" stopIfTrue="1" operator="equal">
      <formula>$B$111="crusher plant"</formula>
    </cfRule>
  </conditionalFormatting>
  <conditionalFormatting sqref="C117 B111:C111">
    <cfRule type="notContainsBlanks" dxfId="493" priority="41" stopIfTrue="1">
      <formula>LEN(TRIM(B111))&gt;0</formula>
    </cfRule>
  </conditionalFormatting>
  <conditionalFormatting sqref="F137:I137">
    <cfRule type="notContainsBlanks" dxfId="492" priority="35" stopIfTrue="1">
      <formula>LEN(TRIM(F137))&gt;0</formula>
    </cfRule>
  </conditionalFormatting>
  <conditionalFormatting sqref="F137:I138 D126:I126 D137:D138 D135:I136 D127:D134 G127:I134 B133:C133 B135:C138 B134 C131:C132 B126:C129">
    <cfRule type="cellIs" dxfId="491" priority="32" stopIfTrue="1" operator="equal">
      <formula>$B$126="crusher plant"</formula>
    </cfRule>
  </conditionalFormatting>
  <conditionalFormatting sqref="C135 B126:C126">
    <cfRule type="notContainsBlanks" dxfId="490" priority="36" stopIfTrue="1">
      <formula>LEN(TRIM(B126))&gt;0</formula>
    </cfRule>
  </conditionalFormatting>
  <conditionalFormatting sqref="F152:I152">
    <cfRule type="notContainsBlanks" dxfId="489" priority="30" stopIfTrue="1">
      <formula>LEN(TRIM(F152))&gt;0</formula>
    </cfRule>
  </conditionalFormatting>
  <conditionalFormatting sqref="F152:I153 D141:I141 D152:D153 D150:I151 D142:D149 G142:I149 B148:C148 B150:C153 B149 C146:C147 B141:C144">
    <cfRule type="cellIs" dxfId="488" priority="27" stopIfTrue="1" operator="equal">
      <formula>$B$141="crusher plant"</formula>
    </cfRule>
  </conditionalFormatting>
  <conditionalFormatting sqref="C150 B141:C141">
    <cfRule type="notContainsBlanks" dxfId="487" priority="31" stopIfTrue="1">
      <formula>LEN(TRIM(B141))&gt;0</formula>
    </cfRule>
  </conditionalFormatting>
  <conditionalFormatting sqref="F167:I167">
    <cfRule type="notContainsBlanks" dxfId="486" priority="25" stopIfTrue="1">
      <formula>LEN(TRIM(F167))&gt;0</formula>
    </cfRule>
  </conditionalFormatting>
  <conditionalFormatting sqref="F167:I168 D156:I156 D167:D168 D165:I166 D157:D164 G157:I164 B163:C164 B166:C167 B165 C161:C162 B156:C159">
    <cfRule type="cellIs" dxfId="485" priority="22" stopIfTrue="1" operator="equal">
      <formula>$B$156="crusher plant"</formula>
    </cfRule>
  </conditionalFormatting>
  <conditionalFormatting sqref="C162 B156:C156">
    <cfRule type="notContainsBlanks" dxfId="484" priority="26" stopIfTrue="1">
      <formula>LEN(TRIM(B156))&gt;0</formula>
    </cfRule>
  </conditionalFormatting>
  <conditionalFormatting sqref="E36:E43">
    <cfRule type="expression" dxfId="483" priority="20">
      <formula>$B$35="crusher plant"</formula>
    </cfRule>
  </conditionalFormatting>
  <conditionalFormatting sqref="E52:E59">
    <cfRule type="expression" dxfId="482" priority="19">
      <formula>$B$51="crusher plant"</formula>
    </cfRule>
  </conditionalFormatting>
  <conditionalFormatting sqref="E67:E74">
    <cfRule type="expression" dxfId="481" priority="18">
      <formula>$B$66="crusher plant"</formula>
    </cfRule>
  </conditionalFormatting>
  <conditionalFormatting sqref="E82:E89">
    <cfRule type="expression" dxfId="480" priority="16">
      <formula>$B$81="crusher plant"</formula>
    </cfRule>
  </conditionalFormatting>
  <conditionalFormatting sqref="E97:E104">
    <cfRule type="expression" dxfId="479" priority="15">
      <formula>$B$96="crusher plant"</formula>
    </cfRule>
  </conditionalFormatting>
  <conditionalFormatting sqref="E112:E119">
    <cfRule type="expression" dxfId="478" priority="14">
      <formula>$B$111="crusher plant"</formula>
    </cfRule>
  </conditionalFormatting>
  <conditionalFormatting sqref="E127:E134">
    <cfRule type="expression" dxfId="477" priority="13">
      <formula>$B$126="crusher plant"</formula>
    </cfRule>
  </conditionalFormatting>
  <conditionalFormatting sqref="E142:E149">
    <cfRule type="expression" dxfId="476" priority="12">
      <formula>$B$141="crusher plant"</formula>
    </cfRule>
  </conditionalFormatting>
  <conditionalFormatting sqref="E157:E164">
    <cfRule type="expression" dxfId="475" priority="11">
      <formula>$B$156="crusher plant"</formula>
    </cfRule>
  </conditionalFormatting>
  <conditionalFormatting sqref="F21:F28">
    <cfRule type="notContainsBlanks" dxfId="474" priority="10">
      <formula>LEN(TRIM(F21))&gt;0</formula>
    </cfRule>
  </conditionalFormatting>
  <conditionalFormatting sqref="F36:F43">
    <cfRule type="expression" dxfId="473" priority="9">
      <formula>$B$35="crusher plant"</formula>
    </cfRule>
  </conditionalFormatting>
  <conditionalFormatting sqref="F52:F59">
    <cfRule type="expression" dxfId="472" priority="8">
      <formula>$B$51="crusher plant"</formula>
    </cfRule>
  </conditionalFormatting>
  <conditionalFormatting sqref="F67:F74">
    <cfRule type="expression" dxfId="471" priority="7">
      <formula>$B$66="crusher plant"</formula>
    </cfRule>
  </conditionalFormatting>
  <conditionalFormatting sqref="F82:F89">
    <cfRule type="expression" dxfId="470" priority="6">
      <formula>$B$81="crusher plant"</formula>
    </cfRule>
  </conditionalFormatting>
  <conditionalFormatting sqref="F97:F104">
    <cfRule type="expression" dxfId="469" priority="5">
      <formula>$B$96="crusher plant"</formula>
    </cfRule>
  </conditionalFormatting>
  <conditionalFormatting sqref="F112:F119">
    <cfRule type="expression" dxfId="468" priority="4">
      <formula>$B$111="crusher plant"</formula>
    </cfRule>
  </conditionalFormatting>
  <conditionalFormatting sqref="F127:F134">
    <cfRule type="expression" dxfId="467" priority="3">
      <formula>$B$126="crusher plant"</formula>
    </cfRule>
  </conditionalFormatting>
  <conditionalFormatting sqref="F142:F149">
    <cfRule type="expression" dxfId="466" priority="2">
      <formula>$B$141="crusher plant"</formula>
    </cfRule>
  </conditionalFormatting>
  <conditionalFormatting sqref="F157:F164">
    <cfRule type="expression" dxfId="465" priority="1">
      <formula>$B$156="crusher plant"</formula>
    </cfRule>
  </conditionalFormatting>
  <dataValidations count="3">
    <dataValidation type="whole" allowBlank="1" showInputMessage="1" showErrorMessage="1" sqref="C18 E4 D5" xr:uid="{00000000-0002-0000-0300-000000000000}">
      <formula1>0</formula1>
      <formula2>100</formula2>
    </dataValidation>
    <dataValidation type="list" allowBlank="1" showInputMessage="1" showErrorMessage="1" sqref="G21:G28 G36:G43 G52:G59 G67:G74 G82:G89 G97:G104 G112:G119 G127:G134 G142:G149 G157:G164" xr:uid="{00000000-0002-0000-0300-000001000000}">
      <formula1>process</formula1>
    </dataValidation>
    <dataValidation type="list" allowBlank="1" showInputMessage="1" showErrorMessage="1" sqref="C25 C40 C56 C71 C86 C101 C116 C131 C146 C161" xr:uid="{00000000-0002-0000-0300-000002000000}">
      <formula1>CHECK</formula1>
    </dataValidation>
  </dataValidations>
  <pageMargins left="0.7" right="0.7" top="0.75" bottom="0.75" header="0.3" footer="0.3"/>
  <pageSetup scale="70" fitToHeight="0" orientation="landscape"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S168"/>
  <sheetViews>
    <sheetView topLeftCell="B1" workbookViewId="0">
      <selection activeCell="B1" sqref="B1"/>
    </sheetView>
  </sheetViews>
  <sheetFormatPr defaultColWidth="8.85546875" defaultRowHeight="14.25" customHeight="1" x14ac:dyDescent="0.2"/>
  <cols>
    <col min="1" max="1" width="26.4257812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8.7109375" style="80" customWidth="1"/>
    <col min="10" max="10" width="11.42578125" style="81" hidden="1" customWidth="1"/>
    <col min="11" max="11" width="14" style="81" hidden="1" customWidth="1"/>
    <col min="12" max="12" width="7" style="80" customWidth="1"/>
    <col min="13" max="13" width="26.85546875" style="80" customWidth="1"/>
    <col min="14" max="14" width="17.7109375" style="80" customWidth="1"/>
    <col min="15" max="15" width="20.42578125" style="80" customWidth="1"/>
    <col min="16" max="16" width="20.42578125" style="80" hidden="1" customWidth="1"/>
    <col min="17" max="18" width="16.42578125" style="80" hidden="1" customWidth="1"/>
    <col min="19" max="19" width="20.5703125" style="80" customWidth="1"/>
    <col min="20" max="16384" width="8.85546875" style="80"/>
  </cols>
  <sheetData>
    <row r="1" spans="2:19" ht="14.25" customHeight="1" x14ac:dyDescent="0.2">
      <c r="B1" s="292" t="s">
        <v>148</v>
      </c>
      <c r="C1" s="292"/>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30"/>
      <c r="D6" s="55"/>
      <c r="E6" s="55"/>
      <c r="F6" s="55"/>
      <c r="G6" s="55"/>
      <c r="H6" s="55"/>
      <c r="I6" s="55"/>
      <c r="M6" s="109" t="s">
        <v>36</v>
      </c>
      <c r="N6" s="136">
        <f ca="1">MAX((IFERROR(OFFSET($G$20,MATCH("Screening",$G$21:$G$28,0),1),0)),((IFERROR((OFFSET(G35,MATCH("Screening",$G$36:$G$43,0)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SUM(G32,G47,G63,G78,G93,G108,G123,G138,G153,G168)</f>
        <v>0</v>
      </c>
      <c r="O14" s="110">
        <f>SUM(H32*I32,H47*I47,H63*I63,H78*I78,H93*I93,H108*I108,H123*I123,H138*I138,H153*I153,H168*I168)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371" t="str">
        <f>('Facility Information'!G5&amp;" Annual Throughput (tons)")</f>
        <v xml:space="preserve"> Annual Throughput (tons)</v>
      </c>
      <c r="J20" s="81" t="s">
        <v>132</v>
      </c>
      <c r="K20" s="81" t="s">
        <v>133</v>
      </c>
      <c r="M20" s="109" t="s">
        <v>38</v>
      </c>
      <c r="N20" s="136">
        <f t="shared" ref="N20:N27" ca="1" si="0">N5</f>
        <v>0</v>
      </c>
      <c r="O20" s="145">
        <f ca="1">IF(N20=0,0,IF(OR($C$25="no",$C$40="no",$C$56="no",$C$71="no",$C$86="no",$C$101="no",$C$116="no",$C$131="no",$C$146="no",$C$161="no"),'Emission Factors'!D8,'Emission Factors'!D20))</f>
        <v>0</v>
      </c>
      <c r="P20" s="136" t="str">
        <f t="shared" ref="P20:P27" si="1">IF(OR($C$25="no",$C$40="no",$C$56="no",$C$71="no",$C$86="no",$C$101="no",$C$116="no",$C$131="no",$C$146="no",$C$161="no"),N20*O20,"")</f>
        <v/>
      </c>
      <c r="Q20" s="136">
        <f t="shared" ref="Q20:Q27" ca="1" si="2">IF($F$10&gt;0,$F$10,IF(OR($C$25="no",$C$40="no",$C$56="no",$C$71="no",$C$86="no",$C$101="no",$C$116="no",$C$131="no",$C$146="no",$C$161="no"),"",N20*O20))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IF(G21="","","LP-4 EP-1")</f>
        <v/>
      </c>
      <c r="F21" s="165" t="str">
        <f>IF(G21="","",IF(G21="primary crusher","LP-4 EU-1",IF(G21="screening","LP-4 EU-2",IF(G21="secondary crusher","LP-4 EU-3",IF(G21="tertiary crusher","LP-4 EU-4",IF(G21="fines crushing","LP-4 EU-5",IF(G21="fines screening","LP-4 EU-6",IF(G21="wet drilling: unfragmented stone","LP-4 EU-7",IF(G21="conveyor transfer points","LP-4 EU-8")))))))))</f>
        <v/>
      </c>
      <c r="G21" s="98"/>
      <c r="H21" s="71"/>
      <c r="I21" s="184"/>
      <c r="J21" s="81">
        <f>IF($C25="no",I21,0)</f>
        <v>0</v>
      </c>
      <c r="K21" s="81">
        <f t="shared" ref="K21:K28" si="3">IF($C$25="yes",I21,0)</f>
        <v>0</v>
      </c>
      <c r="M21" s="109" t="s">
        <v>36</v>
      </c>
      <c r="N21" s="136">
        <f t="shared" ca="1" si="0"/>
        <v>0</v>
      </c>
      <c r="O21" s="145">
        <f ca="1">IF(N21=0,0,IF(OR($C$25="no",$C$40="no",$C$56="no",$C$71="no",$C$86="no",$C$101="no",$C$116="no",$C$131="no",$C$146="no",$C$161="no"),'Emission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IF(G22="","","LP-4 EP-1")</f>
        <v/>
      </c>
      <c r="F22" s="165" t="str">
        <f t="shared" ref="F22:F28" si="6">IF(G22="","",IF(G22="primary crusher","LP-4 EU-1",IF(G22="screening","LP-4 EU-2",IF(G22="secondary crusher","LP-4 EU-3",IF(G22="tertiary crusher","LP-4 EU-4",IF(G22="fines crushing","LP-4 EU-5",IF(G22="fines screening","LP-4 EU-6",IF(G22="wet drilling: unfragmented stone","LP-4 EU-7",IF(G22="conveyor transfer points","LP-4 EU-8")))))))))</f>
        <v/>
      </c>
      <c r="G22" s="98"/>
      <c r="H22" s="71"/>
      <c r="I22" s="184"/>
      <c r="J22" s="81">
        <f t="shared" ref="J22:J28" si="7">IF($C$25="no",I22,0)</f>
        <v>0</v>
      </c>
      <c r="K22" s="81">
        <f t="shared" si="3"/>
        <v>0</v>
      </c>
      <c r="M22" s="109" t="s">
        <v>37</v>
      </c>
      <c r="N22" s="136">
        <f t="shared" ca="1" si="0"/>
        <v>0</v>
      </c>
      <c r="O22" s="145">
        <f ca="1">IF(N22=0,0,IF(OR($C$25="no",$C$40="no",$C$56="no",$C$71="no",$C$86="no",$C$101="no",$C$116="no",$C$131="no",$C$146="no",$C$161="no"),'Emission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71"/>
      <c r="I23" s="184"/>
      <c r="J23" s="81">
        <f t="shared" si="7"/>
        <v>0</v>
      </c>
      <c r="K23" s="81">
        <f t="shared" si="3"/>
        <v>0</v>
      </c>
      <c r="M23" s="109" t="s">
        <v>39</v>
      </c>
      <c r="N23" s="136">
        <f t="shared" ca="1" si="0"/>
        <v>0</v>
      </c>
      <c r="O23" s="145">
        <f ca="1">IF(N23=0,0,IF(OR(C25="no",C40="no",C56="no",C71="no",C86="no",C101="no",C116="no",C131="no",C146="no",C161="no"),'Emission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6">
        <f t="shared" ca="1" si="0"/>
        <v>0</v>
      </c>
      <c r="O24" s="145">
        <f ca="1">IF(N24=0,0,IF(OR(C25="no",C40="no",C56="no",C71="no",C86="no",C101="no",C116="no",C131="no",C146="no",C161="no"),'Emission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71"/>
      <c r="I25" s="184"/>
      <c r="J25" s="81">
        <f t="shared" si="7"/>
        <v>0</v>
      </c>
      <c r="K25" s="81">
        <f t="shared" si="3"/>
        <v>0</v>
      </c>
      <c r="M25" s="109" t="s">
        <v>41</v>
      </c>
      <c r="N25" s="136">
        <f t="shared" ca="1" si="0"/>
        <v>0</v>
      </c>
      <c r="O25" s="145">
        <f ca="1">IF(N25=0,0,IF(OR($C$25="no",$C$40="no",$C$56="no",$C$71="no",$C$86="no",$C$101="no",$C$116="no",$C$131="no",$C$146="no",$C$161="no"),'Emission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71"/>
      <c r="I26" s="184"/>
      <c r="J26" s="81">
        <f t="shared" si="7"/>
        <v>0</v>
      </c>
      <c r="K26" s="81">
        <f t="shared" si="3"/>
        <v>0</v>
      </c>
      <c r="M26" s="109" t="s">
        <v>42</v>
      </c>
      <c r="N26" s="136">
        <f t="shared" ca="1" si="0"/>
        <v>0</v>
      </c>
      <c r="O26" s="145">
        <f ca="1">IF(N26=0,0,IF(OR(C25="no",C40="no",C56="no",C71="no",C86="no",C101="no",C116="no",C131="no",C146="no",C161="no"),'Emission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C27" s="55"/>
      <c r="D27" s="55"/>
      <c r="E27" s="165" t="str">
        <f t="shared" si="5"/>
        <v/>
      </c>
      <c r="F27" s="165" t="str">
        <f t="shared" si="6"/>
        <v/>
      </c>
      <c r="G27" s="98"/>
      <c r="H27" s="71"/>
      <c r="I27" s="184"/>
      <c r="J27" s="81">
        <f t="shared" si="7"/>
        <v>0</v>
      </c>
      <c r="K27" s="81">
        <f t="shared" si="3"/>
        <v>0</v>
      </c>
      <c r="M27" s="109" t="s">
        <v>43</v>
      </c>
      <c r="N27" s="136">
        <f t="shared" ca="1" si="0"/>
        <v>0</v>
      </c>
      <c r="O27" s="145">
        <f ca="1">IF(N27=0,0,IF(OR(C25="no",C40="no",C56="no",C71="no",C86="no",C101="no",C116="no",C131="no",C146="no",C161="no"),'Emission Factors'!D5,'Emission Factors'!D17))</f>
        <v>0</v>
      </c>
      <c r="P27" s="137" t="str">
        <f t="shared" si="1"/>
        <v/>
      </c>
      <c r="Q27" s="136">
        <f t="shared" ca="1" si="2"/>
        <v>0</v>
      </c>
      <c r="R27" s="136">
        <f t="shared" ca="1" si="4"/>
        <v>0</v>
      </c>
      <c r="S27" s="136">
        <f ca="1">(O12*'Emission Factors'!D5/2000)+('Emission Factors'!D17*S12/2000)</f>
        <v>0</v>
      </c>
    </row>
    <row r="28" spans="1:19" ht="14.25" customHeight="1" x14ac:dyDescent="0.25">
      <c r="A28" s="6" t="s">
        <v>40</v>
      </c>
      <c r="B28" s="55"/>
      <c r="D28" s="55"/>
      <c r="E28" s="165" t="str">
        <f t="shared" si="5"/>
        <v/>
      </c>
      <c r="F28" s="165" t="str">
        <f t="shared" si="6"/>
        <v/>
      </c>
      <c r="G28" s="98"/>
      <c r="H28" s="71"/>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IF(N29=0,0,IF(OR($C$25="no",$C$40="no",$C$56="no",$C$71="no",$C$86="no",$C$101="no",$C$116="no",$C$131="no",$C$146="no",$C$161="no"),'Emission Factors'!F8,'Emission Factors'!F20))</f>
        <v>0</v>
      </c>
      <c r="P29" s="136" t="str">
        <f t="shared" ref="P29:P36" si="8">IF(OR($C$25="no",$C$40="no",$C$56="no",$C$71="no",$C$86="no",$C$101="no",$C$116="no",$C$131="no",$C$146="no",$C$161="no"),N29*O29,"")</f>
        <v/>
      </c>
      <c r="Q29" s="136">
        <f t="shared" ref="Q29:Q36" ca="1" si="9">IF($F$11&gt;0,$F$11,IF(OR($C$25="no",$C$40="no",$C$56="no",$C$71="no",$C$86="no",$C$101="no",$C$116="no",$C$131="no",$C$146="no",$C$161="no"),"",N29*O29))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5" ca="1" si="10">N6</f>
        <v>0</v>
      </c>
      <c r="O30" s="145">
        <f ca="1">IF(N30=0,0,IF(OR($C$25="no",$C$40="no",$C$56="no",$C$71="no",$C$86="no",$C$101="no",$C$116="no",$C$131="no",$C$146="no",$C$161="no"),'Emission Factors'!F9,'Emission Factors'!F21))</f>
        <v>0</v>
      </c>
      <c r="P30" s="140" t="str">
        <f t="shared" si="8"/>
        <v/>
      </c>
      <c r="Q30" s="136">
        <f t="shared" ca="1" si="9"/>
        <v>0</v>
      </c>
      <c r="R30" s="136">
        <f t="shared" ref="R30:R35"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7.75" customHeight="1" x14ac:dyDescent="0.25">
      <c r="A35" s="80">
        <f>C36</f>
        <v>0</v>
      </c>
      <c r="B35" s="92" t="str">
        <f>IF('Limestone Plant (LP-4)'!$E$4&gt;1,"CRUSHER PLANT","")</f>
        <v/>
      </c>
      <c r="C35" s="84" t="str">
        <f>IF('Limestone Plant (LP-4)'!$E$4&gt;1,"Site 2","")</f>
        <v/>
      </c>
      <c r="E35" s="213" t="str">
        <f>IF('Limestone Plant (LP-4)'!$E$4&gt;1,"Emission Point #","")</f>
        <v/>
      </c>
      <c r="F35" s="213" t="str">
        <f>IF('Limestone Plant (LP-4)'!$E$4&gt;1,"Emission    Unit #","")</f>
        <v/>
      </c>
      <c r="G35" s="213" t="str">
        <f>IF('Limestone Plant (LP-4)'!$E$4&gt;1,"Processes","")</f>
        <v/>
      </c>
      <c r="H35" s="220" t="str">
        <f>IF('Limestone Plant (LP-4)'!$E$4&gt;1,"Combined Maximum Hourly Design Rate for all Like Processes (tons/hr)","")</f>
        <v/>
      </c>
      <c r="I35" s="213" t="str">
        <f>IF('Limestone Plant (LP-4)'!$E$4&gt;1,('Facility Information'!G5&amp;" Annual Throughput (tons)"),"")</f>
        <v/>
      </c>
      <c r="M35" s="109" t="s">
        <v>42</v>
      </c>
      <c r="N35" s="136">
        <f t="shared" ca="1" si="10"/>
        <v>0</v>
      </c>
      <c r="O35" s="145">
        <f ca="1">IF(N35=0,0,IF(OR(C25="no",C40="no",C56="no",C71="no",C86="no",C101="no",C116="no",C131="no",C146="no",C161="no"),'Emission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C67</f>
        <v>0</v>
      </c>
      <c r="B36" s="94" t="str">
        <f>IF('Limestone Plant (LP-4)'!$E$4&gt;1,"Site Name:","")</f>
        <v/>
      </c>
      <c r="C36" s="76"/>
      <c r="D36" s="55"/>
      <c r="E36" s="166" t="str">
        <f>IF(G36="","","LP-4 EP-1")</f>
        <v/>
      </c>
      <c r="F36" s="166" t="str">
        <f>IF(G36="","",IF(G36="primary crusher","LP-4 EU-1",IF(G36="screening","LP-4 EU-2",IF(G36="secondary crusher","LP-4 EU-3",IF(G36="tertiary crusher","LP-4 EU-4",IF(G36="fines crushing","LP-4 EU-5",IF(G36="fines screening","LP-4 EU-6",IF(G36="wet drilling: unfragmented stone","LP-4 EU-7",IF(G36="conveyor transfer points","LP-4 EU-8")))))))))</f>
        <v/>
      </c>
      <c r="G36" s="98"/>
      <c r="H36" s="167"/>
      <c r="I36" s="184"/>
      <c r="J36" s="81">
        <f t="shared" ref="J36:J43" si="12">IF($C$40="no",I36,0)</f>
        <v>0</v>
      </c>
      <c r="K36" s="81">
        <f t="shared" ref="K36:K43" si="13">IF($C$40="yes",I36,0)</f>
        <v>0</v>
      </c>
      <c r="M36" s="109" t="s">
        <v>43</v>
      </c>
      <c r="N36" s="136">
        <f ca="1">N12</f>
        <v>0</v>
      </c>
      <c r="O36" s="145">
        <f ca="1">IF(N36=0,0,IF(OR(C25="no",C40="no",C56="no",C71="no",C86="no",C101="no",C116="no",C131="no",C146="no",C161="no"),'Emission Factors'!F5,'Emission Factors'!F17))</f>
        <v>0</v>
      </c>
      <c r="P36" s="136" t="str">
        <f t="shared" si="8"/>
        <v/>
      </c>
      <c r="Q36" s="136">
        <f t="shared" ca="1" si="9"/>
        <v>0</v>
      </c>
      <c r="R36" s="136">
        <f ca="1">IF($G$11&gt;0,"",IF($C$9&gt;0,$C$9*O36/2000,IF($C$10&gt;0,$C$10*365*O36/2000,IF($C$11&gt;0,$C$11*365*O36*N36/2000,IF(Q36="",P36*8760/2000,Q36*8760/2000)))))</f>
        <v>0</v>
      </c>
      <c r="S36" s="136">
        <f ca="1">(O12*'Emission Factors'!F5/2000)+('Emission Factors'!F17*S12/2000)</f>
        <v>0</v>
      </c>
    </row>
    <row r="37" spans="1:19" ht="14.25" customHeight="1" x14ac:dyDescent="0.2">
      <c r="A37" s="80">
        <f>C82</f>
        <v>0</v>
      </c>
      <c r="B37" s="94" t="str">
        <f>IF('Limestone Plant (LP-4)'!$E$4&gt;1,"County:","")</f>
        <v/>
      </c>
      <c r="C37" s="76"/>
      <c r="D37" s="55"/>
      <c r="E37" s="166" t="str">
        <f t="shared" ref="E37:E43" si="14">IF(G37="","","LP-4 EP-1")</f>
        <v/>
      </c>
      <c r="F37" s="166" t="str">
        <f t="shared" ref="F37:F43" si="15">IF(G37="","",IF(G37="primary crusher","LP-4 EU-1",IF(G37="screening","LP-4 EU-2",IF(G37="secondary crusher","LP-4 EU-3",IF(G37="tertiary crusher","LP-4 EU-4",IF(G37="fines crushing","LP-4 EU-5",IF(G37="fines screening","LP-4 EU-6",IF(G37="wet drilling: unfragmented stone","LP-4 EU-7",IF(G37="conveyor transfer points","LP-4 EU-8")))))))))</f>
        <v/>
      </c>
      <c r="G37" s="98"/>
      <c r="H37" s="167"/>
      <c r="I37" s="184"/>
      <c r="J37" s="81">
        <f t="shared" si="12"/>
        <v>0</v>
      </c>
      <c r="K37" s="81">
        <f t="shared" si="13"/>
        <v>0</v>
      </c>
    </row>
    <row r="38" spans="1:19" ht="14.25" customHeight="1" x14ac:dyDescent="0.2">
      <c r="A38" s="80">
        <f>C97</f>
        <v>0</v>
      </c>
      <c r="B38" s="94" t="str">
        <f>IF('Limestone Plant (LP-4)'!$E$4&gt;1,"Crushing Period (Dates):","")</f>
        <v/>
      </c>
      <c r="C38" s="186"/>
      <c r="D38" s="55"/>
      <c r="E38" s="166" t="str">
        <f t="shared" si="14"/>
        <v/>
      </c>
      <c r="F38" s="166" t="str">
        <f t="shared" si="15"/>
        <v/>
      </c>
      <c r="G38" s="98"/>
      <c r="H38" s="167"/>
      <c r="I38" s="184"/>
      <c r="J38" s="81">
        <f t="shared" si="12"/>
        <v>0</v>
      </c>
      <c r="K38" s="81">
        <f t="shared" si="13"/>
        <v>0</v>
      </c>
      <c r="N38" s="216" t="s">
        <v>295</v>
      </c>
      <c r="O38" s="216" t="s">
        <v>13</v>
      </c>
      <c r="P38" s="345" t="s">
        <v>304</v>
      </c>
      <c r="Q38" s="216" t="s">
        <v>303</v>
      </c>
      <c r="R38" s="216" t="s">
        <v>289</v>
      </c>
      <c r="S38" s="216" t="s">
        <v>300</v>
      </c>
    </row>
    <row r="39" spans="1:19" ht="14.25" customHeight="1" x14ac:dyDescent="0.2">
      <c r="A39" s="80">
        <f>C112</f>
        <v>0</v>
      </c>
      <c r="B39" s="281" t="str">
        <f>IF('Limestone Plant (LP-4)'!$E$4&gt;1,"Controlled with Dust Suppressant or","")</f>
        <v/>
      </c>
      <c r="D39" s="55"/>
      <c r="E39" s="166" t="str">
        <f t="shared" si="14"/>
        <v/>
      </c>
      <c r="F39" s="166" t="str">
        <f t="shared" si="15"/>
        <v/>
      </c>
      <c r="G39" s="98"/>
      <c r="H39" s="167"/>
      <c r="I39" s="184"/>
      <c r="J39" s="81">
        <f t="shared" si="12"/>
        <v>0</v>
      </c>
      <c r="K39" s="81">
        <f t="shared" si="13"/>
        <v>0</v>
      </c>
      <c r="M39" s="81" t="s">
        <v>44</v>
      </c>
      <c r="N39" s="216" t="s">
        <v>296</v>
      </c>
      <c r="O39" s="221" t="s">
        <v>301</v>
      </c>
      <c r="P39" s="345" t="s">
        <v>249</v>
      </c>
      <c r="Q39" s="216" t="s">
        <v>249</v>
      </c>
      <c r="R39" s="216" t="s">
        <v>253</v>
      </c>
      <c r="S39" s="216" t="s">
        <v>253</v>
      </c>
    </row>
    <row r="40" spans="1:19" ht="14.25" customHeight="1" x14ac:dyDescent="0.2">
      <c r="A40" s="80">
        <f>C127</f>
        <v>0</v>
      </c>
      <c r="B40" s="282" t="str">
        <f>IF('Limestone Plant (LP-4)'!$E$4&gt;1,"Material Being Processed has","")</f>
        <v/>
      </c>
      <c r="C40" s="280"/>
      <c r="D40" s="55"/>
      <c r="E40" s="166" t="str">
        <f t="shared" si="14"/>
        <v/>
      </c>
      <c r="F40" s="166" t="str">
        <f t="shared" si="15"/>
        <v/>
      </c>
      <c r="G40" s="98"/>
      <c r="H40" s="167"/>
      <c r="I40" s="184"/>
      <c r="J40" s="81">
        <f t="shared" si="12"/>
        <v>0</v>
      </c>
      <c r="K40" s="81">
        <f t="shared" si="13"/>
        <v>0</v>
      </c>
      <c r="M40" s="111" t="s">
        <v>143</v>
      </c>
      <c r="N40" s="110">
        <f>N14</f>
        <v>0</v>
      </c>
      <c r="O40" s="110">
        <v>3.64</v>
      </c>
      <c r="P40" s="110">
        <f>N40*O40*(1/24)</f>
        <v>0</v>
      </c>
      <c r="Q40" s="110"/>
      <c r="R40" s="110">
        <f>N40*O40*365/2000</f>
        <v>0</v>
      </c>
      <c r="S40" s="110">
        <f>O14*O40/2000</f>
        <v>0</v>
      </c>
    </row>
    <row r="41" spans="1:19" ht="14.25" customHeight="1" x14ac:dyDescent="0.2">
      <c r="A41" s="80">
        <f>C142</f>
        <v>0</v>
      </c>
      <c r="B41" s="284" t="str">
        <f>IF('Limestone Plant (LP-4)'!$E$4&gt;1,"Moisture Content &gt; 1.5%?","")</f>
        <v/>
      </c>
      <c r="C41" s="55"/>
      <c r="D41" s="55"/>
      <c r="E41" s="166" t="str">
        <f t="shared" si="14"/>
        <v/>
      </c>
      <c r="F41" s="166" t="str">
        <f t="shared" si="15"/>
        <v/>
      </c>
      <c r="G41" s="98"/>
      <c r="H41" s="167"/>
      <c r="I41" s="184"/>
      <c r="J41" s="81">
        <f t="shared" si="12"/>
        <v>0</v>
      </c>
      <c r="K41" s="81">
        <f t="shared" si="13"/>
        <v>0</v>
      </c>
      <c r="N41" s="81"/>
      <c r="O41" s="81"/>
      <c r="P41" s="81"/>
    </row>
    <row r="42" spans="1:19" ht="14.25" customHeight="1" x14ac:dyDescent="0.2">
      <c r="A42" s="80">
        <f>C157</f>
        <v>0</v>
      </c>
      <c r="B42" s="55"/>
      <c r="C42" s="55"/>
      <c r="D42" s="55"/>
      <c r="E42" s="166" t="str">
        <f t="shared" si="14"/>
        <v/>
      </c>
      <c r="F42" s="166" t="str">
        <f t="shared" si="15"/>
        <v/>
      </c>
      <c r="G42" s="98"/>
      <c r="H42" s="167"/>
      <c r="I42" s="184"/>
      <c r="J42" s="81">
        <f t="shared" si="12"/>
        <v>0</v>
      </c>
      <c r="K42" s="81">
        <f t="shared" si="13"/>
        <v>0</v>
      </c>
      <c r="N42" s="81"/>
      <c r="O42" s="81"/>
      <c r="P42" s="81"/>
    </row>
    <row r="43" spans="1:19" ht="14.25" customHeight="1" x14ac:dyDescent="0.2">
      <c r="B43" s="55"/>
      <c r="D43" s="55"/>
      <c r="E43" s="166" t="str">
        <f t="shared" si="14"/>
        <v/>
      </c>
      <c r="F43" s="166" t="str">
        <f t="shared" si="15"/>
        <v/>
      </c>
      <c r="G43" s="98"/>
      <c r="H43" s="167"/>
      <c r="I43" s="184"/>
      <c r="J43" s="81">
        <f t="shared" si="12"/>
        <v>0</v>
      </c>
      <c r="K43" s="81">
        <f t="shared" si="13"/>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(LP-4)'!$E$4&gt;1,"Stock Pile Area","")</f>
        <v/>
      </c>
      <c r="F45" s="88"/>
      <c r="G45" s="89"/>
      <c r="N45" s="81"/>
      <c r="O45" s="81"/>
      <c r="P45" s="81"/>
    </row>
    <row r="46" spans="1:19" ht="14.25" customHeight="1" x14ac:dyDescent="0.2">
      <c r="B46" s="55"/>
      <c r="D46" s="90"/>
      <c r="F46" s="60" t="str">
        <f>IF('Limestone Plant (LP-4)'!$E$4&gt;1,"Emission Unit #","")</f>
        <v/>
      </c>
      <c r="G46" s="95" t="str">
        <f>IF('Limestone Plant (LP-4)'!$E$4&gt;1,"Maximum Storage Area (acres)","")</f>
        <v/>
      </c>
      <c r="H46" s="96" t="str">
        <f>IF('Limestone Plant (LP-4)'!$E$4&gt;1,"Actual Storage Area (acres)","")</f>
        <v/>
      </c>
      <c r="I46" s="162" t="str">
        <f>IF('Limestone Plant (LP-4)'!$E$4&gt;1,"Actual Days in Existence (days)","")</f>
        <v/>
      </c>
      <c r="J46" s="97"/>
      <c r="K46" s="97"/>
      <c r="L46" s="90"/>
      <c r="N46" s="81"/>
      <c r="O46" s="81"/>
      <c r="P46" s="81"/>
    </row>
    <row r="47" spans="1:19" ht="14.25" customHeight="1" x14ac:dyDescent="0.2">
      <c r="B47" s="55"/>
      <c r="F47" s="77"/>
      <c r="G47" s="126"/>
      <c r="H47" s="78"/>
      <c r="I47" s="126"/>
      <c r="N47" s="81"/>
      <c r="O47" s="81"/>
      <c r="P47" s="81"/>
    </row>
    <row r="48" spans="1:19" ht="14.25" customHeight="1" x14ac:dyDescent="0.2">
      <c r="B48" s="84"/>
      <c r="C48" s="125"/>
      <c r="D48" s="374"/>
      <c r="E48" s="374"/>
      <c r="F48" s="163"/>
      <c r="G48" s="125"/>
      <c r="H48" s="125"/>
      <c r="N48" s="81"/>
      <c r="O48" s="81"/>
      <c r="P48" s="81"/>
    </row>
    <row r="49" spans="2:16" ht="14.25" customHeight="1" x14ac:dyDescent="0.2">
      <c r="B49" s="84"/>
      <c r="C49" s="218"/>
      <c r="D49" s="218"/>
      <c r="E49" s="218"/>
      <c r="F49" s="218"/>
      <c r="G49" s="218"/>
      <c r="H49" s="218"/>
      <c r="N49" s="81"/>
      <c r="O49" s="81"/>
      <c r="P49" s="81"/>
    </row>
    <row r="50" spans="2:16" ht="14.25" customHeight="1" x14ac:dyDescent="0.2">
      <c r="B50" s="84"/>
      <c r="C50" s="84"/>
      <c r="D50" s="84"/>
      <c r="E50" s="84"/>
      <c r="F50" s="84"/>
      <c r="G50" s="84"/>
      <c r="H50" s="84"/>
      <c r="N50" s="81"/>
      <c r="O50" s="81"/>
      <c r="P50" s="81"/>
    </row>
    <row r="51" spans="2:16" ht="29.25" customHeight="1" x14ac:dyDescent="0.25">
      <c r="B51" s="92" t="str">
        <f>IF('Limestone Plant (LP-4)'!$E$4&gt;2,"CRUSHER PLANT","")</f>
        <v/>
      </c>
      <c r="C51" s="84" t="str">
        <f>IF('Limestone Plant (LP-4)'!$E$4&gt;2,"Site 3","")</f>
        <v/>
      </c>
      <c r="E51" s="213" t="str">
        <f>IF('Limestone Plant (LP-4)'!$E$4&gt;2,"Emission Point #","")</f>
        <v/>
      </c>
      <c r="F51" s="213" t="str">
        <f>IF('Limestone Plant (LP-4)'!$E$4&gt;2,"Emission    Unit #","")</f>
        <v/>
      </c>
      <c r="G51" s="213" t="str">
        <f>IF('Limestone Plant (LP-4)'!$E$4&gt;2,"Processes","")</f>
        <v/>
      </c>
      <c r="H51" s="220" t="str">
        <f>IF('Limestone Plant (LP-4)'!$E$4&gt;2,"Combined Maximum Hourly Design Rate for all Like Processes (tons/hr)","")</f>
        <v/>
      </c>
      <c r="I51" s="213" t="str">
        <f>IF('Limestone Plant (LP-4)'!$E$4&gt;2,('Facility Information'!G5&amp;" Annual Throughput (tons)"),"")</f>
        <v/>
      </c>
      <c r="N51" s="81"/>
      <c r="O51" s="81"/>
      <c r="P51" s="81"/>
    </row>
    <row r="52" spans="2:16" ht="14.25" customHeight="1" x14ac:dyDescent="0.2">
      <c r="B52" s="94" t="str">
        <f>IF('Limestone Plant (LP-4)'!$E$4&gt;2,"Site Name:","")</f>
        <v/>
      </c>
      <c r="C52" s="76"/>
      <c r="D52" s="55"/>
      <c r="E52" s="166" t="str">
        <f>IF(G52="","","LP-4 EP-1")</f>
        <v/>
      </c>
      <c r="F52" s="166" t="str">
        <f>IF(G52="","",IF(G52="primary crusher","LP-4 EU-1",IF(G52="screening","LP-4 EU-2",IF(G52="secondary crusher","LP-4 EU-3",IF(G52="tertiary crusher","LP-4 EU-4",IF(G52="fines crushing","LP-4 EU-5",IF(G52="fines screening","LP-4 EU-6",IF(G52="wet drilling: unfragmented stone","LP-4 EU-7",IF(G52="conveyor transfer points","LP-4 EU-8")))))))))</f>
        <v/>
      </c>
      <c r="G52" s="98"/>
      <c r="H52" s="167"/>
      <c r="I52" s="184"/>
      <c r="J52" s="81">
        <f t="shared" ref="J52:J59" si="16">IF($C$56="no",I52,0)</f>
        <v>0</v>
      </c>
      <c r="K52" s="81">
        <f t="shared" ref="K52:K59" si="17">IF($C$56="yes",I52,0)</f>
        <v>0</v>
      </c>
    </row>
    <row r="53" spans="2:16" ht="14.25" customHeight="1" x14ac:dyDescent="0.2">
      <c r="B53" s="94" t="str">
        <f>IF('Limestone Plant (LP-4)'!$E$4&gt;2,"County:","")</f>
        <v/>
      </c>
      <c r="C53" s="76"/>
      <c r="D53" s="55"/>
      <c r="E53" s="166" t="str">
        <f t="shared" ref="E53:E59" si="18">IF(G53="","","LP-4 EP-1")</f>
        <v/>
      </c>
      <c r="F53" s="166" t="str">
        <f t="shared" ref="F53:F59" si="19">IF(G53="","",IF(G53="primary crusher","LP-4 EU-1",IF(G53="screening","LP-4 EU-2",IF(G53="secondary crusher","LP-4 EU-3",IF(G53="tertiary crusher","LP-4 EU-4",IF(G53="fines crushing","LP-4 EU-5",IF(G53="fines screening","LP-4 EU-6",IF(G53="wet drilling: unfragmented stone","LP-4 EU-7",IF(G53="conveyor transfer points","LP-4 EU-8")))))))))</f>
        <v/>
      </c>
      <c r="G53" s="98"/>
      <c r="H53" s="167"/>
      <c r="I53" s="184"/>
      <c r="J53" s="81">
        <f t="shared" si="16"/>
        <v>0</v>
      </c>
      <c r="K53" s="81">
        <f t="shared" si="17"/>
        <v>0</v>
      </c>
    </row>
    <row r="54" spans="2:16" ht="14.25" customHeight="1" x14ac:dyDescent="0.2">
      <c r="B54" s="94" t="str">
        <f>IF('Limestone Plant (LP-4)'!$E$4&gt;2,"Crushing Period (Dates):","")</f>
        <v/>
      </c>
      <c r="C54" s="186"/>
      <c r="D54" s="55"/>
      <c r="E54" s="166" t="str">
        <f t="shared" si="18"/>
        <v/>
      </c>
      <c r="F54" s="166" t="str">
        <f t="shared" si="19"/>
        <v/>
      </c>
      <c r="G54" s="98"/>
      <c r="H54" s="167"/>
      <c r="I54" s="184"/>
      <c r="J54" s="81">
        <f t="shared" si="16"/>
        <v>0</v>
      </c>
      <c r="K54" s="81">
        <f t="shared" si="17"/>
        <v>0</v>
      </c>
    </row>
    <row r="55" spans="2:16" ht="14.25" customHeight="1" x14ac:dyDescent="0.2">
      <c r="B55" s="281" t="str">
        <f>IF('Limestone Plant (LP-4)'!$E$4&gt;2,"Controlled with Dust Suppressant or","")</f>
        <v/>
      </c>
      <c r="D55" s="55"/>
      <c r="E55" s="166" t="str">
        <f t="shared" si="18"/>
        <v/>
      </c>
      <c r="F55" s="166" t="str">
        <f t="shared" si="19"/>
        <v/>
      </c>
      <c r="G55" s="98"/>
      <c r="H55" s="167"/>
      <c r="I55" s="184"/>
      <c r="J55" s="81">
        <f t="shared" si="16"/>
        <v>0</v>
      </c>
      <c r="K55" s="81">
        <f t="shared" si="17"/>
        <v>0</v>
      </c>
    </row>
    <row r="56" spans="2:16" ht="14.25" customHeight="1" x14ac:dyDescent="0.2">
      <c r="B56" s="282" t="str">
        <f>IF('Limestone Plant (LP-4)'!$E$4&gt;2,"Material Being Processed has","")</f>
        <v/>
      </c>
      <c r="C56" s="280"/>
      <c r="D56" s="55"/>
      <c r="E56" s="166" t="str">
        <f t="shared" si="18"/>
        <v/>
      </c>
      <c r="F56" s="166" t="str">
        <f t="shared" si="19"/>
        <v/>
      </c>
      <c r="G56" s="98"/>
      <c r="H56" s="167"/>
      <c r="I56" s="184"/>
      <c r="J56" s="81">
        <f t="shared" si="16"/>
        <v>0</v>
      </c>
      <c r="K56" s="81">
        <f t="shared" si="17"/>
        <v>0</v>
      </c>
    </row>
    <row r="57" spans="2:16" ht="14.25" customHeight="1" x14ac:dyDescent="0.2">
      <c r="B57" s="284" t="str">
        <f>IF('Limestone Plant (LP-4)'!$E$4&gt;2,"Moisture Content &gt; 1.5%?","")</f>
        <v/>
      </c>
      <c r="C57" s="55"/>
      <c r="D57" s="55"/>
      <c r="E57" s="166" t="str">
        <f t="shared" si="18"/>
        <v/>
      </c>
      <c r="F57" s="166" t="str">
        <f t="shared" si="19"/>
        <v/>
      </c>
      <c r="G57" s="98"/>
      <c r="H57" s="167"/>
      <c r="I57" s="184"/>
      <c r="J57" s="81">
        <f t="shared" si="16"/>
        <v>0</v>
      </c>
      <c r="K57" s="81">
        <f t="shared" si="17"/>
        <v>0</v>
      </c>
    </row>
    <row r="58" spans="2:16" ht="14.25" customHeight="1" x14ac:dyDescent="0.2">
      <c r="B58" s="55"/>
      <c r="D58" s="55"/>
      <c r="E58" s="166" t="str">
        <f t="shared" si="18"/>
        <v/>
      </c>
      <c r="F58" s="166" t="str">
        <f t="shared" si="19"/>
        <v/>
      </c>
      <c r="G58" s="98"/>
      <c r="H58" s="167"/>
      <c r="I58" s="184"/>
      <c r="J58" s="81">
        <f t="shared" si="16"/>
        <v>0</v>
      </c>
      <c r="K58" s="81">
        <f t="shared" si="17"/>
        <v>0</v>
      </c>
    </row>
    <row r="59" spans="2:16" ht="14.25" customHeight="1" x14ac:dyDescent="0.2">
      <c r="B59" s="55"/>
      <c r="C59" s="55"/>
      <c r="D59" s="55"/>
      <c r="E59" s="166" t="str">
        <f t="shared" si="18"/>
        <v/>
      </c>
      <c r="F59" s="166" t="str">
        <f t="shared" si="19"/>
        <v/>
      </c>
      <c r="G59" s="98"/>
      <c r="H59" s="167"/>
      <c r="I59" s="184"/>
      <c r="J59" s="81">
        <f t="shared" si="16"/>
        <v>0</v>
      </c>
      <c r="K59" s="81">
        <f t="shared" si="17"/>
        <v>0</v>
      </c>
    </row>
    <row r="60" spans="2:16" ht="14.25" customHeight="1" x14ac:dyDescent="0.2">
      <c r="B60" s="55"/>
      <c r="D60" s="55"/>
      <c r="E60" s="55"/>
      <c r="F60" s="55"/>
      <c r="I60" s="185"/>
    </row>
    <row r="61" spans="2:16" ht="14.25" customHeight="1" x14ac:dyDescent="0.2">
      <c r="B61" s="55"/>
      <c r="E61" s="88" t="str">
        <f>IF('Limestone Plant (LP-4)'!$E$4&gt;2,"Stock Pile Area","")</f>
        <v/>
      </c>
      <c r="F61" s="88"/>
      <c r="G61" s="89"/>
    </row>
    <row r="62" spans="2:16" ht="14.25" customHeight="1" x14ac:dyDescent="0.2">
      <c r="B62" s="55"/>
      <c r="D62" s="90"/>
      <c r="F62" s="60" t="str">
        <f>IF('Limestone Plant (LP-4)'!$E$4&gt;2,"Emission Unit #","")</f>
        <v/>
      </c>
      <c r="G62" s="95" t="str">
        <f>IF('Limestone Plant (LP-4)'!$E$4&gt;2,"Maximum Storage Area (acres)","")</f>
        <v/>
      </c>
      <c r="H62" s="96" t="str">
        <f>IF('Limestone Plant (LP-4)'!$E$4&gt;2,"Actual Storage Area (acres)","")</f>
        <v/>
      </c>
      <c r="I62" s="95" t="str">
        <f>IF('Limestone Plant (LP-4)'!$E$4&gt;2,"Actual Days in Existence (days)","")</f>
        <v/>
      </c>
    </row>
    <row r="63" spans="2:16" ht="14.25" customHeight="1" x14ac:dyDescent="0.2">
      <c r="B63" s="55"/>
      <c r="F63" s="77"/>
      <c r="G63" s="126"/>
      <c r="H63" s="78"/>
      <c r="I63" s="126"/>
    </row>
    <row r="64" spans="2:16" ht="25.5" customHeight="1" x14ac:dyDescent="0.2"/>
    <row r="66" spans="2:11" ht="28.5" customHeight="1" x14ac:dyDescent="0.25">
      <c r="B66" s="92" t="str">
        <f>IF('Limestone Plant (LP-4)'!$E$4&gt;3,"CRUSHER PLANT","")</f>
        <v/>
      </c>
      <c r="C66" s="84" t="str">
        <f>IF('Limestone Plant (LP-4)'!$E$4&gt;3,"Site 4","")</f>
        <v/>
      </c>
      <c r="E66" s="213" t="str">
        <f>IF('Limestone Plant (LP-4)'!$E$4&gt;3,"Emission Point #","")</f>
        <v/>
      </c>
      <c r="F66" s="213" t="str">
        <f>IF('Limestone Plant (LP-4)'!$E$4&gt;3,"Emission    Unit #","")</f>
        <v/>
      </c>
      <c r="G66" s="213" t="str">
        <f>IF('Limestone Plant (LP-4)'!$E$4&gt;3,"Processes","")</f>
        <v/>
      </c>
      <c r="H66" s="220" t="str">
        <f>IF('Limestone Plant (LP-4)'!$E$4&gt;3,"Combined Maximum Hourly Design Rate for all Like Processes (tons/hr)","")</f>
        <v/>
      </c>
      <c r="I66" s="213" t="str">
        <f>IF('Limestone Plant (LP-4)'!$E$4&gt;3,('Facility Information'!G43&amp;" Annual Throughput (tons)"),"")</f>
        <v/>
      </c>
    </row>
    <row r="67" spans="2:11" ht="14.25" customHeight="1" x14ac:dyDescent="0.2">
      <c r="B67" s="94" t="str">
        <f>IF('Limestone Plant (LP-4)'!$E$4&gt;3,"Site Name:","")</f>
        <v/>
      </c>
      <c r="C67" s="76"/>
      <c r="D67" s="55"/>
      <c r="E67" s="166" t="str">
        <f>IF(G67="","","LP-4 EP-1")</f>
        <v/>
      </c>
      <c r="F67" s="166" t="str">
        <f>IF(G67="","",IF(G67="primary crusher","LP-4 EU-1",IF(G67="screening","LP-4 EU-2",IF(G67="secondary crusher","LP-4 EU-3",IF(G67="tertiary crusher","LP-4 EU-4",IF(G67="fines crushing","LP-4 EU-5",IF(G67="fines screening","LP-4 EU-6",IF(G67="wet drilling: unfragmented stone","LP-4 EU-7",IF(G67="conveyor transfer points","LP-4 EU-8")))))))))</f>
        <v/>
      </c>
      <c r="G67" s="98"/>
      <c r="H67" s="167"/>
      <c r="I67" s="184"/>
      <c r="J67" s="81">
        <f t="shared" ref="J67:J74" si="20">IF($C$71="no",I67,0)</f>
        <v>0</v>
      </c>
      <c r="K67" s="81">
        <f t="shared" ref="K67:K74" si="21">IF($C$71="yes",I67,0)</f>
        <v>0</v>
      </c>
    </row>
    <row r="68" spans="2:11" ht="14.25" customHeight="1" x14ac:dyDescent="0.2">
      <c r="B68" s="94" t="str">
        <f>IF('Limestone Plant (LP-4)'!$E$4&gt;3,"County:","")</f>
        <v/>
      </c>
      <c r="C68" s="76"/>
      <c r="D68" s="55"/>
      <c r="E68" s="166" t="str">
        <f t="shared" ref="E68:E74" si="22">IF(G68="","","LP-4 EP-1")</f>
        <v/>
      </c>
      <c r="F68" s="166" t="str">
        <f t="shared" ref="F68:F74" si="23">IF(G68="","",IF(G68="primary crusher","LP-4 EU-1",IF(G68="screening","LP-4 EU-2",IF(G68="secondary crusher","LP-4 EU-3",IF(G68="tertiary crusher","LP-4 EU-4",IF(G68="fines crushing","LP-4 EU-5",IF(G68="fines screening","LP-4 EU-6",IF(G68="wet drilling: unfragmented stone","LP-4 EU-7",IF(G68="conveyor transfer points","LP-4 EU-8")))))))))</f>
        <v/>
      </c>
      <c r="G68" s="98"/>
      <c r="H68" s="167"/>
      <c r="I68" s="184"/>
      <c r="J68" s="81">
        <f t="shared" si="20"/>
        <v>0</v>
      </c>
      <c r="K68" s="81">
        <f t="shared" si="21"/>
        <v>0</v>
      </c>
    </row>
    <row r="69" spans="2:11" ht="14.25" customHeight="1" x14ac:dyDescent="0.2">
      <c r="B69" s="94" t="str">
        <f>IF('Limestone Plant (LP-4)'!$E$4&gt;3,"Crushing Period (Dates):","")</f>
        <v/>
      </c>
      <c r="C69" s="76"/>
      <c r="D69" s="55"/>
      <c r="E69" s="166" t="str">
        <f t="shared" si="22"/>
        <v/>
      </c>
      <c r="F69" s="166" t="str">
        <f t="shared" si="23"/>
        <v/>
      </c>
      <c r="G69" s="98"/>
      <c r="H69" s="167"/>
      <c r="I69" s="184"/>
      <c r="J69" s="81">
        <f t="shared" si="20"/>
        <v>0</v>
      </c>
      <c r="K69" s="81">
        <f t="shared" si="21"/>
        <v>0</v>
      </c>
    </row>
    <row r="70" spans="2:11" ht="14.25" customHeight="1" x14ac:dyDescent="0.2">
      <c r="B70" s="281" t="str">
        <f>IF('Limestone Plant (LP-4)'!$E$4&gt;3,"Controlled with Dust Suppressant or","")</f>
        <v/>
      </c>
      <c r="D70" s="55"/>
      <c r="E70" s="166" t="str">
        <f t="shared" si="22"/>
        <v/>
      </c>
      <c r="F70" s="166" t="str">
        <f t="shared" si="23"/>
        <v/>
      </c>
      <c r="G70" s="98"/>
      <c r="H70" s="167"/>
      <c r="I70" s="184"/>
      <c r="J70" s="81">
        <f t="shared" si="20"/>
        <v>0</v>
      </c>
      <c r="K70" s="81">
        <f t="shared" si="21"/>
        <v>0</v>
      </c>
    </row>
    <row r="71" spans="2:11" ht="14.25" customHeight="1" x14ac:dyDescent="0.2">
      <c r="B71" s="282" t="str">
        <f>IF('Limestone Plant (LP-4)'!$E$4&gt;3,"Material Being Processed has","")</f>
        <v/>
      </c>
      <c r="C71" s="280"/>
      <c r="D71" s="55"/>
      <c r="E71" s="166" t="str">
        <f t="shared" si="22"/>
        <v/>
      </c>
      <c r="F71" s="166" t="str">
        <f t="shared" si="23"/>
        <v/>
      </c>
      <c r="G71" s="98"/>
      <c r="H71" s="167"/>
      <c r="I71" s="184"/>
      <c r="J71" s="81">
        <f t="shared" si="20"/>
        <v>0</v>
      </c>
      <c r="K71" s="81">
        <f t="shared" si="21"/>
        <v>0</v>
      </c>
    </row>
    <row r="72" spans="2:11" ht="14.25" customHeight="1" x14ac:dyDescent="0.2">
      <c r="B72" s="284" t="str">
        <f>IF('Limestone Plant (LP-4)'!$E$4&gt;3,"Moisture Content &gt; 1.5%?","")</f>
        <v/>
      </c>
      <c r="C72" s="55"/>
      <c r="D72" s="55"/>
      <c r="E72" s="166" t="str">
        <f t="shared" si="22"/>
        <v/>
      </c>
      <c r="F72" s="166" t="str">
        <f t="shared" si="23"/>
        <v/>
      </c>
      <c r="G72" s="98"/>
      <c r="H72" s="167"/>
      <c r="I72" s="184"/>
      <c r="J72" s="81">
        <f t="shared" si="20"/>
        <v>0</v>
      </c>
      <c r="K72" s="81">
        <f t="shared" si="21"/>
        <v>0</v>
      </c>
    </row>
    <row r="73" spans="2:11" ht="14.25" customHeight="1" x14ac:dyDescent="0.2">
      <c r="B73" s="55"/>
      <c r="D73" s="55"/>
      <c r="E73" s="166" t="str">
        <f t="shared" si="22"/>
        <v/>
      </c>
      <c r="F73" s="166" t="str">
        <f t="shared" si="23"/>
        <v/>
      </c>
      <c r="G73" s="98"/>
      <c r="H73" s="167"/>
      <c r="I73" s="184"/>
      <c r="J73" s="81">
        <f t="shared" si="20"/>
        <v>0</v>
      </c>
      <c r="K73" s="81">
        <f t="shared" si="21"/>
        <v>0</v>
      </c>
    </row>
    <row r="74" spans="2:11" ht="14.25" customHeight="1" x14ac:dyDescent="0.2">
      <c r="B74" s="55"/>
      <c r="C74" s="55"/>
      <c r="D74" s="55"/>
      <c r="E74" s="166" t="str">
        <f t="shared" si="22"/>
        <v/>
      </c>
      <c r="F74" s="166" t="str">
        <f t="shared" si="23"/>
        <v/>
      </c>
      <c r="G74" s="98"/>
      <c r="H74" s="167"/>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(LP-4)'!$E$4&gt;3,"Stock Pile Area","")</f>
        <v/>
      </c>
      <c r="F76" s="88"/>
      <c r="G76" s="89"/>
    </row>
    <row r="77" spans="2:11" ht="14.25" customHeight="1" x14ac:dyDescent="0.2">
      <c r="B77" s="55"/>
      <c r="D77" s="90"/>
      <c r="F77" s="60" t="str">
        <f>IF('Limestone Plant (LP-4)'!$E$4&gt;3,"Emission Unit #","")</f>
        <v/>
      </c>
      <c r="G77" s="95" t="str">
        <f>IF('Limestone Plant (LP-4)'!$E$4&gt;3,"Maximum Storage Area (acres)","")</f>
        <v/>
      </c>
      <c r="H77" s="96" t="str">
        <f>IF('Limestone Plant (LP-4)'!$E$4&gt;3,"Actual Storage Area (acres)","")</f>
        <v/>
      </c>
      <c r="I77" s="95" t="str">
        <f>IF('Limestone Plant (LP-4)'!$E$4&gt;3,"Actual Days in Existence (days)","")</f>
        <v/>
      </c>
    </row>
    <row r="78" spans="2:11" ht="14.25" customHeight="1" x14ac:dyDescent="0.2">
      <c r="B78" s="55"/>
      <c r="F78" s="77"/>
      <c r="G78" s="126"/>
      <c r="H78" s="78"/>
      <c r="I78" s="126"/>
    </row>
    <row r="80" spans="2:11" ht="26.25" customHeight="1" x14ac:dyDescent="0.2"/>
    <row r="81" spans="2:11" ht="27.75" customHeight="1" x14ac:dyDescent="0.25">
      <c r="B81" s="92" t="str">
        <f>IF('Limestone Plant (LP-4)'!$E$4&gt;4,"CRUSHER PLANT","")</f>
        <v/>
      </c>
      <c r="C81" s="84" t="str">
        <f>IF('Limestone Plant (LP-4)'!$E$4&gt;4,"Site 5","")</f>
        <v/>
      </c>
      <c r="E81" s="213" t="str">
        <f>IF('Limestone Plant (LP-4)'!$E$4&gt;4,"Emission Point #","")</f>
        <v/>
      </c>
      <c r="F81" s="213" t="str">
        <f>IF('Limestone Plant (LP-4)'!$E$4&gt;4,"Emission    Unit #","")</f>
        <v/>
      </c>
      <c r="G81" s="213" t="str">
        <f>IF('Limestone Plant (LP-4)'!$E$4&gt;4,"Processes","")</f>
        <v/>
      </c>
      <c r="H81" s="220" t="str">
        <f>IF('Limestone Plant (LP-4)'!$E$4&gt;4,"Combined Maximum Hourly Design Rate for all Like Processes (tons/hr)","")</f>
        <v/>
      </c>
      <c r="I81" s="213" t="str">
        <f>IF('Limestone Plant (LP-4)'!$E$4&gt;4,('Facility Information'!G5&amp;" Annual Throughput (tons)"),"")</f>
        <v/>
      </c>
    </row>
    <row r="82" spans="2:11" ht="14.25" customHeight="1" x14ac:dyDescent="0.2">
      <c r="B82" s="94" t="str">
        <f>IF('Limestone Plant (LP-4)'!$E$4&gt;4,"Site Name:","")</f>
        <v/>
      </c>
      <c r="C82" s="76"/>
      <c r="D82" s="55"/>
      <c r="E82" s="166" t="str">
        <f>IF(G82="","","LP-4 EP-1")</f>
        <v/>
      </c>
      <c r="F82" s="166" t="str">
        <f>IF(G82="","",IF(G82="primary crusher","LP-4 EU-1",IF(G82="screening","LP-4 EU-2",IF(G82="secondary crusher","LP-4 EU-3",IF(G82="tertiary crusher","LP-4 EU-4",IF(G82="fines crushing","LP-4 EU-5",IF(G82="fines screening","LP-4 EU-6",IF(G82="wet drilling: unfragmented stone","LP-4 EU-7",IF(G82="conveyor transfer points","LP-4 EU-8")))))))))</f>
        <v/>
      </c>
      <c r="G82" s="98"/>
      <c r="H82" s="167"/>
      <c r="I82" s="184"/>
      <c r="J82" s="81">
        <f t="shared" ref="J82:J89" si="24">IF($C$86="no",I82,0)</f>
        <v>0</v>
      </c>
      <c r="K82" s="81">
        <f t="shared" ref="K82:K89" si="25">IF($C$86="yes",I82,0)</f>
        <v>0</v>
      </c>
    </row>
    <row r="83" spans="2:11" ht="14.25" customHeight="1" x14ac:dyDescent="0.2">
      <c r="B83" s="94" t="str">
        <f>IF('Limestone Plant (LP-4)'!$E$4&gt;4,"County:","")</f>
        <v/>
      </c>
      <c r="C83" s="76"/>
      <c r="D83" s="55"/>
      <c r="E83" s="166" t="str">
        <f t="shared" ref="E83:E89" si="26">IF(G83="","","LP-4 EP-1")</f>
        <v/>
      </c>
      <c r="F83" s="166" t="str">
        <f t="shared" ref="F83:F89" si="27">IF(G83="","",IF(G83="primary crusher","LP-4 EU-1",IF(G83="screening","LP-4 EU-2",IF(G83="secondary crusher","LP-4 EU-3",IF(G83="tertiary crusher","LP-4 EU-4",IF(G83="fines crushing","LP-4 EU-5",IF(G83="fines screening","LP-4 EU-6",IF(G83="wet drilling: unfragmented stone","LP-4 EU-7",IF(G83="conveyor transfer points","LP-4 EU-8")))))))))</f>
        <v/>
      </c>
      <c r="G83" s="98"/>
      <c r="H83" s="167"/>
      <c r="I83" s="184"/>
      <c r="J83" s="81">
        <f t="shared" si="24"/>
        <v>0</v>
      </c>
      <c r="K83" s="81">
        <f t="shared" si="25"/>
        <v>0</v>
      </c>
    </row>
    <row r="84" spans="2:11" ht="14.25" customHeight="1" x14ac:dyDescent="0.2">
      <c r="B84" s="94" t="str">
        <f>IF('Limestone Plant (LP-4)'!$E$4&gt;4,"Crushing Period (Dates):","")</f>
        <v/>
      </c>
      <c r="C84" s="76"/>
      <c r="D84" s="55"/>
      <c r="E84" s="166" t="str">
        <f t="shared" si="26"/>
        <v/>
      </c>
      <c r="F84" s="166" t="str">
        <f t="shared" si="27"/>
        <v/>
      </c>
      <c r="G84" s="98"/>
      <c r="H84" s="167"/>
      <c r="I84" s="184"/>
      <c r="J84" s="81">
        <f t="shared" si="24"/>
        <v>0</v>
      </c>
      <c r="K84" s="81">
        <f t="shared" si="25"/>
        <v>0</v>
      </c>
    </row>
    <row r="85" spans="2:11" ht="14.25" customHeight="1" x14ac:dyDescent="0.2">
      <c r="B85" s="281" t="str">
        <f>IF('Limestone Plant (LP-4)'!$E$4&gt;4,"Controlled with Dust Suppressant or","")</f>
        <v/>
      </c>
      <c r="D85" s="55"/>
      <c r="E85" s="166" t="str">
        <f t="shared" si="26"/>
        <v/>
      </c>
      <c r="F85" s="166" t="str">
        <f t="shared" si="27"/>
        <v/>
      </c>
      <c r="G85" s="98"/>
      <c r="H85" s="167"/>
      <c r="I85" s="184"/>
      <c r="J85" s="81">
        <f t="shared" si="24"/>
        <v>0</v>
      </c>
      <c r="K85" s="81">
        <f t="shared" si="25"/>
        <v>0</v>
      </c>
    </row>
    <row r="86" spans="2:11" ht="14.25" customHeight="1" x14ac:dyDescent="0.2">
      <c r="B86" s="282" t="str">
        <f>IF('Limestone Plant (LP-4)'!$E$4&gt;4,"Material Being Processed has","")</f>
        <v/>
      </c>
      <c r="C86" s="280"/>
      <c r="D86" s="55"/>
      <c r="E86" s="166" t="str">
        <f t="shared" si="26"/>
        <v/>
      </c>
      <c r="F86" s="166" t="str">
        <f t="shared" si="27"/>
        <v/>
      </c>
      <c r="G86" s="98"/>
      <c r="H86" s="167"/>
      <c r="I86" s="184"/>
      <c r="J86" s="81">
        <f t="shared" si="24"/>
        <v>0</v>
      </c>
      <c r="K86" s="81">
        <f t="shared" si="25"/>
        <v>0</v>
      </c>
    </row>
    <row r="87" spans="2:11" ht="14.25" customHeight="1" x14ac:dyDescent="0.2">
      <c r="B87" s="284" t="str">
        <f>IF('Limestone Plant (LP-4)'!$E$4&gt;4,"Moisture Content &gt; 1.5%?","")</f>
        <v/>
      </c>
      <c r="C87" s="55"/>
      <c r="D87" s="55"/>
      <c r="E87" s="166" t="str">
        <f t="shared" si="26"/>
        <v/>
      </c>
      <c r="F87" s="166" t="str">
        <f t="shared" si="27"/>
        <v/>
      </c>
      <c r="G87" s="98"/>
      <c r="H87" s="167"/>
      <c r="I87" s="184"/>
      <c r="J87" s="81">
        <f t="shared" si="24"/>
        <v>0</v>
      </c>
      <c r="K87" s="81">
        <f t="shared" si="25"/>
        <v>0</v>
      </c>
    </row>
    <row r="88" spans="2:11" ht="14.25" customHeight="1" x14ac:dyDescent="0.2">
      <c r="B88" s="55"/>
      <c r="D88" s="55"/>
      <c r="E88" s="166" t="str">
        <f t="shared" si="26"/>
        <v/>
      </c>
      <c r="F88" s="166" t="str">
        <f t="shared" si="27"/>
        <v/>
      </c>
      <c r="G88" s="98"/>
      <c r="H88" s="167"/>
      <c r="I88" s="184"/>
      <c r="J88" s="81">
        <f t="shared" si="24"/>
        <v>0</v>
      </c>
      <c r="K88" s="81">
        <f t="shared" si="25"/>
        <v>0</v>
      </c>
    </row>
    <row r="89" spans="2:11" ht="14.25" customHeight="1" x14ac:dyDescent="0.2">
      <c r="B89" s="55"/>
      <c r="C89" s="55"/>
      <c r="D89" s="55"/>
      <c r="E89" s="166" t="str">
        <f t="shared" si="26"/>
        <v/>
      </c>
      <c r="F89" s="166" t="str">
        <f t="shared" si="27"/>
        <v/>
      </c>
      <c r="G89" s="98"/>
      <c r="H89" s="167"/>
      <c r="I89" s="184"/>
      <c r="J89" s="81">
        <f t="shared" si="24"/>
        <v>0</v>
      </c>
      <c r="K89" s="81">
        <f t="shared" si="25"/>
        <v>0</v>
      </c>
    </row>
    <row r="90" spans="2:11" ht="14.25" customHeight="1" x14ac:dyDescent="0.2">
      <c r="B90" s="55"/>
      <c r="D90" s="55"/>
      <c r="E90" s="55"/>
      <c r="F90" s="55"/>
    </row>
    <row r="91" spans="2:11" ht="14.25" customHeight="1" x14ac:dyDescent="0.2">
      <c r="B91" s="55"/>
      <c r="E91" s="88" t="str">
        <f>IF('Limestone Plant (LP-4)'!$E$4&gt;4,"Stock Pile Area","")</f>
        <v/>
      </c>
      <c r="F91" s="88"/>
      <c r="G91" s="89"/>
    </row>
    <row r="92" spans="2:11" ht="14.25" customHeight="1" x14ac:dyDescent="0.2">
      <c r="B92" s="55"/>
      <c r="D92" s="90"/>
      <c r="F92" s="60" t="str">
        <f>IF('Limestone Plant (LP-4)'!$E$4&gt;4,"Emission Unit #","")</f>
        <v/>
      </c>
      <c r="G92" s="95" t="str">
        <f>IF('Limestone Plant (LP-4)'!$E$4&gt;4,"Maximum Storage Area (acres)","")</f>
        <v/>
      </c>
      <c r="H92" s="96" t="str">
        <f>IF('Limestone Plant (LP-4)'!$E$4&gt;4,"Actual Storage Area (acres)","")</f>
        <v/>
      </c>
      <c r="I92" s="95" t="str">
        <f>IF('Limestone Plant (LP-4)'!$E$4&gt;4,"Actual Days in Existence (days)","")</f>
        <v/>
      </c>
    </row>
    <row r="93" spans="2:11" ht="14.25" customHeight="1" x14ac:dyDescent="0.2">
      <c r="B93" s="55"/>
      <c r="F93" s="72"/>
      <c r="G93" s="126"/>
      <c r="H93" s="78"/>
      <c r="I93" s="126"/>
    </row>
    <row r="94" spans="2:11" ht="25.5" customHeight="1" x14ac:dyDescent="0.2"/>
    <row r="96" spans="2:11" ht="27.75" customHeight="1" x14ac:dyDescent="0.25">
      <c r="B96" s="92" t="str">
        <f>IF('Limestone Plant (LP-4)'!$E$4&gt;5,"CRUSHER PLANT","")</f>
        <v/>
      </c>
      <c r="C96" s="84" t="str">
        <f>IF('Limestone Plant (LP-4)'!$E$4&gt;5,"Site 6","")</f>
        <v/>
      </c>
      <c r="E96" s="213" t="str">
        <f>IF('Limestone Plant (LP-4)'!$E$4&gt;5,"Emission Point #","")</f>
        <v/>
      </c>
      <c r="F96" s="213" t="str">
        <f>IF('Limestone Plant (LP-4)'!$E$4&gt;5,"Emission    Unit #","")</f>
        <v/>
      </c>
      <c r="G96" s="213" t="str">
        <f>IF('Limestone Plant (LP-4)'!$E$4&gt;5,"Processes","")</f>
        <v/>
      </c>
      <c r="H96" s="220" t="str">
        <f>IF('Limestone Plant (LP-4)'!$E$4&gt;5,"Combined Maximum Hourly Design Rate for all Like Processes (tons/hr)","")</f>
        <v/>
      </c>
      <c r="I96" s="213" t="str">
        <f>IF('Limestone Plant (LP-4)'!$E$4&gt;5,('Facility Information'!G5&amp;" Annual Throughput (tons)"),"")</f>
        <v/>
      </c>
    </row>
    <row r="97" spans="2:11" ht="14.25" customHeight="1" x14ac:dyDescent="0.2">
      <c r="B97" s="94" t="str">
        <f>IF('Limestone Plant (LP-4)'!$E$4&gt;5,"Site Name:","")</f>
        <v/>
      </c>
      <c r="C97" s="76"/>
      <c r="D97" s="55"/>
      <c r="E97" s="166" t="str">
        <f>IF(G97="","","LP-4 EP-1")</f>
        <v/>
      </c>
      <c r="F97" s="166" t="str">
        <f>IF(G97="","",IF(G97="primary crusher","LP-4 EU-1",IF(G97="screening","LP-4 EU-2",IF(G97="secondary crusher","LP-4 EU-3",IF(G97="tertiary crusher","LP-4 EU-4",IF(G97="fines crushing","LP-4 EU-5",IF(G97="fines screening","LP-4 EU-6",IF(G97="wet drilling: unfragmented stone","LP-4 EU-7",IF(G97="conveyor transfer points","LP-4 EU-8")))))))))</f>
        <v/>
      </c>
      <c r="G97" s="98"/>
      <c r="H97" s="167"/>
      <c r="I97" s="184"/>
      <c r="J97" s="81">
        <f t="shared" ref="J97:J104" si="28">IF($C$101="no",I97,0)</f>
        <v>0</v>
      </c>
      <c r="K97" s="81">
        <f t="shared" ref="K97:K104" si="29">IF($C$101="yes",I97,0)</f>
        <v>0</v>
      </c>
    </row>
    <row r="98" spans="2:11" ht="14.25" customHeight="1" x14ac:dyDescent="0.2">
      <c r="B98" s="94" t="str">
        <f>IF('Limestone Plant (LP-4)'!$E$4&gt;5,"County:","")</f>
        <v/>
      </c>
      <c r="C98" s="76"/>
      <c r="D98" s="55"/>
      <c r="E98" s="166" t="str">
        <f t="shared" ref="E98:E104" si="30">IF(G98="","","LP-4 EP-1")</f>
        <v/>
      </c>
      <c r="F98" s="166" t="str">
        <f t="shared" ref="F98:F104" si="31">IF(G98="","",IF(G98="primary crusher","LP-4 EU-1",IF(G98="screening","LP-4 EU-2",IF(G98="secondary crusher","LP-4 EU-3",IF(G98="tertiary crusher","LP-4 EU-4",IF(G98="fines crushing","LP-4 EU-5",IF(G98="fines screening","LP-4 EU-6",IF(G98="wet drilling: unfragmented stone","LP-4 EU-7",IF(G98="conveyor transfer points","LP-4 EU-8")))))))))</f>
        <v/>
      </c>
      <c r="G98" s="98"/>
      <c r="H98" s="167"/>
      <c r="I98" s="184"/>
      <c r="J98" s="81">
        <f t="shared" si="28"/>
        <v>0</v>
      </c>
      <c r="K98" s="81">
        <f t="shared" si="29"/>
        <v>0</v>
      </c>
    </row>
    <row r="99" spans="2:11" ht="14.25" customHeight="1" x14ac:dyDescent="0.2">
      <c r="B99" s="94" t="str">
        <f>IF('Limestone Plant (LP-4)'!$E$4&gt;5,"Crushing Period (Dates):","")</f>
        <v/>
      </c>
      <c r="C99" s="76"/>
      <c r="D99" s="55"/>
      <c r="E99" s="166" t="str">
        <f t="shared" si="30"/>
        <v/>
      </c>
      <c r="F99" s="166" t="str">
        <f t="shared" si="31"/>
        <v/>
      </c>
      <c r="G99" s="98"/>
      <c r="H99" s="167"/>
      <c r="I99" s="184"/>
      <c r="J99" s="81">
        <f t="shared" si="28"/>
        <v>0</v>
      </c>
      <c r="K99" s="81">
        <f t="shared" si="29"/>
        <v>0</v>
      </c>
    </row>
    <row r="100" spans="2:11" ht="14.25" customHeight="1" x14ac:dyDescent="0.2">
      <c r="B100" s="281" t="str">
        <f>IF('Limestone Plant (LP-4)'!$E$4&gt;5,"Controlled with Dust Suppressant or","")</f>
        <v/>
      </c>
      <c r="D100" s="55"/>
      <c r="E100" s="166" t="str">
        <f t="shared" si="30"/>
        <v/>
      </c>
      <c r="F100" s="166" t="str">
        <f t="shared" si="31"/>
        <v/>
      </c>
      <c r="G100" s="98"/>
      <c r="H100" s="167"/>
      <c r="I100" s="184"/>
      <c r="J100" s="81">
        <f t="shared" si="28"/>
        <v>0</v>
      </c>
      <c r="K100" s="81">
        <f t="shared" si="29"/>
        <v>0</v>
      </c>
    </row>
    <row r="101" spans="2:11" ht="14.25" customHeight="1" x14ac:dyDescent="0.2">
      <c r="B101" s="282" t="str">
        <f>IF('Limestone Plant (LP-4)'!$E$4&gt;5,"Material Being Processed has","")</f>
        <v/>
      </c>
      <c r="C101" s="280"/>
      <c r="D101" s="55"/>
      <c r="E101" s="166" t="str">
        <f t="shared" si="30"/>
        <v/>
      </c>
      <c r="F101" s="166" t="str">
        <f t="shared" si="31"/>
        <v/>
      </c>
      <c r="G101" s="98"/>
      <c r="H101" s="167"/>
      <c r="I101" s="184"/>
      <c r="J101" s="81">
        <f t="shared" si="28"/>
        <v>0</v>
      </c>
      <c r="K101" s="81">
        <f t="shared" si="29"/>
        <v>0</v>
      </c>
    </row>
    <row r="102" spans="2:11" ht="14.25" customHeight="1" x14ac:dyDescent="0.2">
      <c r="B102" s="284" t="str">
        <f>IF('Limestone Plant (LP-4)'!$E$4&gt;5,"Moisture Content &gt; 1.5%?","")</f>
        <v/>
      </c>
      <c r="C102" s="55"/>
      <c r="D102" s="55"/>
      <c r="E102" s="166" t="str">
        <f t="shared" si="30"/>
        <v/>
      </c>
      <c r="F102" s="166" t="str">
        <f t="shared" si="31"/>
        <v/>
      </c>
      <c r="G102" s="98"/>
      <c r="H102" s="167"/>
      <c r="I102" s="184"/>
      <c r="J102" s="81">
        <f t="shared" si="28"/>
        <v>0</v>
      </c>
      <c r="K102" s="81">
        <f t="shared" si="29"/>
        <v>0</v>
      </c>
    </row>
    <row r="103" spans="2:11" ht="14.25" customHeight="1" x14ac:dyDescent="0.2">
      <c r="B103" s="55"/>
      <c r="D103" s="55"/>
      <c r="E103" s="166" t="str">
        <f t="shared" si="30"/>
        <v/>
      </c>
      <c r="F103" s="166" t="str">
        <f t="shared" si="31"/>
        <v/>
      </c>
      <c r="G103" s="98"/>
      <c r="H103" s="167"/>
      <c r="I103" s="184"/>
      <c r="J103" s="81">
        <f t="shared" si="28"/>
        <v>0</v>
      </c>
      <c r="K103" s="81">
        <f t="shared" si="29"/>
        <v>0</v>
      </c>
    </row>
    <row r="104" spans="2:11" ht="14.25" customHeight="1" x14ac:dyDescent="0.2">
      <c r="B104" s="55"/>
      <c r="C104" s="55"/>
      <c r="D104" s="55"/>
      <c r="E104" s="166" t="str">
        <f t="shared" si="30"/>
        <v/>
      </c>
      <c r="F104" s="166" t="str">
        <f t="shared" si="31"/>
        <v/>
      </c>
      <c r="G104" s="98"/>
      <c r="H104" s="167"/>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(LP-4)'!$E$4&gt;5,"Stock Pile Area","")</f>
        <v/>
      </c>
      <c r="F106" s="88"/>
      <c r="G106" s="89"/>
    </row>
    <row r="107" spans="2:11" ht="14.25" customHeight="1" x14ac:dyDescent="0.2">
      <c r="B107" s="55"/>
      <c r="D107" s="90"/>
      <c r="F107" s="60" t="str">
        <f>IF('Limestone Plant (LP-4)'!$E$4&gt;5,"Emission Unit #","")</f>
        <v/>
      </c>
      <c r="G107" s="95" t="str">
        <f>IF('Limestone Plant (LP-4)'!$E$4&gt;5,"Maximum Storage Area (acres)","")</f>
        <v/>
      </c>
      <c r="H107" s="96" t="str">
        <f>IF('Limestone Plant (LP-4)'!$E$4&gt;5,"Actual Storage Area (acres)","")</f>
        <v/>
      </c>
      <c r="I107" s="95" t="str">
        <f>IF('Limestone Plant (LP-4)'!$E$4&gt;5,"Actual Days in Existence (days)","")</f>
        <v/>
      </c>
    </row>
    <row r="108" spans="2:11" ht="14.25" customHeight="1" x14ac:dyDescent="0.2">
      <c r="B108" s="55"/>
      <c r="F108" s="77"/>
      <c r="G108" s="126"/>
      <c r="H108" s="78"/>
      <c r="I108" s="126"/>
    </row>
    <row r="109" spans="2:11" ht="26.25" customHeight="1" x14ac:dyDescent="0.2"/>
    <row r="111" spans="2:11" ht="28.5" customHeight="1" x14ac:dyDescent="0.25">
      <c r="B111" s="92" t="str">
        <f>IF('Limestone Plant (LP-4)'!$E$4&gt;6,"CRUSHER PLANT","")</f>
        <v/>
      </c>
      <c r="C111" s="84" t="str">
        <f>IF('Limestone Plant (LP-4)'!$E$4&gt;6,"Site 7","")</f>
        <v/>
      </c>
      <c r="E111" s="213" t="str">
        <f>IF('Limestone Plant (LP-4)'!$E$4&gt;6,"Emission Point #","")</f>
        <v/>
      </c>
      <c r="F111" s="213" t="str">
        <f>IF('Limestone Plant (LP-4)'!$E$4&gt;6,"Emission    Unit #","")</f>
        <v/>
      </c>
      <c r="G111" s="213" t="str">
        <f>IF('Limestone Plant (LP-4)'!$E$4&gt;6,"Processes","")</f>
        <v/>
      </c>
      <c r="H111" s="220" t="str">
        <f>IF('Limestone Plant (LP-4)'!$E$4&gt;6,"Combined Maximum Hourly Design Rate for all Like Processes (tons/hr)","")</f>
        <v/>
      </c>
      <c r="I111" s="213" t="str">
        <f>IF('Limestone Plant (LP-4)'!$E$4&gt;6,('Facility Information'!G5&amp;" Annual Throughput (tons)"),"")</f>
        <v/>
      </c>
    </row>
    <row r="112" spans="2:11" ht="14.25" customHeight="1" x14ac:dyDescent="0.2">
      <c r="B112" s="94" t="str">
        <f>IF('Limestone Plant (LP-4)'!$E$4&gt;6,"Site Name:","")</f>
        <v/>
      </c>
      <c r="C112" s="76"/>
      <c r="D112" s="55"/>
      <c r="E112" s="166" t="str">
        <f>IF(G112="","","LP-4 EP-1")</f>
        <v/>
      </c>
      <c r="F112" s="166" t="str">
        <f>IF(G112="","",IF(G112="primary crusher","LP-4 EU-1",IF(G112="screening","LP-4 EU-2",IF(G112="secondary crusher","LP-4 EU-3",IF(G112="tertiary crusher","LP-4 EU-4",IF(G112="fines crushing","LP-4 EU-5",IF(G112="fines screening","LP-4 EU-6",IF(G112="wet drilling: unfragmented stone","LP-4 EU-7",IF(G112="conveyor transfer points","LP-4 EU-8")))))))))</f>
        <v/>
      </c>
      <c r="G112" s="98"/>
      <c r="H112" s="167"/>
      <c r="I112" s="184"/>
      <c r="J112" s="81">
        <f t="shared" ref="J112:J119" si="32">IF($C$116="no",I112,0)</f>
        <v>0</v>
      </c>
      <c r="K112" s="81">
        <f t="shared" ref="K112:K119" si="33">IF($C$116="yes",I112,0)</f>
        <v>0</v>
      </c>
    </row>
    <row r="113" spans="2:11" ht="14.25" customHeight="1" x14ac:dyDescent="0.2">
      <c r="B113" s="94" t="str">
        <f>IF('Limestone Plant (LP-4)'!$E$4&gt;6,"County:","")</f>
        <v/>
      </c>
      <c r="C113" s="76"/>
      <c r="D113" s="55"/>
      <c r="E113" s="166" t="str">
        <f t="shared" ref="E113:E119" si="34">IF(G113="","","LP-4 EP-1")</f>
        <v/>
      </c>
      <c r="F113" s="166" t="str">
        <f t="shared" ref="F113:F119" si="35">IF(G113="","",IF(G113="primary crusher","LP-4 EU-1",IF(G113="screening","LP-4 EU-2",IF(G113="secondary crusher","LP-4 EU-3",IF(G113="tertiary crusher","LP-4 EU-4",IF(G113="fines crushing","LP-4 EU-5",IF(G113="fines screening","LP-4 EU-6",IF(G113="wet drilling: unfragmented stone","LP-4 EU-7",IF(G113="conveyor transfer points","LP-4 EU-8")))))))))</f>
        <v/>
      </c>
      <c r="G113" s="98"/>
      <c r="H113" s="167"/>
      <c r="I113" s="184"/>
      <c r="J113" s="81">
        <f t="shared" si="32"/>
        <v>0</v>
      </c>
      <c r="K113" s="81">
        <f t="shared" si="33"/>
        <v>0</v>
      </c>
    </row>
    <row r="114" spans="2:11" ht="14.25" customHeight="1" x14ac:dyDescent="0.2">
      <c r="B114" s="94" t="str">
        <f>IF('Limestone Plant (LP-4)'!$E$4&gt;6,"Crushing Period (Dates):","")</f>
        <v/>
      </c>
      <c r="C114" s="76"/>
      <c r="D114" s="55"/>
      <c r="E114" s="166" t="str">
        <f t="shared" si="34"/>
        <v/>
      </c>
      <c r="F114" s="166" t="str">
        <f t="shared" si="35"/>
        <v/>
      </c>
      <c r="G114" s="98"/>
      <c r="H114" s="167"/>
      <c r="I114" s="184"/>
      <c r="J114" s="81">
        <f t="shared" si="32"/>
        <v>0</v>
      </c>
      <c r="K114" s="81">
        <f t="shared" si="33"/>
        <v>0</v>
      </c>
    </row>
    <row r="115" spans="2:11" ht="14.25" customHeight="1" x14ac:dyDescent="0.2">
      <c r="B115" s="281" t="str">
        <f>IF('Limestone Plant (LP-4)'!$E$4&gt;6,"Controlled with Dust Suppressant or","")</f>
        <v/>
      </c>
      <c r="D115" s="55"/>
      <c r="E115" s="166" t="str">
        <f t="shared" si="34"/>
        <v/>
      </c>
      <c r="F115" s="166" t="str">
        <f t="shared" si="35"/>
        <v/>
      </c>
      <c r="G115" s="98"/>
      <c r="H115" s="167"/>
      <c r="I115" s="184"/>
      <c r="J115" s="81">
        <f t="shared" si="32"/>
        <v>0</v>
      </c>
      <c r="K115" s="81">
        <f t="shared" si="33"/>
        <v>0</v>
      </c>
    </row>
    <row r="116" spans="2:11" ht="14.25" customHeight="1" x14ac:dyDescent="0.2">
      <c r="B116" s="282" t="str">
        <f>IF('Limestone Plant (LP-4)'!$E$4&gt;6,"Material Being Processed has","")</f>
        <v/>
      </c>
      <c r="C116" s="280"/>
      <c r="D116" s="55"/>
      <c r="E116" s="166" t="str">
        <f t="shared" si="34"/>
        <v/>
      </c>
      <c r="F116" s="166" t="str">
        <f t="shared" si="35"/>
        <v/>
      </c>
      <c r="G116" s="98"/>
      <c r="H116" s="167"/>
      <c r="I116" s="184"/>
      <c r="J116" s="81">
        <f t="shared" si="32"/>
        <v>0</v>
      </c>
      <c r="K116" s="81">
        <f t="shared" si="33"/>
        <v>0</v>
      </c>
    </row>
    <row r="117" spans="2:11" ht="14.25" customHeight="1" x14ac:dyDescent="0.2">
      <c r="B117" s="284" t="str">
        <f>IF('Limestone Plant (LP-4)'!$E$4&gt;6,"Moisture Content &gt; 1.5%?","")</f>
        <v/>
      </c>
      <c r="C117" s="55"/>
      <c r="D117" s="55"/>
      <c r="E117" s="166" t="str">
        <f t="shared" si="34"/>
        <v/>
      </c>
      <c r="F117" s="166" t="str">
        <f t="shared" si="35"/>
        <v/>
      </c>
      <c r="G117" s="98"/>
      <c r="H117" s="167"/>
      <c r="I117" s="184"/>
      <c r="J117" s="81">
        <f t="shared" si="32"/>
        <v>0</v>
      </c>
      <c r="K117" s="81">
        <f t="shared" si="33"/>
        <v>0</v>
      </c>
    </row>
    <row r="118" spans="2:11" ht="14.25" customHeight="1" x14ac:dyDescent="0.2">
      <c r="B118" s="55"/>
      <c r="D118" s="55"/>
      <c r="E118" s="166" t="str">
        <f t="shared" si="34"/>
        <v/>
      </c>
      <c r="F118" s="166" t="str">
        <f t="shared" si="35"/>
        <v/>
      </c>
      <c r="G118" s="98"/>
      <c r="H118" s="167"/>
      <c r="I118" s="184"/>
      <c r="J118" s="81">
        <f t="shared" si="32"/>
        <v>0</v>
      </c>
      <c r="K118" s="81">
        <f t="shared" si="33"/>
        <v>0</v>
      </c>
    </row>
    <row r="119" spans="2:11" ht="14.25" customHeight="1" x14ac:dyDescent="0.2">
      <c r="B119" s="55"/>
      <c r="C119" s="55"/>
      <c r="D119" s="55"/>
      <c r="E119" s="166" t="str">
        <f t="shared" si="34"/>
        <v/>
      </c>
      <c r="F119" s="166" t="str">
        <f t="shared" si="35"/>
        <v/>
      </c>
      <c r="G119" s="98"/>
      <c r="H119" s="167"/>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(LP-4)'!$E$4&gt;6,"Stock Pile Area","")</f>
        <v/>
      </c>
      <c r="F121" s="88"/>
      <c r="G121" s="89"/>
    </row>
    <row r="122" spans="2:11" ht="14.25" customHeight="1" x14ac:dyDescent="0.2">
      <c r="B122" s="55"/>
      <c r="D122" s="90"/>
      <c r="F122" s="60" t="str">
        <f>IF('Limestone Plant (LP-4)'!$E$4&gt;6,"Emission Unit #","")</f>
        <v/>
      </c>
      <c r="G122" s="95" t="str">
        <f>IF('Limestone Plant (LP-4)'!$E$4&gt;6,"Maximum Storage Area (acres)","")</f>
        <v/>
      </c>
      <c r="H122" s="96" t="str">
        <f>IF('Limestone Plant (LP-4)'!$E$4&gt;6,"Actual Storage Area (acres)","")</f>
        <v/>
      </c>
      <c r="I122" s="95" t="str">
        <f>IF('Limestone Plant (LP-4)'!$E$4&gt;6,"Actual Days in Existence (days)","")</f>
        <v/>
      </c>
    </row>
    <row r="123" spans="2:11" ht="14.25" customHeight="1" x14ac:dyDescent="0.2">
      <c r="B123" s="55"/>
      <c r="F123" s="77"/>
      <c r="G123" s="126"/>
      <c r="H123" s="78"/>
      <c r="I123" s="126"/>
    </row>
    <row r="124" spans="2:11" ht="25.5" customHeight="1" x14ac:dyDescent="0.2"/>
    <row r="126" spans="2:11" ht="29.25" customHeight="1" x14ac:dyDescent="0.25">
      <c r="B126" s="92" t="str">
        <f>IF('Limestone Plant (LP-4)'!$E$4&gt;7,"CRUSHER PLANT","")</f>
        <v/>
      </c>
      <c r="C126" s="84" t="str">
        <f>IF('Limestone Plant (LP-4)'!$E$4&gt;7,"Site 8","")</f>
        <v/>
      </c>
      <c r="E126" s="213" t="str">
        <f>IF('Limestone Plant (LP-4)'!$E$4&gt;7,"Emission Point #","")</f>
        <v/>
      </c>
      <c r="F126" s="213" t="str">
        <f>IF('Limestone Plant (LP-4)'!$E$4&gt;7,"Emission   Unit #","")</f>
        <v/>
      </c>
      <c r="G126" s="213" t="str">
        <f>IF('Limestone Plant (LP-4)'!$E$4&gt;7,"Processes","")</f>
        <v/>
      </c>
      <c r="H126" s="220" t="str">
        <f>IF('Limestone Plant (LP-4)'!$E$4&gt;7,"Combined Maximum Hourly Design Rate for all Like Processes (tons/hr)","")</f>
        <v/>
      </c>
      <c r="I126" s="213" t="str">
        <f>IF('Limestone Plant (LP-4)'!$E$4&gt;7,('Facility Information'!G5&amp;" Annual Throughput (tons)"),"")</f>
        <v/>
      </c>
    </row>
    <row r="127" spans="2:11" ht="14.25" customHeight="1" x14ac:dyDescent="0.2">
      <c r="B127" s="94" t="str">
        <f>IF('Limestone Plant (LP-4)'!$E$4&gt;7,"Site Name:","")</f>
        <v/>
      </c>
      <c r="C127" s="76"/>
      <c r="D127" s="55"/>
      <c r="E127" s="166" t="str">
        <f>IF(G127="","","LP-4 EP-1")</f>
        <v/>
      </c>
      <c r="F127" s="166" t="str">
        <f>IF(G127="","",IF(G127="primary crusher","LP-4 EU-1",IF(G127="screening","LP-4 EU-2",IF(G127="secondary crusher","LP-4 EU-3",IF(G127="tertiary crusher","LP-4 EU-4",IF(G127="fines crushing","LP-4 EU-5",IF(G127="fines screening","LP-4 EU-6",IF(G127="wet drilling: unfragmented stone","LP-4 EU-7",IF(G127="conveyor transfer points","LP-4 EU-8")))))))))</f>
        <v/>
      </c>
      <c r="G127" s="98"/>
      <c r="H127" s="167"/>
      <c r="I127" s="184"/>
      <c r="J127" s="81">
        <f t="shared" ref="J127:J134" si="36">IF($C$131="no",I127,0)</f>
        <v>0</v>
      </c>
      <c r="K127" s="81">
        <f t="shared" ref="K127:K134" si="37">IF($C$131="yes",I127,0)</f>
        <v>0</v>
      </c>
    </row>
    <row r="128" spans="2:11" ht="14.25" customHeight="1" x14ac:dyDescent="0.2">
      <c r="B128" s="94" t="str">
        <f>IF('Limestone Plant (LP-4)'!$E$4&gt;7,"County:","")</f>
        <v/>
      </c>
      <c r="C128" s="76"/>
      <c r="D128" s="55"/>
      <c r="E128" s="166" t="str">
        <f t="shared" ref="E128:E134" si="38">IF(G128="","","LP-4 EP-1")</f>
        <v/>
      </c>
      <c r="F128" s="166" t="str">
        <f t="shared" ref="F128:F134" si="39">IF(G128="","",IF(G128="primary crusher","LP-4 EU-1",IF(G128="screening","LP-4 EU-2",IF(G128="secondary crusher","LP-4 EU-3",IF(G128="tertiary crusher","LP-4 EU-4",IF(G128="fines crushing","LP-4 EU-5",IF(G128="fines screening","LP-4 EU-6",IF(G128="wet drilling: unfragmented stone","LP-4 EU-7",IF(G128="conveyor transfer points","LP-4 EU-8")))))))))</f>
        <v/>
      </c>
      <c r="G128" s="98"/>
      <c r="H128" s="167"/>
      <c r="I128" s="184"/>
      <c r="J128" s="81">
        <f t="shared" si="36"/>
        <v>0</v>
      </c>
      <c r="K128" s="81">
        <f t="shared" si="37"/>
        <v>0</v>
      </c>
    </row>
    <row r="129" spans="2:11" ht="14.25" customHeight="1" x14ac:dyDescent="0.2">
      <c r="B129" s="94" t="str">
        <f>IF('Limestone Plant (LP-4)'!$E$4&gt;7,"Crushing Period (Dates):","")</f>
        <v/>
      </c>
      <c r="C129" s="186"/>
      <c r="D129" s="55"/>
      <c r="E129" s="166" t="str">
        <f t="shared" si="38"/>
        <v/>
      </c>
      <c r="F129" s="166" t="str">
        <f t="shared" si="39"/>
        <v/>
      </c>
      <c r="G129" s="98"/>
      <c r="H129" s="167"/>
      <c r="I129" s="184"/>
      <c r="J129" s="81">
        <f t="shared" si="36"/>
        <v>0</v>
      </c>
      <c r="K129" s="81">
        <f t="shared" si="37"/>
        <v>0</v>
      </c>
    </row>
    <row r="130" spans="2:11" ht="14.25" customHeight="1" x14ac:dyDescent="0.2">
      <c r="B130" s="281" t="str">
        <f>IF('Limestone Plant (LP-4)'!$E$4&gt;7,"Controlled with Dust Suppressant or","")</f>
        <v/>
      </c>
      <c r="D130" s="55"/>
      <c r="E130" s="166" t="str">
        <f t="shared" si="38"/>
        <v/>
      </c>
      <c r="F130" s="166" t="str">
        <f t="shared" si="39"/>
        <v/>
      </c>
      <c r="G130" s="98"/>
      <c r="H130" s="167"/>
      <c r="I130" s="184"/>
      <c r="J130" s="81">
        <f t="shared" si="36"/>
        <v>0</v>
      </c>
      <c r="K130" s="81">
        <f t="shared" si="37"/>
        <v>0</v>
      </c>
    </row>
    <row r="131" spans="2:11" ht="14.25" customHeight="1" x14ac:dyDescent="0.2">
      <c r="B131" s="282" t="str">
        <f>IF('Limestone Plant (LP-4)'!$E$4&gt;7,"Material Being Processed has","")</f>
        <v/>
      </c>
      <c r="C131" s="280"/>
      <c r="D131" s="55"/>
      <c r="E131" s="166" t="str">
        <f t="shared" si="38"/>
        <v/>
      </c>
      <c r="F131" s="166" t="str">
        <f t="shared" si="39"/>
        <v/>
      </c>
      <c r="G131" s="98"/>
      <c r="H131" s="167"/>
      <c r="I131" s="184"/>
      <c r="J131" s="81">
        <f t="shared" si="36"/>
        <v>0</v>
      </c>
      <c r="K131" s="81">
        <f t="shared" si="37"/>
        <v>0</v>
      </c>
    </row>
    <row r="132" spans="2:11" ht="14.25" customHeight="1" x14ac:dyDescent="0.2">
      <c r="B132" s="284" t="str">
        <f>IF('Limestone Plant (LP-4)'!$E$4&gt;7,"Moisture Content &gt; 1.5%?","")</f>
        <v/>
      </c>
      <c r="C132" s="55"/>
      <c r="D132" s="55"/>
      <c r="E132" s="166" t="str">
        <f t="shared" si="38"/>
        <v/>
      </c>
      <c r="F132" s="166" t="str">
        <f t="shared" si="39"/>
        <v/>
      </c>
      <c r="G132" s="98"/>
      <c r="H132" s="167"/>
      <c r="I132" s="184"/>
      <c r="J132" s="81">
        <f t="shared" si="36"/>
        <v>0</v>
      </c>
      <c r="K132" s="81">
        <f t="shared" si="37"/>
        <v>0</v>
      </c>
    </row>
    <row r="133" spans="2:11" ht="14.25" customHeight="1" x14ac:dyDescent="0.2">
      <c r="B133" s="55"/>
      <c r="D133" s="55"/>
      <c r="E133" s="166" t="str">
        <f t="shared" si="38"/>
        <v/>
      </c>
      <c r="F133" s="166" t="str">
        <f t="shared" si="39"/>
        <v/>
      </c>
      <c r="G133" s="98"/>
      <c r="H133" s="167"/>
      <c r="I133" s="184"/>
      <c r="J133" s="81">
        <f t="shared" si="36"/>
        <v>0</v>
      </c>
      <c r="K133" s="81">
        <f t="shared" si="37"/>
        <v>0</v>
      </c>
    </row>
    <row r="134" spans="2:11" ht="14.25" customHeight="1" x14ac:dyDescent="0.2">
      <c r="B134" s="55"/>
      <c r="C134" s="55"/>
      <c r="D134" s="55"/>
      <c r="E134" s="166" t="str">
        <f t="shared" si="38"/>
        <v/>
      </c>
      <c r="F134" s="166" t="str">
        <f t="shared" si="39"/>
        <v/>
      </c>
      <c r="G134" s="98"/>
      <c r="H134" s="167"/>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(LP-4)'!$E$4&gt;7,"Stock Pile Area","")</f>
        <v/>
      </c>
      <c r="F136" s="88"/>
      <c r="G136" s="89"/>
    </row>
    <row r="137" spans="2:11" ht="14.25" customHeight="1" x14ac:dyDescent="0.2">
      <c r="B137" s="55"/>
      <c r="D137" s="90"/>
      <c r="F137" s="60" t="str">
        <f>IF('Limestone Plant (LP-4)'!$E$4&gt;7,"Emission Unit #","")</f>
        <v/>
      </c>
      <c r="G137" s="95" t="str">
        <f>IF('Limestone Plant (LP-4)'!$E$4&gt;7,"Maximum Storage Area (acres)","")</f>
        <v/>
      </c>
      <c r="H137" s="96" t="str">
        <f>IF('Limestone Plant (LP-4)'!$E$4&gt;7,"Actual Storage Area (acres)","")</f>
        <v/>
      </c>
      <c r="I137" s="95" t="str">
        <f>IF('Limestone Plant (LP-4)'!$E$4&gt;7,"Actual Days in Existence (days)","")</f>
        <v/>
      </c>
    </row>
    <row r="138" spans="2:11" ht="14.25" customHeight="1" x14ac:dyDescent="0.2">
      <c r="B138" s="55"/>
      <c r="F138" s="77"/>
      <c r="G138" s="126"/>
      <c r="H138" s="78"/>
      <c r="I138" s="126"/>
    </row>
    <row r="139" spans="2:11" ht="26.25" customHeight="1" x14ac:dyDescent="0.2"/>
    <row r="141" spans="2:11" ht="28.5" customHeight="1" x14ac:dyDescent="0.25">
      <c r="B141" s="92" t="str">
        <f>IF('Limestone Plant (LP-4)'!$E$4&gt;8,"CRUSHER PLANT","")</f>
        <v/>
      </c>
      <c r="C141" s="84" t="str">
        <f>IF('Limestone Plant (LP-4)'!$E$4&gt;8,"Site 9","")</f>
        <v/>
      </c>
      <c r="E141" s="213" t="str">
        <f>IF('Limestone Plant (LP-4)'!$E$4&gt;8,"Emission Point #","")</f>
        <v/>
      </c>
      <c r="F141" s="213" t="str">
        <f>IF('Limestone Plant (LP-4)'!$E$4&gt;8,"Emission   Unit #","")</f>
        <v/>
      </c>
      <c r="G141" s="213" t="str">
        <f>IF('Limestone Plant (LP-4)'!$E$4&gt;8,"Processes","")</f>
        <v/>
      </c>
      <c r="H141" s="220" t="str">
        <f>IF('Limestone Plant (LP-4)'!$E$4&gt;8,"Combined Maximum Hourly Design Rate for all Like Processes (tons/hr)","")</f>
        <v/>
      </c>
      <c r="I141" s="213" t="str">
        <f>IF('Limestone Plant (LP-4)'!$E$4&gt;8,('Facility Information'!G5&amp;" Annual Throughput (tons)"),"")</f>
        <v/>
      </c>
    </row>
    <row r="142" spans="2:11" ht="14.25" customHeight="1" x14ac:dyDescent="0.2">
      <c r="B142" s="94" t="str">
        <f>IF('Limestone Plant (LP-4)'!$E$4&gt;8,"Site Name:","")</f>
        <v/>
      </c>
      <c r="C142" s="76"/>
      <c r="D142" s="55"/>
      <c r="E142" s="166" t="str">
        <f>IF(G142="","","LP-4 EP-1")</f>
        <v/>
      </c>
      <c r="F142" s="166" t="str">
        <f>IF(G142="","",IF(G142="primary crusher","LP-4 EU-1",IF(G142="screening","LP-4 EU-2",IF(G142="secondary crusher","LP-4 EU-3",IF(G142="tertiary crusher","LP-4 EU-4",IF(G142="fines crushing","LP-4 EU-5",IF(G142="fines screening","LP-4 EU-6",IF(G142="wet drilling: unfragmented stone","LP-4 EU-7",IF(G142="conveyor transfer points","LP-4 EU-8")))))))))</f>
        <v/>
      </c>
      <c r="G142" s="98"/>
      <c r="H142" s="167"/>
      <c r="I142" s="184"/>
      <c r="J142" s="81">
        <f t="shared" ref="J142:J149" si="40">IF($C$146="no",I142,0)</f>
        <v>0</v>
      </c>
      <c r="K142" s="81">
        <f t="shared" ref="K142:K149" si="41">IF($C$146="yes",I142,0)</f>
        <v>0</v>
      </c>
    </row>
    <row r="143" spans="2:11" ht="14.25" customHeight="1" x14ac:dyDescent="0.2">
      <c r="B143" s="94" t="str">
        <f>IF('Limestone Plant (LP-4)'!$E$4&gt;8,"County:","")</f>
        <v/>
      </c>
      <c r="C143" s="76"/>
      <c r="D143" s="55"/>
      <c r="E143" s="166" t="str">
        <f t="shared" ref="E143:E149" si="42">IF(G143="","","LP-4 EP-1")</f>
        <v/>
      </c>
      <c r="F143" s="166" t="str">
        <f t="shared" ref="F143:F149" si="43">IF(G143="","",IF(G143="primary crusher","LP-4 EU-1",IF(G143="screening","LP-4 EU-2",IF(G143="secondary crusher","LP-4 EU-3",IF(G143="tertiary crusher","LP-4 EU-4",IF(G143="fines crushing","LP-4 EU-5",IF(G143="fines screening","LP-4 EU-6",IF(G143="wet drilling: unfragmented stone","LP-4 EU-7",IF(G143="conveyor transfer points","LP-4 EU-8")))))))))</f>
        <v/>
      </c>
      <c r="G143" s="98"/>
      <c r="H143" s="167"/>
      <c r="I143" s="184"/>
      <c r="J143" s="81">
        <f t="shared" si="40"/>
        <v>0</v>
      </c>
      <c r="K143" s="81">
        <f t="shared" si="41"/>
        <v>0</v>
      </c>
    </row>
    <row r="144" spans="2:11" ht="14.25" customHeight="1" x14ac:dyDescent="0.2">
      <c r="B144" s="94" t="str">
        <f>IF('Limestone Plant (LP-4)'!$E$4&gt;8,"Crushing Period (Dates):","")</f>
        <v/>
      </c>
      <c r="C144" s="76"/>
      <c r="D144" s="55"/>
      <c r="E144" s="166" t="str">
        <f t="shared" si="42"/>
        <v/>
      </c>
      <c r="F144" s="166" t="str">
        <f t="shared" si="43"/>
        <v/>
      </c>
      <c r="G144" s="98"/>
      <c r="H144" s="167"/>
      <c r="I144" s="184"/>
      <c r="J144" s="81">
        <f t="shared" si="40"/>
        <v>0</v>
      </c>
      <c r="K144" s="81">
        <f t="shared" si="41"/>
        <v>0</v>
      </c>
    </row>
    <row r="145" spans="2:11" ht="14.25" customHeight="1" x14ac:dyDescent="0.2">
      <c r="B145" s="281" t="str">
        <f>IF('Limestone Plant (LP-4)'!$E$4&gt;8,"Controlled with Dust Suppressant or","")</f>
        <v/>
      </c>
      <c r="D145" s="55"/>
      <c r="E145" s="166" t="str">
        <f t="shared" si="42"/>
        <v/>
      </c>
      <c r="F145" s="166" t="str">
        <f t="shared" si="43"/>
        <v/>
      </c>
      <c r="G145" s="98"/>
      <c r="H145" s="167"/>
      <c r="I145" s="184"/>
      <c r="J145" s="81">
        <f t="shared" si="40"/>
        <v>0</v>
      </c>
      <c r="K145" s="81">
        <f t="shared" si="41"/>
        <v>0</v>
      </c>
    </row>
    <row r="146" spans="2:11" ht="14.25" customHeight="1" x14ac:dyDescent="0.2">
      <c r="B146" s="282" t="str">
        <f>IF('Limestone Plant (LP-4)'!$E$4&gt;8,"Material Being Processed has","")</f>
        <v/>
      </c>
      <c r="C146" s="280"/>
      <c r="D146" s="55"/>
      <c r="E146" s="166" t="str">
        <f t="shared" si="42"/>
        <v/>
      </c>
      <c r="F146" s="166" t="str">
        <f t="shared" si="43"/>
        <v/>
      </c>
      <c r="G146" s="98"/>
      <c r="H146" s="167"/>
      <c r="I146" s="184"/>
      <c r="J146" s="81">
        <f t="shared" si="40"/>
        <v>0</v>
      </c>
      <c r="K146" s="81">
        <f t="shared" si="41"/>
        <v>0</v>
      </c>
    </row>
    <row r="147" spans="2:11" ht="14.25" customHeight="1" x14ac:dyDescent="0.2">
      <c r="B147" s="284" t="str">
        <f>IF('Limestone Plant (LP-4)'!$E$4&gt;8,"Moisture Content &gt; 1.5%?","")</f>
        <v/>
      </c>
      <c r="C147" s="55"/>
      <c r="D147" s="55"/>
      <c r="E147" s="166" t="str">
        <f t="shared" si="42"/>
        <v/>
      </c>
      <c r="F147" s="166" t="str">
        <f t="shared" si="43"/>
        <v/>
      </c>
      <c r="G147" s="98"/>
      <c r="H147" s="167"/>
      <c r="I147" s="184"/>
      <c r="J147" s="81">
        <f t="shared" si="40"/>
        <v>0</v>
      </c>
      <c r="K147" s="81">
        <f t="shared" si="41"/>
        <v>0</v>
      </c>
    </row>
    <row r="148" spans="2:11" ht="14.25" customHeight="1" x14ac:dyDescent="0.2">
      <c r="B148" s="87"/>
      <c r="D148" s="55"/>
      <c r="E148" s="166" t="str">
        <f t="shared" si="42"/>
        <v/>
      </c>
      <c r="F148" s="166" t="str">
        <f t="shared" si="43"/>
        <v/>
      </c>
      <c r="G148" s="98"/>
      <c r="H148" s="167"/>
      <c r="I148" s="184"/>
      <c r="J148" s="81">
        <f t="shared" si="40"/>
        <v>0</v>
      </c>
      <c r="K148" s="81">
        <f t="shared" si="41"/>
        <v>0</v>
      </c>
    </row>
    <row r="149" spans="2:11" ht="14.25" customHeight="1" x14ac:dyDescent="0.2">
      <c r="B149" s="55"/>
      <c r="C149" s="55"/>
      <c r="D149" s="55"/>
      <c r="E149" s="166" t="str">
        <f t="shared" si="42"/>
        <v/>
      </c>
      <c r="F149" s="166" t="str">
        <f t="shared" si="43"/>
        <v/>
      </c>
      <c r="G149" s="98"/>
      <c r="H149" s="167"/>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(LP-4)'!$E$4&gt;8,"Stock Pile Area","")</f>
        <v/>
      </c>
      <c r="F151" s="88"/>
      <c r="G151" s="89"/>
    </row>
    <row r="152" spans="2:11" ht="14.25" customHeight="1" x14ac:dyDescent="0.2">
      <c r="B152" s="55"/>
      <c r="D152" s="90"/>
      <c r="F152" s="60" t="str">
        <f>IF('Limestone Plant (LP-4)'!$E$4&gt;8,"Emission Unit #","")</f>
        <v/>
      </c>
      <c r="G152" s="95" t="str">
        <f>IF('Limestone Plant (LP-4)'!$E$4&gt;8,"Maximum Storage Area (acres)","")</f>
        <v/>
      </c>
      <c r="H152" s="96" t="str">
        <f>IF('Limestone Plant (LP-4)'!$E$4&gt;8,"Actual Storage Area (acres)","")</f>
        <v/>
      </c>
      <c r="I152" s="95" t="str">
        <f>IF('Limestone Plant (LP-4)'!$E$4&gt;8,"Actual Days in Existence (days)","")</f>
        <v/>
      </c>
    </row>
    <row r="153" spans="2:11" ht="14.25" customHeight="1" x14ac:dyDescent="0.2">
      <c r="B153" s="55"/>
      <c r="F153" s="77"/>
      <c r="G153" s="126"/>
      <c r="H153" s="78"/>
      <c r="I153" s="126"/>
    </row>
    <row r="156" spans="2:11" ht="27.75" customHeight="1" x14ac:dyDescent="0.25">
      <c r="B156" s="92" t="str">
        <f>IF('Limestone Plant (LP-4)'!$E$4&gt;9,"CRUSHER PLANT","")</f>
        <v/>
      </c>
      <c r="C156" s="84" t="str">
        <f>IF('Limestone Plant (LP-4)'!$E$4&gt;9,"Site 10","")</f>
        <v/>
      </c>
      <c r="E156" s="213" t="str">
        <f>IF('Limestone Plant (LP-4)'!$E$4&gt;9,"Emission Point #","")</f>
        <v/>
      </c>
      <c r="F156" s="213" t="str">
        <f>IF('Limestone Plant (LP-4)'!$E$4&gt;9,"Emission    Unit #","")</f>
        <v/>
      </c>
      <c r="G156" s="213" t="str">
        <f>IF('Limestone Plant (LP-4)'!$E$4&gt;9,"Processes","")</f>
        <v/>
      </c>
      <c r="H156" s="220" t="str">
        <f>IF('Limestone Plant (LP-4)'!$E$4&gt;9,"Combined Maximum Hourly Design Rate for all Like Processes (tons/hr)","")</f>
        <v/>
      </c>
      <c r="I156" s="213" t="str">
        <f>IF('Limestone Plant (LP-4)'!$E$4&gt;9,('Facility Information'!G5&amp;" Annual Throughput (tons)"),"")</f>
        <v/>
      </c>
    </row>
    <row r="157" spans="2:11" ht="14.25" customHeight="1" x14ac:dyDescent="0.2">
      <c r="B157" s="94" t="str">
        <f>IF('Limestone Plant (LP-4)'!$E$4&gt;9,"Site Name:","")</f>
        <v/>
      </c>
      <c r="C157" s="76"/>
      <c r="D157" s="55"/>
      <c r="E157" s="166" t="str">
        <f>IF(G157="","","LP-4 EP-1")</f>
        <v/>
      </c>
      <c r="F157" s="166" t="str">
        <f>IF(G157="","",IF(G157="primary crusher","LP-4 EU-1",IF(G157="screening","LP-4 EU-2",IF(G157="secondary crusher","LP-4 EU-3",IF(G157="tertiary crusher","LP-4 EU-4",IF(G157="fines crushing","LP-4 EU-5",IF(G157="fines screening","LP-4 EU-6",IF(G157="wet drilling: unfragmented stone","LP-4 EU-7",IF(G157="conveyor transfer points","LP-4 EU-8")))))))))</f>
        <v/>
      </c>
      <c r="G157" s="98"/>
      <c r="H157" s="167"/>
      <c r="I157" s="184"/>
      <c r="J157" s="81">
        <f>IF($C161="no",I157,0)</f>
        <v>0</v>
      </c>
      <c r="K157" s="81">
        <f>IF($C161="yes",I157,0)</f>
        <v>0</v>
      </c>
    </row>
    <row r="158" spans="2:11" ht="14.25" customHeight="1" x14ac:dyDescent="0.2">
      <c r="B158" s="94" t="str">
        <f>IF('Limestone Plant (LP-4)'!$E$4&gt;9,"County:","")</f>
        <v/>
      </c>
      <c r="C158" s="76"/>
      <c r="D158" s="55"/>
      <c r="E158" s="166" t="str">
        <f t="shared" ref="E158:E164" si="44">IF(G158="","","LP-4 EP-1")</f>
        <v/>
      </c>
      <c r="F158" s="166" t="str">
        <f t="shared" ref="F158:F164" si="45">IF(G158="","",IF(G158="primary crusher","LP-4 EU-1",IF(G158="screening","LP-4 EU-2",IF(G158="secondary crusher","LP-4 EU-3",IF(G158="tertiary crusher","LP-4 EU-4",IF(G158="fines crushing","LP-4 EU-5",IF(G158="fines screening","LP-4 EU-6",IF(G158="wet drilling: unfragmented stone","LP-4 EU-7",IF(G158="conveyor transfer points","LP-4 EU-8")))))))))</f>
        <v/>
      </c>
      <c r="G158" s="98"/>
      <c r="H158" s="167"/>
      <c r="I158" s="184"/>
      <c r="J158" s="81">
        <f t="shared" ref="J158:J164" si="46">IF($C162="no",I158,0)</f>
        <v>0</v>
      </c>
      <c r="K158" s="81">
        <f t="shared" ref="K158:K164" si="47">IF($C162="yes",I158,0)</f>
        <v>0</v>
      </c>
    </row>
    <row r="159" spans="2:11" ht="14.25" customHeight="1" x14ac:dyDescent="0.2">
      <c r="B159" s="94" t="str">
        <f>IF('Limestone Plant (LP-4)'!$E$4&gt;9,"Crushing Period (Dates):","")</f>
        <v/>
      </c>
      <c r="C159" s="186"/>
      <c r="D159" s="55"/>
      <c r="E159" s="166" t="str">
        <f t="shared" si="44"/>
        <v/>
      </c>
      <c r="F159" s="166" t="str">
        <f t="shared" si="45"/>
        <v/>
      </c>
      <c r="G159" s="98"/>
      <c r="H159" s="167"/>
      <c r="I159" s="184"/>
      <c r="J159" s="81">
        <f t="shared" si="46"/>
        <v>0</v>
      </c>
      <c r="K159" s="81">
        <f t="shared" si="47"/>
        <v>0</v>
      </c>
    </row>
    <row r="160" spans="2:11" ht="14.25" customHeight="1" x14ac:dyDescent="0.2">
      <c r="B160" s="281" t="str">
        <f>IF('Limestone Plant (LP-4)'!$E$4&gt;9,"Controlled with Dust Suppressant or","")</f>
        <v/>
      </c>
      <c r="D160" s="55"/>
      <c r="E160" s="166" t="str">
        <f t="shared" si="44"/>
        <v/>
      </c>
      <c r="F160" s="166" t="str">
        <f t="shared" si="45"/>
        <v/>
      </c>
      <c r="G160" s="98"/>
      <c r="H160" s="167"/>
      <c r="I160" s="184"/>
      <c r="J160" s="81">
        <f t="shared" si="46"/>
        <v>0</v>
      </c>
      <c r="K160" s="81">
        <f t="shared" si="47"/>
        <v>0</v>
      </c>
    </row>
    <row r="161" spans="2:11" ht="14.25" customHeight="1" x14ac:dyDescent="0.2">
      <c r="B161" s="282" t="str">
        <f>IF('Limestone Plant (LP-4)'!$E$4&gt;9,"Material Being Processed has","")</f>
        <v/>
      </c>
      <c r="C161" s="280"/>
      <c r="D161" s="55"/>
      <c r="E161" s="166" t="str">
        <f t="shared" si="44"/>
        <v/>
      </c>
      <c r="F161" s="166" t="str">
        <f t="shared" si="45"/>
        <v/>
      </c>
      <c r="G161" s="98"/>
      <c r="H161" s="167"/>
      <c r="I161" s="184"/>
      <c r="J161" s="81">
        <f t="shared" si="46"/>
        <v>0</v>
      </c>
      <c r="K161" s="81">
        <f t="shared" si="47"/>
        <v>0</v>
      </c>
    </row>
    <row r="162" spans="2:11" ht="14.25" customHeight="1" x14ac:dyDescent="0.2">
      <c r="B162" s="284" t="str">
        <f>IF('Limestone Plant (LP-4)'!$E$4&gt;9,"Moisture Content &gt; 1.5%?","")</f>
        <v/>
      </c>
      <c r="C162" s="55"/>
      <c r="D162" s="55"/>
      <c r="E162" s="166" t="str">
        <f t="shared" si="44"/>
        <v/>
      </c>
      <c r="F162" s="166" t="str">
        <f t="shared" si="45"/>
        <v/>
      </c>
      <c r="G162" s="98"/>
      <c r="H162" s="167"/>
      <c r="I162" s="184"/>
      <c r="J162" s="81">
        <f t="shared" si="46"/>
        <v>0</v>
      </c>
      <c r="K162" s="81">
        <f t="shared" si="47"/>
        <v>0</v>
      </c>
    </row>
    <row r="163" spans="2:11" ht="14.25" customHeight="1" x14ac:dyDescent="0.2">
      <c r="B163" s="55"/>
      <c r="D163" s="55"/>
      <c r="E163" s="166" t="str">
        <f t="shared" si="44"/>
        <v/>
      </c>
      <c r="F163" s="166" t="str">
        <f t="shared" si="45"/>
        <v/>
      </c>
      <c r="G163" s="98"/>
      <c r="H163" s="167"/>
      <c r="I163" s="184"/>
      <c r="J163" s="81">
        <f t="shared" si="46"/>
        <v>0</v>
      </c>
      <c r="K163" s="81">
        <f t="shared" si="47"/>
        <v>0</v>
      </c>
    </row>
    <row r="164" spans="2:11" ht="14.25" customHeight="1" x14ac:dyDescent="0.2">
      <c r="B164" s="55"/>
      <c r="C164" s="55"/>
      <c r="D164" s="55"/>
      <c r="E164" s="166" t="str">
        <f t="shared" si="44"/>
        <v/>
      </c>
      <c r="F164" s="166" t="str">
        <f t="shared" si="45"/>
        <v/>
      </c>
      <c r="G164" s="98"/>
      <c r="H164" s="167"/>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(LP-4)'!$E$4&gt;9,"Stock Pile Area","")</f>
        <v/>
      </c>
      <c r="F166" s="88"/>
      <c r="G166" s="89"/>
    </row>
    <row r="167" spans="2:11" ht="14.25" customHeight="1" x14ac:dyDescent="0.2">
      <c r="B167" s="55"/>
      <c r="D167" s="90"/>
      <c r="F167" s="60" t="str">
        <f>IF('Limestone Plant (LP-4)'!$E$4&gt;9,"Emission Unit #","")</f>
        <v/>
      </c>
      <c r="G167" s="95" t="str">
        <f>IF('Limestone Plant (LP-4)'!$E$4&gt;9,"Maximum Storage Area (acres)","")</f>
        <v/>
      </c>
      <c r="H167" s="96" t="str">
        <f>IF('Limestone Plant (LP-4)'!$E$4&gt;9,"Actual Storage Area (acres)","")</f>
        <v/>
      </c>
      <c r="I167" s="95" t="str">
        <f>IF('Limestone Plant (LP-4)'!$E$4&gt;9,"Actual Days in Existence (days)","")</f>
        <v/>
      </c>
    </row>
    <row r="168" spans="2:11" ht="14.25" customHeight="1" x14ac:dyDescent="0.2">
      <c r="F168" s="77"/>
      <c r="G168" s="126"/>
      <c r="H168" s="78"/>
      <c r="I168" s="126"/>
    </row>
  </sheetData>
  <sheetProtection algorithmName="SHA-512" hashValue="xsbwkufkcM4/zltTevrwbt1qTnZJszo6kgw4GDs+W9yqLJJplWCRJj1gLS0I98ngqyauI9/vIkyTe9Pgz9YMJw==" saltValue="IAtUE3IuAT3XmJBlmgwzZQ==" spinCount="100000" sheet="1"/>
  <conditionalFormatting sqref="F46:I46 B157:B159 B142:B144 B127:B129 B112:B114 B97:B99 B82:B84 B67:B69 B52:B54 B36:B38">
    <cfRule type="notContainsBlanks" dxfId="464" priority="64" stopIfTrue="1">
      <formula>LEN(TRIM(B36))&gt;0</formula>
    </cfRule>
  </conditionalFormatting>
  <conditionalFormatting sqref="F46:I47 D35:I35 D46:D47 D44:I45 D36:D43 G36:I43 B35:C38 B42:C42 B44:C47 B43 C40:C41">
    <cfRule type="cellIs" dxfId="463" priority="61" stopIfTrue="1" operator="equal">
      <formula>$B$35="crusher plant"</formula>
    </cfRule>
  </conditionalFormatting>
  <conditionalFormatting sqref="C44 B35:C35">
    <cfRule type="notContainsBlanks" dxfId="462" priority="65" stopIfTrue="1">
      <formula>LEN(TRIM(B35))&gt;0</formula>
    </cfRule>
  </conditionalFormatting>
  <conditionalFormatting sqref="F62:I62">
    <cfRule type="notContainsBlanks" dxfId="461" priority="60" stopIfTrue="1">
      <formula>LEN(TRIM(F62))&gt;0</formula>
    </cfRule>
  </conditionalFormatting>
  <conditionalFormatting sqref="F62:I63 D51:I51 D62:D63 D60:I61 D52:D59 G52:I59 B51:C54 B59:C63 B58 C56:C57">
    <cfRule type="cellIs" dxfId="460" priority="57" stopIfTrue="1" operator="equal">
      <formula>$B$51="crusher plant"</formula>
    </cfRule>
  </conditionalFormatting>
  <conditionalFormatting sqref="C60 B51:C51">
    <cfRule type="notContainsBlanks" dxfId="459" priority="66" stopIfTrue="1">
      <formula>LEN(TRIM(B51))&gt;0</formula>
    </cfRule>
  </conditionalFormatting>
  <conditionalFormatting sqref="F77:I77">
    <cfRule type="notContainsBlanks" dxfId="458" priority="55" stopIfTrue="1">
      <formula>LEN(TRIM(F77))&gt;0</formula>
    </cfRule>
  </conditionalFormatting>
  <conditionalFormatting sqref="F77:I78 D77:D78 D66:I66 D75:I76 D67:D74 G67:I74 B66:C69 B74:C78 B73 C71:C72">
    <cfRule type="cellIs" dxfId="457" priority="52" stopIfTrue="1" operator="equal">
      <formula>$B$66="crusher plant"</formula>
    </cfRule>
  </conditionalFormatting>
  <conditionalFormatting sqref="C75 B66:C66">
    <cfRule type="notContainsBlanks" dxfId="456" priority="56" stopIfTrue="1">
      <formula>LEN(TRIM(B66))&gt;0</formula>
    </cfRule>
  </conditionalFormatting>
  <conditionalFormatting sqref="F92:I92">
    <cfRule type="notContainsBlanks" dxfId="455" priority="50" stopIfTrue="1">
      <formula>LEN(TRIM(F92))&gt;0</formula>
    </cfRule>
  </conditionalFormatting>
  <conditionalFormatting sqref="F92:I93 D81:I81 D92:D93 D90:I91 D82:D89 G82:I89 B81:C84 B89:C93 B88 C86:C87">
    <cfRule type="cellIs" dxfId="454" priority="47" stopIfTrue="1" operator="equal">
      <formula>$B$81="crusher plant"</formula>
    </cfRule>
  </conditionalFormatting>
  <conditionalFormatting sqref="C90 B81:C81">
    <cfRule type="notContainsBlanks" dxfId="453" priority="51" stopIfTrue="1">
      <formula>LEN(TRIM(B81))&gt;0</formula>
    </cfRule>
  </conditionalFormatting>
  <conditionalFormatting sqref="F107:I107">
    <cfRule type="notContainsBlanks" dxfId="452" priority="45" stopIfTrue="1">
      <formula>LEN(TRIM(F107))&gt;0</formula>
    </cfRule>
  </conditionalFormatting>
  <conditionalFormatting sqref="F107:I108 D96:I96 D107:D108 D105:I106 D97:D104 G97:I104 B96:C99 B104:C108 B103 C101:C102">
    <cfRule type="cellIs" dxfId="451" priority="42" stopIfTrue="1" operator="equal">
      <formula>$B$96="crusher plant"</formula>
    </cfRule>
  </conditionalFormatting>
  <conditionalFormatting sqref="C105 B96:C96">
    <cfRule type="notContainsBlanks" dxfId="450" priority="46" stopIfTrue="1">
      <formula>LEN(TRIM(B96))&gt;0</formula>
    </cfRule>
  </conditionalFormatting>
  <conditionalFormatting sqref="F122:I122">
    <cfRule type="notContainsBlanks" dxfId="449" priority="40" stopIfTrue="1">
      <formula>LEN(TRIM(F122))&gt;0</formula>
    </cfRule>
  </conditionalFormatting>
  <conditionalFormatting sqref="F122:I123 D111:I111 D122:D123 D120:I121 D112:D119 G112:I119 B111:C114 B119:C123 B118 C116:C117">
    <cfRule type="cellIs" dxfId="448" priority="37" stopIfTrue="1" operator="equal">
      <formula>$B$111="crusher plant"</formula>
    </cfRule>
  </conditionalFormatting>
  <conditionalFormatting sqref="C120 B111:C111">
    <cfRule type="notContainsBlanks" dxfId="447" priority="41" stopIfTrue="1">
      <formula>LEN(TRIM(B111))&gt;0</formula>
    </cfRule>
  </conditionalFormatting>
  <conditionalFormatting sqref="F137:I137">
    <cfRule type="notContainsBlanks" dxfId="446" priority="35" stopIfTrue="1">
      <formula>LEN(TRIM(F137))&gt;0</formula>
    </cfRule>
  </conditionalFormatting>
  <conditionalFormatting sqref="F137:I138 D126:I126 D137:D138 D135:I136 D127:D134 G127:I134 B126:C129 B134:C138 B133 C131:C132">
    <cfRule type="cellIs" dxfId="445" priority="32" stopIfTrue="1" operator="equal">
      <formula>$B$126="crusher plant"</formula>
    </cfRule>
  </conditionalFormatting>
  <conditionalFormatting sqref="C135 B126:C126">
    <cfRule type="notContainsBlanks" dxfId="444" priority="36" stopIfTrue="1">
      <formula>LEN(TRIM(B126))&gt;0</formula>
    </cfRule>
  </conditionalFormatting>
  <conditionalFormatting sqref="F152:I152">
    <cfRule type="notContainsBlanks" dxfId="443" priority="30" stopIfTrue="1">
      <formula>LEN(TRIM(F152))&gt;0</formula>
    </cfRule>
  </conditionalFormatting>
  <conditionalFormatting sqref="F152:I153 D141:I141 D152:D153 D150:I151 D142:D149 G142:I149 B141:C144 B149:C153 B148 C146:C147">
    <cfRule type="cellIs" dxfId="442" priority="27" stopIfTrue="1" operator="equal">
      <formula>$B$141="crusher plant"</formula>
    </cfRule>
  </conditionalFormatting>
  <conditionalFormatting sqref="C150 B141:C141">
    <cfRule type="notContainsBlanks" dxfId="441" priority="31" stopIfTrue="1">
      <formula>LEN(TRIM(B141))&gt;0</formula>
    </cfRule>
  </conditionalFormatting>
  <conditionalFormatting sqref="F167:I167">
    <cfRule type="notContainsBlanks" dxfId="440" priority="25" stopIfTrue="1">
      <formula>LEN(TRIM(F167))&gt;0</formula>
    </cfRule>
  </conditionalFormatting>
  <conditionalFormatting sqref="F167:I168 D167:D168 D156:I156 D165:I166 D157:D164 G157:I164 B156:C159 B164:C167 B163 C161:C162">
    <cfRule type="cellIs" dxfId="439" priority="22" stopIfTrue="1" operator="equal">
      <formula>$B$156="crusher plant"</formula>
    </cfRule>
  </conditionalFormatting>
  <conditionalFormatting sqref="C165 B156:C156">
    <cfRule type="notContainsBlanks" dxfId="438" priority="26" stopIfTrue="1">
      <formula>LEN(TRIM(B156))&gt;0</formula>
    </cfRule>
  </conditionalFormatting>
  <conditionalFormatting sqref="E36:E43">
    <cfRule type="expression" dxfId="437" priority="20">
      <formula>$B$35="crusher plant"</formula>
    </cfRule>
  </conditionalFormatting>
  <conditionalFormatting sqref="E52:E59">
    <cfRule type="expression" dxfId="436" priority="19">
      <formula>$B$51="crusher plant"</formula>
    </cfRule>
  </conditionalFormatting>
  <conditionalFormatting sqref="E67:E74">
    <cfRule type="expression" dxfId="435" priority="18">
      <formula>$B$66="crusher plant"</formula>
    </cfRule>
  </conditionalFormatting>
  <conditionalFormatting sqref="E82:E89">
    <cfRule type="expression" dxfId="434" priority="17">
      <formula>$B$81="crusher plant"</formula>
    </cfRule>
  </conditionalFormatting>
  <conditionalFormatting sqref="E97:E104">
    <cfRule type="expression" dxfId="433" priority="16">
      <formula>$B$96="crusher plant"</formula>
    </cfRule>
  </conditionalFormatting>
  <conditionalFormatting sqref="E112:E119">
    <cfRule type="expression" dxfId="432" priority="15">
      <formula>$B$111="crusher plant"</formula>
    </cfRule>
  </conditionalFormatting>
  <conditionalFormatting sqref="E127:E134">
    <cfRule type="expression" dxfId="431" priority="14">
      <formula>$B$126="crusher plant"</formula>
    </cfRule>
  </conditionalFormatting>
  <conditionalFormatting sqref="E142:E149">
    <cfRule type="expression" dxfId="430" priority="13">
      <formula>$B$141="crusher plant"</formula>
    </cfRule>
  </conditionalFormatting>
  <conditionalFormatting sqref="E157:E164">
    <cfRule type="expression" dxfId="429" priority="12">
      <formula>$B$156="crusher plant"</formula>
    </cfRule>
  </conditionalFormatting>
  <conditionalFormatting sqref="F21:F28">
    <cfRule type="notContainsBlanks" dxfId="428" priority="11">
      <formula>LEN(TRIM(F21))&gt;0</formula>
    </cfRule>
  </conditionalFormatting>
  <conditionalFormatting sqref="F36:F43">
    <cfRule type="expression" dxfId="427" priority="10">
      <formula>$B$35="crusher plant"</formula>
    </cfRule>
  </conditionalFormatting>
  <conditionalFormatting sqref="F52:F59">
    <cfRule type="expression" dxfId="426" priority="9">
      <formula>$B$51="crusher plant"</formula>
    </cfRule>
  </conditionalFormatting>
  <conditionalFormatting sqref="F67:F74">
    <cfRule type="expression" dxfId="425" priority="8">
      <formula>$B$66="crusher plant"</formula>
    </cfRule>
  </conditionalFormatting>
  <conditionalFormatting sqref="F82:F89">
    <cfRule type="expression" dxfId="424" priority="7">
      <formula>$B$81="crusher plant"</formula>
    </cfRule>
  </conditionalFormatting>
  <conditionalFormatting sqref="F97:F104">
    <cfRule type="expression" dxfId="423" priority="6">
      <formula>$B$96="crusher plant"</formula>
    </cfRule>
  </conditionalFormatting>
  <conditionalFormatting sqref="F112:F119">
    <cfRule type="expression" dxfId="422" priority="5">
      <formula>$B$111="crusher plant"</formula>
    </cfRule>
  </conditionalFormatting>
  <conditionalFormatting sqref="F127:F134">
    <cfRule type="expression" dxfId="421" priority="4">
      <formula>$B$126="crusher plant"</formula>
    </cfRule>
  </conditionalFormatting>
  <conditionalFormatting sqref="F142:F149">
    <cfRule type="expression" dxfId="420" priority="3">
      <formula>$B$141="crusher plant"</formula>
    </cfRule>
  </conditionalFormatting>
  <conditionalFormatting sqref="F157:F164">
    <cfRule type="expression" dxfId="419" priority="2">
      <formula>$B$156="crusher plant"</formula>
    </cfRule>
  </conditionalFormatting>
  <conditionalFormatting sqref="B39:B41">
    <cfRule type="cellIs" dxfId="418" priority="1" stopIfTrue="1" operator="equal">
      <formula>$B$35="crusher plant"</formula>
    </cfRule>
  </conditionalFormatting>
  <dataValidations count="3">
    <dataValidation type="whole" allowBlank="1" showInputMessage="1" showErrorMessage="1" sqref="C18 E4 D5" xr:uid="{00000000-0002-0000-0400-000000000000}">
      <formula1>0</formula1>
      <formula2>100</formula2>
    </dataValidation>
    <dataValidation type="list" allowBlank="1" showInputMessage="1" showErrorMessage="1" sqref="G21:G28 G36:G43 G52:G59 G67:G74 G82:G89 G97:G104 G112:G119 G127:G134 G142:G149 G157:G164" xr:uid="{00000000-0002-0000-0400-000001000000}">
      <formula1>process</formula1>
    </dataValidation>
    <dataValidation type="list" allowBlank="1" showInputMessage="1" showErrorMessage="1" sqref="C25 C40 C56 C71 C86 C101 C116 C131 C146 C161" xr:uid="{00000000-0002-0000-0400-000002000000}">
      <formula1>CHECK</formula1>
    </dataValidation>
  </dataValidations>
  <pageMargins left="0.7" right="0.7" top="0.75" bottom="0.75" header="0.3" footer="0.3"/>
  <pageSetup scale="70" fitToHeight="0" orientation="landscape"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S168"/>
  <sheetViews>
    <sheetView topLeftCell="B1" workbookViewId="0">
      <selection activeCell="B1" sqref="B1"/>
    </sheetView>
  </sheetViews>
  <sheetFormatPr defaultColWidth="8.85546875" defaultRowHeight="14.25" customHeight="1" x14ac:dyDescent="0.2"/>
  <cols>
    <col min="1" max="1" width="27.710937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8.42578125" style="80" customWidth="1"/>
    <col min="10" max="10" width="11.42578125" style="81" hidden="1" customWidth="1"/>
    <col min="11" max="11" width="14" style="81" hidden="1" customWidth="1"/>
    <col min="12" max="12" width="7" style="80" customWidth="1"/>
    <col min="13" max="13" width="26.85546875" style="80" customWidth="1"/>
    <col min="14" max="14" width="17.7109375" style="80" customWidth="1"/>
    <col min="15" max="15" width="20.42578125" style="80" customWidth="1"/>
    <col min="16" max="16" width="20.42578125" style="80" hidden="1" customWidth="1"/>
    <col min="17" max="18" width="16.42578125" style="80" hidden="1" customWidth="1"/>
    <col min="19" max="19" width="20.85546875" style="80" customWidth="1"/>
    <col min="20" max="16384" width="8.85546875" style="80"/>
  </cols>
  <sheetData>
    <row r="1" spans="2:19" ht="14.25" customHeight="1" x14ac:dyDescent="0.2">
      <c r="B1" s="277" t="s">
        <v>149</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crusher",$G$21:$G$28,0),1),0)),((IFERROR((OFFSET($G$36,MATCH("primary crusher",$G$37:$G$44,0),1)),0))),((IFERROR((OFFSET(G51,MATCH("primary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crusher",$G$21:$G$28,0),3),0)),((IFERROR((OFFSET($G$36,MATCH("primary crusher",$G$37:$G$44,0),3)),0))),((IFERROR((OFFSET(G51,MATCH("primary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crusher",$G$21:$G$28,0),4),0)),((IFERROR((OFFSET($G$36,MATCH("primary crusher",$G$37:$G$44,0),4)),0))),((IFERROR((OFFSET(G51,MATCH("primary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$36,MATCH("Screening",$G$37:$G$44,0)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$36,MATCH("Screening",$G$37:$G$44,0)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$36,MATCH("Screening",$G$37:$G$44,0)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Crusher",$G$21:$G$28,0),1),0)),((IFERROR((OFFSET($G$36,MATCH("Secondary Crusher",$G$37:$G$44,0),1)),0))),((IFERROR((OFFSET(G51,MATCH("Secondary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Crusher",$G$21:$G$28,0),3),0)),((IFERROR((OFFSET($G$36,MATCH("Secondary Crusher",$G$37:$G$44,0),3)),0))),((IFERROR((OFFSET(G51,MATCH("Secondary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Crusher",$G$21:$G$28,0),4),0)),((IFERROR((OFFSET($G$36,MATCH("Secondary Crusher",$G$37:$G$44,0),4)),0))),((IFERROR((OFFSET(G51,MATCH("Secondary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Crusher",$G$21:$G$28,0),1),0)),((IFERROR((OFFSET($G$36,MATCH("Tertiary Crusher",$G$37:$G$44,0),1)),0))),((IFERROR((OFFSET(G51,MATCH("Tertiary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Crusher",$G$21:$G$28,0),3),0)),((IFERROR((OFFSET($G$36,MATCH("Tertiary Crusher",$G$37:$G$44,0),3)),0))),((IFERROR((OFFSET(G51,MATCH("Tertiary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Crusher",$G$21:$G$28,0),4),0)),((IFERROR((OFFSET($G$36,MATCH("Tertiary Crusher",$G$37:$G$44,0),4)),0))),((IFERROR((OFFSET(G51,MATCH("Tertiary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Crushing",$G$21:$G$28,0),1),0)),((IFERROR((OFFSET($G$36,MATCH("Fines Crushing",$G$37:$G$44,0),1)),0))),((IFERROR((OFFSET(G51,MATCH("Fines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Crushing",$G$21:$G$28,0),3),0)),((IFERROR((OFFSET($G$36,MATCH("Fines Crushing",$G$37:$G$44,0),3)),0))),((IFERROR((OFFSET(G51,MATCH("Fines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Crushing",$G$21:$G$28,0),4),0)),((IFERROR((OFFSET($G$36,MATCH("Fines Crushing",$G$37:$G$44,0),4)),0))),((IFERROR((OFFSET(G51,MATCH("Fines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Screening",$G$21:$G$28,0),1),0)),((IFERROR((OFFSET($G$36,MATCH("Fines Screening",$G$37:$G$44,0),1)),0))),((IFERROR((OFFSET(G51,MATCH("Fines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Screening",$G$21:$G$28,0),3),0)),((IFERROR((OFFSET($G$36,MATCH("Fines Screening",$G$37:$G$44,0),3)),0))),((IFERROR((OFFSET(G51,MATCH("Fines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Screening",$G$21:$G$28,0),4),0)),((IFERROR((OFFSET($G$36,MATCH("Fines Screening",$G$37:$G$44,0),4)),0))),((IFERROR((OFFSET(G51,MATCH("Fines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Stone",$G$21:$G$28,0),1),0)),((IFERROR((OFFSET($G$36,MATCH("Wet Drilling: Unfragmented Stone",$G$37:$G$44,0),1)),0))),((IFERROR((OFFSET(G51,MATCH("Wet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Stone",$G$21:$G$28,0),3),0)),((IFERROR((OFFSET($G$36,MATCH("Wet Drilling: Unfragmented Stone",$G$37:$G$44,0),3)),0))),((IFERROR((OFFSET(G51,MATCH("Wet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Stone",$G$21:$G$28,0),4),0)),((IFERROR((OFFSET($G$36,MATCH("Wet Drilling: Unfragmented Stone",$G$37:$G$44,0),4)),0))),((IFERROR((OFFSET(G51,MATCH("Wet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Points",$G$21:$G$28,0),1),0)),((IFERROR((OFFSET($G$36,MATCH("Conveyor Transfer Points",$G$37:$G$44,0),1)),0))),((IFERROR((OFFSET(G51,MATCH("Conveyor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Points",$G$21:$G$28,0),3),0)),((IFERROR((OFFSET($G$36,MATCH("Conveyor Transfer Points",$G$37:$G$44,0),3)),0))),((IFERROR((OFFSET(G51,MATCH("Conveyor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Points",$G$21:$G$28,0),4),0)),((IFERROR((OFFSET($G$36,MATCH("Conveyor Transfer Points",$G$37:$G$44,0),4)),0))),((IFERROR((OFFSET(G51,MATCH("Conveyor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SUM(G32,G48,G63,G78,G93,G108,G123,G138,G153,G168)</f>
        <v>0</v>
      </c>
      <c r="O14" s="110">
        <f>SUM(H32*I32,H48*I48,H63*I63,H78*I78,H93*I93,H108*I108,H123*I123,H138*I138,H153*I153,H168*I168)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213" t="str">
        <f>('Facility Information'!G5&amp;" Annual Throughput (tons)")</f>
        <v xml:space="preserve"> Annual Throughput (tons)</v>
      </c>
      <c r="J20" s="81" t="s">
        <v>132</v>
      </c>
      <c r="K20" s="81" t="s">
        <v>133</v>
      </c>
      <c r="M20" s="109" t="s">
        <v>38</v>
      </c>
      <c r="N20" s="136">
        <f t="shared" ref="N20:N27" ca="1" si="0">N5</f>
        <v>0</v>
      </c>
      <c r="O20" s="145">
        <f ca="1">IF(N20=0,0,IF(OR($C$25="no",$C$41="no",$C$56="no",$C$71="no",$C$86="no",$C$101="no",$C$116="no",$C$131="no",$C$146="no",$C$161="no"),'Emission Factors'!D8,'Emission Factors'!D20))</f>
        <v>0</v>
      </c>
      <c r="P20" s="136" t="str">
        <f t="shared" ref="P20:P27" si="1">IF(OR($C$25="no",$C$41="no",$C$56="no",$C$71="no",$C$86="no",$C$101="no",$C$116="no",$C$131="no",$C$146="no",$C$161="no"),N20*O20,"")</f>
        <v/>
      </c>
      <c r="Q20" s="136">
        <f t="shared" ref="Q20:Q27" ca="1" si="2">IF($F$10&gt;0,$F$10,IF(OR($C$25="no",$C$41="no",$C$56="no",$C$71="no",$C$86="no",$C$101="no",$C$116="no",$C$131="no",$C$146="no",$C$161="no"),"",N20*O20))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IF(G21="","","LP-5 EP-1")</f>
        <v/>
      </c>
      <c r="F21" s="165" t="str">
        <f>IF(G21="","",IF(G21="primary crusher","LP-5 EU-1",IF(G21="screening","LP-5 EU-2",IF(G21="secondary crusher","LP-5 EU-3",IF(G21="tertiary crusher","LP-5 EU-4",IF(G21="fines crushing","LP-5 EU-5",IF(G21="fines screening","LP-5 EU-6",IF(G21="wet drilling: unfragmented stone","LP-5 EU-7",IF(G21="conveyor transfer points","LP-5 EU-8")))))))))</f>
        <v/>
      </c>
      <c r="G21" s="98"/>
      <c r="H21" s="71"/>
      <c r="I21" s="184"/>
      <c r="J21" s="81">
        <f>IF($C25="no",I21,0)</f>
        <v>0</v>
      </c>
      <c r="K21" s="81">
        <f t="shared" ref="K21:K28" si="3">IF($C$25="yes",I21,0)</f>
        <v>0</v>
      </c>
      <c r="M21" s="109" t="s">
        <v>36</v>
      </c>
      <c r="N21" s="136">
        <f t="shared" ca="1" si="0"/>
        <v>0</v>
      </c>
      <c r="O21" s="145">
        <f ca="1">IF(N21=0,0,IF(OR($C$25="no",$C$41="no",$C$56="no",$C$71="no",$C$86="no",$C$101="no",$C$116="no",$C$131="no",$C$146="no",$C$161="no"),'Emission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IF(G22="","","LP-5 EP-1")</f>
        <v/>
      </c>
      <c r="F22" s="165" t="str">
        <f t="shared" ref="F22:F28" si="6">IF(G22="","",IF(G22="primary crusher","LP-5 EU-1",IF(G22="screening","LP-5 EU-2",IF(G22="secondary crusher","LP-5 EU-3",IF(G22="tertiary crusher","LP-5 EU-4",IF(G22="fines crushing","LP-5 EU-5",IF(G22="fines screening","LP-5 EU-6",IF(G22="wet drilling: unfragmented stone","LP-5 EU-7",IF(G22="conveyor transfer points","LP-5 EU-8")))))))))</f>
        <v/>
      </c>
      <c r="G22" s="98"/>
      <c r="H22" s="71"/>
      <c r="I22" s="184"/>
      <c r="J22" s="81">
        <f t="shared" ref="J22:J28" si="7">IF($C$25="no",I22,0)</f>
        <v>0</v>
      </c>
      <c r="K22" s="81">
        <f t="shared" si="3"/>
        <v>0</v>
      </c>
      <c r="M22" s="109" t="s">
        <v>37</v>
      </c>
      <c r="N22" s="136">
        <f t="shared" ca="1" si="0"/>
        <v>0</v>
      </c>
      <c r="O22" s="145">
        <f ca="1">IF(N22=0,0,IF(OR($C$25="no",$C$41="no",$C$56="no",$C$71="no",$C$86="no",$C$101="no",$C$116="no",$C$131="no",$C$146="no",$C$161="no"),'Emission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71"/>
      <c r="I23" s="184"/>
      <c r="J23" s="81">
        <f t="shared" si="7"/>
        <v>0</v>
      </c>
      <c r="K23" s="81">
        <f t="shared" si="3"/>
        <v>0</v>
      </c>
      <c r="M23" s="109" t="s">
        <v>39</v>
      </c>
      <c r="N23" s="136">
        <f t="shared" ca="1" si="0"/>
        <v>0</v>
      </c>
      <c r="O23" s="145">
        <f ca="1">IF(N23=0,0,IF(OR(C25="no",C41="no",C56="no",C71="no",C86="no",C101="no",C116="no",C131="no",C146="no",C161="no"),'Emission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6">
        <f t="shared" ca="1" si="0"/>
        <v>0</v>
      </c>
      <c r="O24" s="145">
        <f ca="1">IF(N24=0,0,IF(OR(C25="no",C41="no",C56="no",C71="no",C86="no",C101="no",C116="no",C131="no",C146="no",C161="no"),'Emission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71"/>
      <c r="I25" s="184"/>
      <c r="J25" s="81">
        <f t="shared" si="7"/>
        <v>0</v>
      </c>
      <c r="K25" s="81">
        <f t="shared" si="3"/>
        <v>0</v>
      </c>
      <c r="M25" s="109" t="s">
        <v>41</v>
      </c>
      <c r="N25" s="136">
        <f t="shared" ca="1" si="0"/>
        <v>0</v>
      </c>
      <c r="O25" s="145">
        <f ca="1">IF(N25=0,0,IF(OR($C$25="no",$C$41="no",$C$56="no",$C$71="no",$C$86="no",$C$101="no",$C$116="no",$C$131="no",$C$146="no",$C$161="no"),'Emission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71"/>
      <c r="I26" s="184"/>
      <c r="J26" s="81">
        <f t="shared" si="7"/>
        <v>0</v>
      </c>
      <c r="K26" s="81">
        <f t="shared" si="3"/>
        <v>0</v>
      </c>
      <c r="M26" s="109" t="s">
        <v>42</v>
      </c>
      <c r="N26" s="136">
        <f t="shared" ca="1" si="0"/>
        <v>0</v>
      </c>
      <c r="O26" s="145">
        <f ca="1">IF(N26=0,0,IF(OR(C25="no",C41="no",C56="no",C71="no",C86="no",C101="no",C116="no",C131="no",C146="no",C161="no"),'Emission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D27" s="55"/>
      <c r="E27" s="165" t="str">
        <f t="shared" si="5"/>
        <v/>
      </c>
      <c r="F27" s="165" t="str">
        <f t="shared" si="6"/>
        <v/>
      </c>
      <c r="G27" s="98"/>
      <c r="H27" s="71"/>
      <c r="I27" s="184"/>
      <c r="J27" s="81">
        <f t="shared" si="7"/>
        <v>0</v>
      </c>
      <c r="K27" s="81">
        <f t="shared" si="3"/>
        <v>0</v>
      </c>
      <c r="M27" s="109" t="s">
        <v>43</v>
      </c>
      <c r="N27" s="136">
        <f t="shared" ca="1" si="0"/>
        <v>0</v>
      </c>
      <c r="O27" s="145">
        <f ca="1">IF(N27=0,0,IF(OR(C25="no",C41="no",C56="no",C71="no",C86="no",C101="no",C116="no",C131="no",C146="no",C161="no"),'Emission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C28" s="55"/>
      <c r="D28" s="55"/>
      <c r="E28" s="165" t="str">
        <f t="shared" si="5"/>
        <v/>
      </c>
      <c r="F28" s="165" t="str">
        <f t="shared" si="6"/>
        <v/>
      </c>
      <c r="G28" s="98"/>
      <c r="H28" s="71"/>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IF(N29=0,0,IF(OR($C$25="no",$C$41="no",$C$56="no",$C$71="no",$C$86="no",$C$101="no",$C$116="no",$C$131="no",$C$146="no",$C$161="no"),'Emission Factors'!F8,'Emission Factors'!F20))</f>
        <v>0</v>
      </c>
      <c r="P29" s="136" t="str">
        <f t="shared" ref="P29:P36" si="8">IF(OR($C$25="no",$C$41="no",$C$56="no",$C$71="no",$C$86="no",$C$101="no",$C$116="no",$C$131="no",$C$146="no",$C$161="no"),N29*O29,"")</f>
        <v/>
      </c>
      <c r="Q29" s="136">
        <f t="shared" ref="Q29:Q36" ca="1" si="9">IF($F$11&gt;0,$F$11,IF(OR($C$25="no",$C$41="no",$C$56="no",$C$71="no",$C$86="no",$C$101="no",$C$116="no",$C$131="no",$C$146="no",$C$161="no"),"",N29*O29))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6" ca="1" si="10">N6</f>
        <v>0</v>
      </c>
      <c r="O30" s="145">
        <f ca="1">IF(N30=0,0,IF(OR($C$25="no",$C$41="no",$C$56="no",$C$71="no",$C$86="no",$C$101="no",$C$116="no",$C$131="no",$C$146="no",$C$161="no"),'Emission Factors'!F9,'Emission Factors'!F21))</f>
        <v>0</v>
      </c>
      <c r="P30" s="140" t="str">
        <f t="shared" si="8"/>
        <v/>
      </c>
      <c r="Q30" s="136">
        <f t="shared" ca="1" si="9"/>
        <v>0</v>
      </c>
      <c r="R30" s="136">
        <f t="shared" ref="R30:R36"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IF(N31=0,0,IF(OR($C$25="no",$C$41="no",$C$56="no",$C$71="no",$C$86="no",$C$101="no",$C$116="no",$C$131="no",$C$146="no",$C$161="no"),'Emission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IF(N32=0,0,IF(OR(C25="no",C41="no",C56="no",C71="no",C86="no",C101="no",C116="no",C131="no",C146="no",C161="no"),'Emission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IF(N33=0,0,IF(OR(C25="no",C41="no",C56="no",C71="no",C86="no",C101="no",C116="no",C131="no",C146="no",C161="no"),'Emission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IF(N34=0,0,IF(OR(C25="no",C41="no",C56="no",C71="no",C86="no",C101="no",C116="no",C131="no",C146="no",C161="no"),'Emission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7.75" customHeight="1" x14ac:dyDescent="0.25">
      <c r="A35" s="80">
        <f>C37</f>
        <v>0</v>
      </c>
      <c r="B35" s="92" t="str">
        <f>IF('Limestone Plant (LP-5)'!$E$4&gt;1,"CRUSHER PLANT","")</f>
        <v/>
      </c>
      <c r="C35" s="84" t="str">
        <f>IF('Limestone Plant (LP-5)'!$E$4&gt;1,"Site 2","")</f>
        <v/>
      </c>
      <c r="E35" s="213" t="str">
        <f>IF('Limestone Plant (LP-5)'!$E$4&gt;1,"Emission Point #","")</f>
        <v/>
      </c>
      <c r="F35" s="213" t="str">
        <f>IF('Limestone Plant (LP-5)'!$E$4&gt;1,"Emission    Unit #","")</f>
        <v/>
      </c>
      <c r="G35" s="213" t="str">
        <f>IF('Limestone Plant (LP-5)'!$E$4&gt;1,"Processes","")</f>
        <v/>
      </c>
      <c r="H35" s="220" t="str">
        <f>IF('Limestone Plant (LP-5)'!$E$4&gt;1,"Combined Maximum Hourly Design Rate for all Like Processes (tons/hr)","")</f>
        <v/>
      </c>
      <c r="I35" s="213" t="str">
        <f>IF('Limestone Plant (LP-5)'!$E$4&gt;1,('Facility Information'!G5&amp;" Annual Throughput (tons)"),"")</f>
        <v/>
      </c>
      <c r="M35" s="109" t="s">
        <v>42</v>
      </c>
      <c r="N35" s="136">
        <f t="shared" ca="1" si="10"/>
        <v>0</v>
      </c>
      <c r="O35" s="145">
        <f ca="1">IF(N35=0,0,IF(OR(C25="no",C41="no",C56="no",C71="no",C86="no",C101="no",C116="no",C131="no",C146="no",C161="no"),'Emission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C52</f>
        <v>0</v>
      </c>
      <c r="B36" s="84"/>
      <c r="D36" s="55"/>
      <c r="E36" s="220"/>
      <c r="F36" s="220"/>
      <c r="G36" s="217"/>
      <c r="H36" s="217"/>
      <c r="I36" s="217"/>
      <c r="M36" s="109" t="s">
        <v>43</v>
      </c>
      <c r="N36" s="136">
        <f t="shared" ca="1" si="10"/>
        <v>0</v>
      </c>
      <c r="O36" s="145">
        <f ca="1">IF(N36=0,0,IF(OR(C25="no",C41="no",C56="no",C71="no",C86="no",C101="no",C116="no",C131="no",C146="no",C161="no"),'Emission Factors'!F5,'Emission Factors'!F17))</f>
        <v>0</v>
      </c>
      <c r="P36" s="136" t="str">
        <f t="shared" si="8"/>
        <v/>
      </c>
      <c r="Q36" s="136">
        <f t="shared" ca="1" si="9"/>
        <v>0</v>
      </c>
      <c r="R36" s="136">
        <f t="shared" ca="1" si="11"/>
        <v>0</v>
      </c>
      <c r="S36" s="136">
        <f ca="1">(O12*'Emission Factors'!F5/2000)+('Emission Factors'!F17*S12/2000)</f>
        <v>0</v>
      </c>
    </row>
    <row r="37" spans="1:19" ht="14.25" customHeight="1" x14ac:dyDescent="0.2">
      <c r="A37" s="80">
        <f>C67</f>
        <v>0</v>
      </c>
      <c r="B37" s="94" t="str">
        <f>IF('Limestone Plant (LP-5)'!$E$4&gt;1,"Site Name:","")</f>
        <v/>
      </c>
      <c r="C37" s="76"/>
      <c r="D37" s="55"/>
      <c r="E37" s="166" t="str">
        <f>IF(G37="","","LP-5 EP-1")</f>
        <v/>
      </c>
      <c r="F37" s="166" t="str">
        <f>IF(G37="","",IF(G37="primary crusher","LP-5 EU-1",IF(G37="screening","LP-5 EU-2",IF(G37="secondary crusher","LP-5 EU-3",IF(G37="tertiary crusher","LP-5 EU-4",IF(G37="fines crushing","LP-5 EU-5",IF(G37="fines screening","LP-5 EU-6",IF(G37="wet drilling: unfragmented stone","LP-5 EU-7",IF(G37="conveyor transfer points","LP-5 EU-8")))))))))</f>
        <v/>
      </c>
      <c r="G37" s="98"/>
      <c r="H37" s="71"/>
      <c r="I37" s="184"/>
      <c r="J37" s="81">
        <f t="shared" ref="J37:J44" si="12">IF($C$41="no",I37,0)</f>
        <v>0</v>
      </c>
      <c r="K37" s="81">
        <f t="shared" ref="K37:K44" si="13">IF($C$41="yes",I37,0)</f>
        <v>0</v>
      </c>
    </row>
    <row r="38" spans="1:19" ht="14.25" customHeight="1" x14ac:dyDescent="0.2">
      <c r="A38" s="80">
        <f>C82</f>
        <v>0</v>
      </c>
      <c r="B38" s="94" t="str">
        <f>IF('Limestone Plant (LP-5)'!$E$4&gt;1,"County:","")</f>
        <v/>
      </c>
      <c r="C38" s="76"/>
      <c r="D38" s="55"/>
      <c r="E38" s="166" t="str">
        <f t="shared" ref="E38:E44" si="14">IF(G38="","","LP-5 EP-1")</f>
        <v/>
      </c>
      <c r="F38" s="166" t="str">
        <f t="shared" ref="F38:F44" si="15">IF(G38="","",IF(G38="primary crusher","LP-5 EU-1",IF(G38="screening","LP-5 EU-2",IF(G38="secondary crusher","LP-5 EU-3",IF(G38="tertiary crusher","LP-5 EU-4",IF(G38="fines crushing","LP-5 EU-5",IF(G38="fines screening","LP-5 EU-6",IF(G38="wet drilling: unfragmented stone","LP-5 EU-7",IF(G38="conveyor transfer points","LP-5 EU-8")))))))))</f>
        <v/>
      </c>
      <c r="G38" s="98"/>
      <c r="H38" s="71"/>
      <c r="I38" s="184"/>
      <c r="J38" s="81">
        <f t="shared" si="12"/>
        <v>0</v>
      </c>
      <c r="K38" s="81">
        <f t="shared" si="13"/>
        <v>0</v>
      </c>
      <c r="N38" s="216" t="s">
        <v>295</v>
      </c>
      <c r="O38" s="216" t="s">
        <v>13</v>
      </c>
      <c r="P38" s="345" t="s">
        <v>304</v>
      </c>
      <c r="Q38" s="216" t="s">
        <v>303</v>
      </c>
      <c r="R38" s="216" t="s">
        <v>289</v>
      </c>
      <c r="S38" s="216" t="s">
        <v>300</v>
      </c>
    </row>
    <row r="39" spans="1:19" ht="14.25" customHeight="1" x14ac:dyDescent="0.2">
      <c r="A39" s="80">
        <f>C97</f>
        <v>0</v>
      </c>
      <c r="B39" s="94" t="str">
        <f>IF('Limestone Plant (LP-5)'!$E$4&gt;1,"Crushing Period (Dates):","")</f>
        <v/>
      </c>
      <c r="C39" s="76"/>
      <c r="D39" s="55"/>
      <c r="E39" s="166" t="str">
        <f t="shared" si="14"/>
        <v/>
      </c>
      <c r="F39" s="166" t="str">
        <f t="shared" si="15"/>
        <v/>
      </c>
      <c r="G39" s="98"/>
      <c r="H39" s="71"/>
      <c r="I39" s="184"/>
      <c r="J39" s="81">
        <f t="shared" si="12"/>
        <v>0</v>
      </c>
      <c r="K39" s="81">
        <f t="shared" si="13"/>
        <v>0</v>
      </c>
      <c r="M39" s="81" t="s">
        <v>44</v>
      </c>
      <c r="N39" s="216" t="s">
        <v>296</v>
      </c>
      <c r="O39" s="221" t="s">
        <v>301</v>
      </c>
      <c r="P39" s="345" t="s">
        <v>249</v>
      </c>
      <c r="Q39" s="216" t="s">
        <v>249</v>
      </c>
      <c r="R39" s="216" t="s">
        <v>253</v>
      </c>
      <c r="S39" s="216" t="s">
        <v>253</v>
      </c>
    </row>
    <row r="40" spans="1:19" ht="14.25" customHeight="1" x14ac:dyDescent="0.2">
      <c r="A40" s="80">
        <f>C112</f>
        <v>0</v>
      </c>
      <c r="B40" s="281" t="str">
        <f>IF('Limestone Plant (LP-5)'!$E$4&gt;1,"Controlled with Dust Suppressant or","")</f>
        <v/>
      </c>
      <c r="D40" s="55"/>
      <c r="E40" s="166" t="str">
        <f t="shared" si="14"/>
        <v/>
      </c>
      <c r="F40" s="166" t="str">
        <f t="shared" si="15"/>
        <v/>
      </c>
      <c r="G40" s="98"/>
      <c r="H40" s="71"/>
      <c r="I40" s="184"/>
      <c r="J40" s="81">
        <f t="shared" si="12"/>
        <v>0</v>
      </c>
      <c r="K40" s="81">
        <f t="shared" si="13"/>
        <v>0</v>
      </c>
      <c r="M40" s="111" t="s">
        <v>143</v>
      </c>
      <c r="N40" s="110">
        <f>N14</f>
        <v>0</v>
      </c>
      <c r="O40" s="110">
        <v>3.64</v>
      </c>
      <c r="P40" s="110">
        <f>N40*O40*(1/24)</f>
        <v>0</v>
      </c>
      <c r="Q40" s="110"/>
      <c r="R40" s="110">
        <f>N40*O40*365/2000</f>
        <v>0</v>
      </c>
      <c r="S40" s="110">
        <f>O14*O40/2000</f>
        <v>0</v>
      </c>
    </row>
    <row r="41" spans="1:19" ht="14.25" customHeight="1" x14ac:dyDescent="0.2">
      <c r="A41" s="80">
        <f>C127</f>
        <v>0</v>
      </c>
      <c r="B41" s="282" t="str">
        <f>IF('Limestone Plant (LP-5)'!$E$4&gt;1,"Material Being Processed has","")</f>
        <v/>
      </c>
      <c r="C41" s="280"/>
      <c r="D41" s="55"/>
      <c r="E41" s="166" t="str">
        <f t="shared" si="14"/>
        <v/>
      </c>
      <c r="F41" s="166" t="str">
        <f t="shared" si="15"/>
        <v/>
      </c>
      <c r="G41" s="98"/>
      <c r="H41" s="71"/>
      <c r="I41" s="184"/>
      <c r="J41" s="81">
        <f t="shared" si="12"/>
        <v>0</v>
      </c>
      <c r="K41" s="81">
        <f t="shared" si="13"/>
        <v>0</v>
      </c>
    </row>
    <row r="42" spans="1:19" ht="14.25" customHeight="1" x14ac:dyDescent="0.2">
      <c r="A42" s="80">
        <f>C142</f>
        <v>0</v>
      </c>
      <c r="B42" s="284" t="str">
        <f>IF('Limestone Plant (LP-5)'!$E$4&gt;1,"Moisture Content &gt; 1.5%?","")</f>
        <v/>
      </c>
      <c r="C42" s="55"/>
      <c r="D42" s="55"/>
      <c r="E42" s="166" t="str">
        <f t="shared" si="14"/>
        <v/>
      </c>
      <c r="F42" s="166" t="str">
        <f t="shared" si="15"/>
        <v/>
      </c>
      <c r="G42" s="98"/>
      <c r="H42" s="71"/>
      <c r="I42" s="184"/>
      <c r="J42" s="81">
        <f t="shared" si="12"/>
        <v>0</v>
      </c>
      <c r="K42" s="81">
        <f t="shared" si="13"/>
        <v>0</v>
      </c>
      <c r="N42" s="81"/>
      <c r="O42" s="81"/>
      <c r="P42" s="81"/>
    </row>
    <row r="43" spans="1:19" ht="14.25" customHeight="1" x14ac:dyDescent="0.2">
      <c r="A43" s="80">
        <f>C157</f>
        <v>0</v>
      </c>
      <c r="B43" s="55"/>
      <c r="D43" s="55"/>
      <c r="E43" s="166" t="str">
        <f t="shared" si="14"/>
        <v/>
      </c>
      <c r="F43" s="166" t="str">
        <f t="shared" si="15"/>
        <v/>
      </c>
      <c r="G43" s="98"/>
      <c r="H43" s="71"/>
      <c r="I43" s="184"/>
      <c r="J43" s="81">
        <f t="shared" si="12"/>
        <v>0</v>
      </c>
      <c r="K43" s="81">
        <f t="shared" si="13"/>
        <v>0</v>
      </c>
      <c r="N43" s="81"/>
      <c r="O43" s="81"/>
      <c r="P43" s="81"/>
    </row>
    <row r="44" spans="1:19" ht="14.25" customHeight="1" x14ac:dyDescent="0.2">
      <c r="B44" s="55"/>
      <c r="C44" s="55"/>
      <c r="D44" s="55"/>
      <c r="E44" s="166" t="str">
        <f t="shared" si="14"/>
        <v/>
      </c>
      <c r="F44" s="166" t="str">
        <f t="shared" si="15"/>
        <v/>
      </c>
      <c r="G44" s="98"/>
      <c r="H44" s="71"/>
      <c r="I44" s="184"/>
      <c r="J44" s="81">
        <f t="shared" si="12"/>
        <v>0</v>
      </c>
      <c r="K44" s="81">
        <f t="shared" si="13"/>
        <v>0</v>
      </c>
      <c r="N44" s="81"/>
      <c r="O44" s="81"/>
      <c r="P44" s="81"/>
    </row>
    <row r="45" spans="1:19" ht="14.25" customHeight="1" x14ac:dyDescent="0.2">
      <c r="B45" s="55"/>
      <c r="D45" s="55"/>
      <c r="E45" s="55"/>
      <c r="F45" s="55"/>
      <c r="N45" s="81"/>
      <c r="O45" s="81"/>
      <c r="P45" s="81"/>
    </row>
    <row r="46" spans="1:19" ht="14.25" customHeight="1" x14ac:dyDescent="0.2">
      <c r="B46" s="55"/>
      <c r="E46" s="88" t="str">
        <f>IF('Limestone Plant (LP-5)'!$E$4&gt;1,"Stock Pile Area","")</f>
        <v/>
      </c>
      <c r="F46" s="88"/>
      <c r="G46" s="89"/>
      <c r="N46" s="81"/>
      <c r="O46" s="81"/>
      <c r="P46" s="81"/>
    </row>
    <row r="47" spans="1:19" ht="14.25" customHeight="1" x14ac:dyDescent="0.2">
      <c r="B47" s="55"/>
      <c r="D47" s="90"/>
      <c r="F47" s="60" t="str">
        <f>IF('Limestone Plant (LP-5)'!$E$4&gt;1,"Emission Unit #","")</f>
        <v/>
      </c>
      <c r="G47" s="95" t="str">
        <f>IF('Limestone Plant (LP-5)'!$E$4&gt;1,"Maximum Storage Area (acres)","")</f>
        <v/>
      </c>
      <c r="H47" s="96" t="str">
        <f>IF('Limestone Plant (LP-5)'!$E$4&gt;1,"Actual Storage Area (acres)","")</f>
        <v/>
      </c>
      <c r="I47" s="95" t="str">
        <f>IF('Limestone Plant (LP-5)'!$E$4&gt;1,"Actual Days in Existence (days)","")</f>
        <v/>
      </c>
      <c r="J47" s="97"/>
      <c r="K47" s="97"/>
      <c r="L47" s="90"/>
      <c r="N47" s="81"/>
      <c r="O47" s="81"/>
      <c r="P47" s="81"/>
    </row>
    <row r="48" spans="1:19" ht="14.25" customHeight="1" x14ac:dyDescent="0.2">
      <c r="B48" s="55"/>
      <c r="F48" s="77"/>
      <c r="G48" s="126"/>
      <c r="H48" s="78"/>
      <c r="I48" s="126"/>
      <c r="N48" s="81"/>
      <c r="O48" s="81"/>
      <c r="P48" s="81"/>
    </row>
    <row r="49" spans="2:16" ht="14.25" customHeight="1" x14ac:dyDescent="0.2">
      <c r="B49" s="84"/>
      <c r="C49" s="125"/>
      <c r="D49" s="374"/>
      <c r="E49" s="374"/>
      <c r="F49" s="163"/>
      <c r="G49" s="125"/>
      <c r="H49" s="125"/>
      <c r="N49" s="81"/>
      <c r="O49" s="81"/>
      <c r="P49" s="81"/>
    </row>
    <row r="50" spans="2:16" ht="14.25" customHeight="1" x14ac:dyDescent="0.2">
      <c r="B50" s="84"/>
      <c r="C50" s="84"/>
      <c r="D50" s="84"/>
      <c r="E50" s="84"/>
      <c r="F50" s="84"/>
      <c r="G50" s="84"/>
      <c r="H50" s="84"/>
      <c r="N50" s="81"/>
      <c r="O50" s="81"/>
      <c r="P50" s="81"/>
    </row>
    <row r="51" spans="2:16" ht="29.25" customHeight="1" x14ac:dyDescent="0.25">
      <c r="B51" s="92" t="str">
        <f>IF('Limestone Plant (LP-5)'!$E$4&gt;2,"CRUSHER PLANT","")</f>
        <v/>
      </c>
      <c r="C51" s="84" t="str">
        <f>IF('Limestone Plant (LP-5)'!$E$4&gt;2,"Site 3","")</f>
        <v/>
      </c>
      <c r="E51" s="213" t="str">
        <f>IF('Limestone Plant (LP-5)'!$E$4&gt;2,"Emission Point #","")</f>
        <v/>
      </c>
      <c r="F51" s="213" t="str">
        <f>IF('Limestone Plant (LP-5)'!$E$4&gt;2,"Emission    Unit #","")</f>
        <v/>
      </c>
      <c r="G51" s="213" t="str">
        <f>IF('Limestone Plant (LP-5)'!$E$4&gt;2,"Processes","")</f>
        <v/>
      </c>
      <c r="H51" s="220" t="str">
        <f>IF('Limestone Plant (LP-5)'!$E$4&gt;2,"Combined Maximum Hourly Design Rate for all Like Processes (tons/hr)","")</f>
        <v/>
      </c>
      <c r="I51" s="213" t="str">
        <f>IF('Limestone Plant (LP-5)'!$E$4&gt;2,('Facility Information'!G5&amp;" Annual Throughput (tons)"),"")</f>
        <v/>
      </c>
      <c r="N51" s="81"/>
      <c r="O51" s="81"/>
      <c r="P51" s="81"/>
    </row>
    <row r="52" spans="2:16" ht="14.25" customHeight="1" x14ac:dyDescent="0.2">
      <c r="B52" s="94" t="str">
        <f>IF('Limestone Plant (LP-5)'!$E$4&gt;2,"Site Name:","")</f>
        <v/>
      </c>
      <c r="C52" s="76"/>
      <c r="D52" s="55"/>
      <c r="E52" s="166" t="str">
        <f>IF(G52="","","LP-5 EP-1")</f>
        <v/>
      </c>
      <c r="F52" s="166" t="str">
        <f>IF(G52="","",IF(G52="primary crusher","LP-5 EU-1",IF(G52="screening","LP-5 EU-2",IF(G52="secondary crusher","LP-5 EU-3",IF(G52="tertiary crusher","LP-5 EU-4",IF(G52="fines crushing","LP-5 EU-5",IF(G52="fines screening","LP-5 EU-6",IF(G52="wet drilling: unfragmented stone","LP-5 EU-7",IF(G52="conveyor transfer points","LP-5 EU-8")))))))))</f>
        <v/>
      </c>
      <c r="G52" s="98"/>
      <c r="H52" s="71"/>
      <c r="I52" s="184"/>
      <c r="J52" s="81">
        <f t="shared" ref="J52:J59" si="16">IF($C$56="no",I52,0)</f>
        <v>0</v>
      </c>
      <c r="K52" s="81">
        <f t="shared" ref="K52:K59" si="17">IF($C$56="yes",I52,0)</f>
        <v>0</v>
      </c>
    </row>
    <row r="53" spans="2:16" ht="14.25" customHeight="1" x14ac:dyDescent="0.2">
      <c r="B53" s="94" t="str">
        <f>IF('Limestone Plant (LP-5)'!$E$4&gt;2,"County:","")</f>
        <v/>
      </c>
      <c r="C53" s="76"/>
      <c r="D53" s="55"/>
      <c r="E53" s="166" t="str">
        <f t="shared" ref="E53:E59" si="18">IF(G53="","","LP-5 EP-1")</f>
        <v/>
      </c>
      <c r="F53" s="166" t="str">
        <f t="shared" ref="F53:F59" si="19">IF(G53="","",IF(G53="primary crusher","LP-5 EU-1",IF(G53="screening","LP-5 EU-2",IF(G53="secondary crusher","LP-5 EU-3",IF(G53="tertiary crusher","LP-5 EU-4",IF(G53="fines crushing","LP-5 EU-5",IF(G53="fines screening","LP-5 EU-6",IF(G53="wet drilling: unfragmented stone","LP-5 EU-7",IF(G53="conveyor transfer points","LP-5 EU-8")))))))))</f>
        <v/>
      </c>
      <c r="G53" s="98"/>
      <c r="H53" s="71"/>
      <c r="I53" s="184"/>
      <c r="J53" s="81">
        <f t="shared" si="16"/>
        <v>0</v>
      </c>
      <c r="K53" s="81">
        <f t="shared" si="17"/>
        <v>0</v>
      </c>
    </row>
    <row r="54" spans="2:16" ht="14.25" customHeight="1" x14ac:dyDescent="0.2">
      <c r="B54" s="94" t="str">
        <f>IF('Limestone Plant (LP-5)'!$E$4&gt;2,"Crushing Period (Dates):","")</f>
        <v/>
      </c>
      <c r="C54" s="76"/>
      <c r="D54" s="55"/>
      <c r="E54" s="166" t="str">
        <f t="shared" si="18"/>
        <v/>
      </c>
      <c r="F54" s="166" t="str">
        <f t="shared" si="19"/>
        <v/>
      </c>
      <c r="G54" s="98"/>
      <c r="H54" s="71"/>
      <c r="I54" s="184"/>
      <c r="J54" s="81">
        <f t="shared" si="16"/>
        <v>0</v>
      </c>
      <c r="K54" s="81">
        <f t="shared" si="17"/>
        <v>0</v>
      </c>
    </row>
    <row r="55" spans="2:16" ht="14.25" customHeight="1" x14ac:dyDescent="0.2">
      <c r="B55" s="281" t="str">
        <f>IF('Limestone Plant (LP-5)'!$E$4&gt;2,"Controlled with Dust Suppressant or","")</f>
        <v/>
      </c>
      <c r="D55" s="55"/>
      <c r="E55" s="166" t="str">
        <f t="shared" si="18"/>
        <v/>
      </c>
      <c r="F55" s="166" t="str">
        <f t="shared" si="19"/>
        <v/>
      </c>
      <c r="G55" s="98"/>
      <c r="H55" s="71"/>
      <c r="I55" s="184"/>
      <c r="J55" s="81">
        <f t="shared" si="16"/>
        <v>0</v>
      </c>
      <c r="K55" s="81">
        <f t="shared" si="17"/>
        <v>0</v>
      </c>
    </row>
    <row r="56" spans="2:16" ht="14.25" customHeight="1" x14ac:dyDescent="0.2">
      <c r="B56" s="282" t="str">
        <f>IF('Limestone Plant (LP-5)'!$E$4&gt;2,"Material Being Processed has","")</f>
        <v/>
      </c>
      <c r="C56" s="280"/>
      <c r="D56" s="55"/>
      <c r="E56" s="166" t="str">
        <f t="shared" si="18"/>
        <v/>
      </c>
      <c r="F56" s="166" t="str">
        <f t="shared" si="19"/>
        <v/>
      </c>
      <c r="G56" s="98"/>
      <c r="H56" s="71"/>
      <c r="I56" s="184"/>
      <c r="J56" s="81">
        <f t="shared" si="16"/>
        <v>0</v>
      </c>
      <c r="K56" s="81">
        <f t="shared" si="17"/>
        <v>0</v>
      </c>
    </row>
    <row r="57" spans="2:16" ht="14.25" customHeight="1" x14ac:dyDescent="0.2">
      <c r="B57" s="284" t="str">
        <f>IF('Limestone Plant (LP-5)'!$E$4&gt;2,"Moisture Content &gt; 1.5%?","")</f>
        <v/>
      </c>
      <c r="C57" s="55"/>
      <c r="D57" s="55"/>
      <c r="E57" s="166" t="str">
        <f t="shared" si="18"/>
        <v/>
      </c>
      <c r="F57" s="166" t="str">
        <f t="shared" si="19"/>
        <v/>
      </c>
      <c r="G57" s="98"/>
      <c r="H57" s="71"/>
      <c r="I57" s="184"/>
      <c r="J57" s="81">
        <f t="shared" si="16"/>
        <v>0</v>
      </c>
      <c r="K57" s="81">
        <f t="shared" si="17"/>
        <v>0</v>
      </c>
    </row>
    <row r="58" spans="2:16" ht="14.25" customHeight="1" x14ac:dyDescent="0.2">
      <c r="B58" s="55"/>
      <c r="D58" s="55"/>
      <c r="E58" s="166" t="str">
        <f t="shared" si="18"/>
        <v/>
      </c>
      <c r="F58" s="166" t="str">
        <f t="shared" si="19"/>
        <v/>
      </c>
      <c r="G58" s="98"/>
      <c r="H58" s="71"/>
      <c r="I58" s="184"/>
      <c r="J58" s="81">
        <f t="shared" si="16"/>
        <v>0</v>
      </c>
      <c r="K58" s="81">
        <f t="shared" si="17"/>
        <v>0</v>
      </c>
    </row>
    <row r="59" spans="2:16" ht="14.25" customHeight="1" x14ac:dyDescent="0.2">
      <c r="B59" s="55"/>
      <c r="C59" s="55"/>
      <c r="D59" s="55"/>
      <c r="E59" s="166" t="str">
        <f t="shared" si="18"/>
        <v/>
      </c>
      <c r="F59" s="166" t="str">
        <f t="shared" si="19"/>
        <v/>
      </c>
      <c r="G59" s="98"/>
      <c r="H59" s="71"/>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(LP-5)'!$E$4&gt;2,"Stock Pile Area","")</f>
        <v/>
      </c>
      <c r="F61" s="88"/>
      <c r="G61" s="89"/>
    </row>
    <row r="62" spans="2:16" ht="14.25" customHeight="1" x14ac:dyDescent="0.2">
      <c r="B62" s="55"/>
      <c r="D62" s="90"/>
      <c r="F62" s="60" t="str">
        <f>IF('Limestone Plant (LP-5)'!$E$4&gt;2,"Emission Unit #","")</f>
        <v/>
      </c>
      <c r="G62" s="95" t="str">
        <f>IF('Limestone Plant (LP-5)'!$E$4&gt;2,"Maximum Storage Area (acres)","")</f>
        <v/>
      </c>
      <c r="H62" s="96" t="str">
        <f>IF('Limestone Plant (LP-5)'!$E$4&gt;2,"Actual Storage Area (acres)","")</f>
        <v/>
      </c>
      <c r="I62" s="95" t="str">
        <f>IF('Limestone Plant (LP-5)'!$E$4&gt;2,"Actual Days in Existence (days)","")</f>
        <v/>
      </c>
    </row>
    <row r="63" spans="2:16" ht="14.25" customHeight="1" x14ac:dyDescent="0.2">
      <c r="B63" s="55"/>
      <c r="F63" s="77"/>
      <c r="G63" s="126"/>
      <c r="H63" s="78"/>
      <c r="I63" s="126"/>
    </row>
    <row r="64" spans="2:16" ht="25.5" customHeight="1" x14ac:dyDescent="0.2"/>
    <row r="66" spans="2:11" ht="29.25" customHeight="1" x14ac:dyDescent="0.25">
      <c r="B66" s="92" t="str">
        <f>IF('Limestone Plant (LP-5)'!$E$4&gt;3,"CRUSHER PLANT","")</f>
        <v/>
      </c>
      <c r="C66" s="84" t="str">
        <f>IF('Limestone Plant (LP-5)'!$E$4&gt;3,"Site 4","")</f>
        <v/>
      </c>
      <c r="E66" s="213" t="str">
        <f>IF('Limestone Plant (LP-5)'!$E$4&gt;3,"Emission Point #","")</f>
        <v/>
      </c>
      <c r="F66" s="213" t="str">
        <f>IF('Limestone Plant (LP-5)'!$E$4&gt;3,"Emission    Unit #","")</f>
        <v/>
      </c>
      <c r="G66" s="213" t="str">
        <f>IF('Limestone Plant (LP-5)'!$E$4&gt;3,"Processes","")</f>
        <v/>
      </c>
      <c r="H66" s="220" t="str">
        <f>IF('Limestone Plant (LP-5)'!$E$4&gt;3,"Combined Maximum Hourly Design Rate for all Like Processes (tons/hr)","")</f>
        <v/>
      </c>
      <c r="I66" s="213" t="str">
        <f>IF('Limestone Plant (LP-5)'!$E$4&gt;3,('Facility Information'!G5&amp;" Annual Throughput (tons)"),"")</f>
        <v/>
      </c>
    </row>
    <row r="67" spans="2:11" ht="14.25" customHeight="1" x14ac:dyDescent="0.2">
      <c r="B67" s="94" t="str">
        <f>IF('Limestone Plant (LP-5)'!$E$4&gt;3,"Site Name:","")</f>
        <v/>
      </c>
      <c r="C67" s="76"/>
      <c r="D67" s="55"/>
      <c r="E67" s="166" t="str">
        <f>IF(G67="","","LP-5 EP-1")</f>
        <v/>
      </c>
      <c r="F67" s="166" t="str">
        <f>IF(G67="","",IF(G67="primary crusher","LP-5 EU-1",IF(G67="screening","LP-5 EU-2",IF(G67="secondary crusher","LP-5 EU-3",IF(G67="tertiary crusher","LP-5 EU-4",IF(G67="fines crushing","LP-5 EU-5",IF(G67="fines screening","LP-5 EU-6",IF(G67="wet drilling: unfragmented stone","LP-5 EU-7",IF(G67="conveyor transfer points","LP-5 EU-8")))))))))</f>
        <v/>
      </c>
      <c r="G67" s="98"/>
      <c r="H67" s="71"/>
      <c r="I67" s="184"/>
      <c r="J67" s="81">
        <f t="shared" ref="J67:J74" si="20">IF($C$71="no",I67,0)</f>
        <v>0</v>
      </c>
      <c r="K67" s="81">
        <f t="shared" ref="K67:K74" si="21">IF($C$71="yes",I67,0)</f>
        <v>0</v>
      </c>
    </row>
    <row r="68" spans="2:11" ht="14.25" customHeight="1" x14ac:dyDescent="0.2">
      <c r="B68" s="94" t="str">
        <f>IF('Limestone Plant (LP-5)'!$E$4&gt;3,"County:","")</f>
        <v/>
      </c>
      <c r="C68" s="76"/>
      <c r="D68" s="55"/>
      <c r="E68" s="166" t="str">
        <f t="shared" ref="E68:E74" si="22">IF(G68="","","LP-5 EP-1")</f>
        <v/>
      </c>
      <c r="F68" s="166" t="str">
        <f t="shared" ref="F68:F74" si="23">IF(G68="","",IF(G68="primary crusher","LP-5 EU-1",IF(G68="screening","LP-5 EU-2",IF(G68="secondary crusher","LP-5 EU-3",IF(G68="tertiary crusher","LP-5 EU-4",IF(G68="fines crushing","LP-5 EU-5",IF(G68="fines screening","LP-5 EU-6",IF(G68="wet drilling: unfragmented stone","LP-5 EU-7",IF(G68="conveyor transfer points","LP-5 EU-8")))))))))</f>
        <v/>
      </c>
      <c r="G68" s="98"/>
      <c r="H68" s="71"/>
      <c r="I68" s="184"/>
      <c r="J68" s="81">
        <f t="shared" si="20"/>
        <v>0</v>
      </c>
      <c r="K68" s="81">
        <f t="shared" si="21"/>
        <v>0</v>
      </c>
    </row>
    <row r="69" spans="2:11" ht="14.25" customHeight="1" x14ac:dyDescent="0.2">
      <c r="B69" s="94" t="str">
        <f>IF('Limestone Plant (LP-5)'!$E$4&gt;3,"Crushing Period (Dates):","")</f>
        <v/>
      </c>
      <c r="C69" s="76"/>
      <c r="D69" s="55"/>
      <c r="E69" s="166" t="str">
        <f t="shared" si="22"/>
        <v/>
      </c>
      <c r="F69" s="166" t="str">
        <f t="shared" si="23"/>
        <v/>
      </c>
      <c r="G69" s="98"/>
      <c r="H69" s="71"/>
      <c r="I69" s="184"/>
      <c r="J69" s="81">
        <f t="shared" si="20"/>
        <v>0</v>
      </c>
      <c r="K69" s="81">
        <f t="shared" si="21"/>
        <v>0</v>
      </c>
    </row>
    <row r="70" spans="2:11" ht="14.25" customHeight="1" x14ac:dyDescent="0.2">
      <c r="B70" s="281" t="str">
        <f>IF('Limestone Plant (LP-5)'!$E$4&gt;3,"Controlled with Dust Suppressant or","")</f>
        <v/>
      </c>
      <c r="D70" s="55"/>
      <c r="E70" s="166" t="str">
        <f t="shared" si="22"/>
        <v/>
      </c>
      <c r="F70" s="166" t="str">
        <f t="shared" si="23"/>
        <v/>
      </c>
      <c r="G70" s="98"/>
      <c r="H70" s="71"/>
      <c r="I70" s="184"/>
      <c r="J70" s="81">
        <f t="shared" si="20"/>
        <v>0</v>
      </c>
      <c r="K70" s="81">
        <f t="shared" si="21"/>
        <v>0</v>
      </c>
    </row>
    <row r="71" spans="2:11" ht="14.25" customHeight="1" x14ac:dyDescent="0.2">
      <c r="B71" s="282" t="str">
        <f>IF('Limestone Plant (LP-5)'!$E$4&gt;3,"Material Being Processed has","")</f>
        <v/>
      </c>
      <c r="C71" s="280"/>
      <c r="D71" s="55"/>
      <c r="E71" s="166" t="str">
        <f t="shared" si="22"/>
        <v/>
      </c>
      <c r="F71" s="166" t="str">
        <f t="shared" si="23"/>
        <v/>
      </c>
      <c r="G71" s="98"/>
      <c r="H71" s="71"/>
      <c r="I71" s="184"/>
      <c r="J71" s="81">
        <f t="shared" si="20"/>
        <v>0</v>
      </c>
      <c r="K71" s="81">
        <f t="shared" si="21"/>
        <v>0</v>
      </c>
    </row>
    <row r="72" spans="2:11" ht="14.25" customHeight="1" x14ac:dyDescent="0.2">
      <c r="B72" s="284" t="str">
        <f>IF('Limestone Plant (LP-5)'!$E$4&gt;3,"Moisture Content &gt; 1.5%?","")</f>
        <v/>
      </c>
      <c r="C72" s="55"/>
      <c r="D72" s="55"/>
      <c r="E72" s="166" t="str">
        <f t="shared" si="22"/>
        <v/>
      </c>
      <c r="F72" s="166" t="str">
        <f t="shared" si="23"/>
        <v/>
      </c>
      <c r="G72" s="98"/>
      <c r="H72" s="71"/>
      <c r="I72" s="184"/>
      <c r="J72" s="81">
        <f t="shared" si="20"/>
        <v>0</v>
      </c>
      <c r="K72" s="81">
        <f t="shared" si="21"/>
        <v>0</v>
      </c>
    </row>
    <row r="73" spans="2:11" ht="14.25" customHeight="1" x14ac:dyDescent="0.2">
      <c r="B73" s="55"/>
      <c r="D73" s="55"/>
      <c r="E73" s="166" t="str">
        <f t="shared" si="22"/>
        <v/>
      </c>
      <c r="F73" s="166" t="str">
        <f t="shared" si="23"/>
        <v/>
      </c>
      <c r="G73" s="98"/>
      <c r="H73" s="71"/>
      <c r="I73" s="184"/>
      <c r="J73" s="81">
        <f t="shared" si="20"/>
        <v>0</v>
      </c>
      <c r="K73" s="81">
        <f t="shared" si="21"/>
        <v>0</v>
      </c>
    </row>
    <row r="74" spans="2:11" ht="14.25" customHeight="1" x14ac:dyDescent="0.2">
      <c r="B74" s="55"/>
      <c r="C74" s="55"/>
      <c r="D74" s="55"/>
      <c r="E74" s="166" t="str">
        <f t="shared" si="22"/>
        <v/>
      </c>
      <c r="F74" s="166" t="str">
        <f t="shared" si="23"/>
        <v/>
      </c>
      <c r="G74" s="98"/>
      <c r="H74" s="71"/>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(LP-5)'!$E$4&gt;3,"Stock Pile Area","")</f>
        <v/>
      </c>
      <c r="F76" s="88"/>
      <c r="G76" s="89"/>
    </row>
    <row r="77" spans="2:11" ht="14.25" customHeight="1" x14ac:dyDescent="0.2">
      <c r="B77" s="55"/>
      <c r="D77" s="90"/>
      <c r="F77" s="60" t="str">
        <f>IF('Limestone Plant (LP-5)'!$E$4&gt;3,"Emission Unit #","")</f>
        <v/>
      </c>
      <c r="G77" s="95" t="str">
        <f>IF('Limestone Plant (LP-5)'!$E$4&gt;3,"Maximum Storage Area (acres)","")</f>
        <v/>
      </c>
      <c r="H77" s="96" t="str">
        <f>IF('Limestone Plant (LP-5)'!$E$4&gt;3,"Actual Storage Area (acres)","")</f>
        <v/>
      </c>
      <c r="I77" s="95" t="str">
        <f>IF('Limestone Plant (LP-5)'!$E$4&gt;3,"Actual Days in Existence (days)","")</f>
        <v/>
      </c>
    </row>
    <row r="78" spans="2:11" ht="14.25" customHeight="1" x14ac:dyDescent="0.2">
      <c r="B78" s="55"/>
      <c r="F78" s="77"/>
      <c r="G78" s="126"/>
      <c r="H78" s="78"/>
      <c r="I78" s="126"/>
    </row>
    <row r="79" spans="2:11" ht="24" customHeight="1" x14ac:dyDescent="0.2"/>
    <row r="81" spans="2:11" ht="28.5" customHeight="1" x14ac:dyDescent="0.25">
      <c r="B81" s="92" t="str">
        <f>IF('Limestone Plant (LP-5)'!$E$4&gt;4,"CRUSHER PLANT","")</f>
        <v/>
      </c>
      <c r="C81" s="84" t="str">
        <f>IF('Limestone Plant (LP-5)'!$E$4&gt;4,"Site 5","")</f>
        <v/>
      </c>
      <c r="E81" s="213" t="str">
        <f>IF('Limestone Plant (LP-5)'!$E$4&gt;4,"Emission Point #","")</f>
        <v/>
      </c>
      <c r="F81" s="213" t="str">
        <f>IF('Limestone Plant (LP-5)'!$E$4&gt;4,"Emission    Unit #","")</f>
        <v/>
      </c>
      <c r="G81" s="213" t="str">
        <f>IF('Limestone Plant (LP-5)'!$E$4&gt;4,"Processes","")</f>
        <v/>
      </c>
      <c r="H81" s="220" t="str">
        <f>IF('Limestone Plant (LP-5)'!$E$4&gt;4,"Combined Maximum Hourly Design Rate for all Like Processes (tons/hr)","")</f>
        <v/>
      </c>
      <c r="I81" s="213" t="str">
        <f>IF('Limestone Plant (LP-5)'!$E$4&gt;4,('Facility Information'!G5&amp;" Annual Throughput (tons)"),"")</f>
        <v/>
      </c>
    </row>
    <row r="82" spans="2:11" ht="14.25" customHeight="1" x14ac:dyDescent="0.2">
      <c r="B82" s="94" t="str">
        <f>IF('Limestone Plant (LP-5)'!$E$4&gt;4,"Site Name:","")</f>
        <v/>
      </c>
      <c r="C82" s="76"/>
      <c r="D82" s="55"/>
      <c r="E82" s="166" t="str">
        <f>IF(G82="","","LP-5 EP-1")</f>
        <v/>
      </c>
      <c r="F82" s="166" t="str">
        <f>IF(G82="","",IF(G82="primary crusher","LP-5 EU-1",IF(G82="screening","LP-5 EU-2",IF(G82="secondary crusher","LP-5 EU-3",IF(G82="tertiary crusher","LP-5 EU-4",IF(G82="fines crushing","LP-5 EU-5",IF(G82="fines screening","LP-5 EU-6",IF(G82="wet drilling: unfragmented stone","LP-5 EU-7",IF(G82="conveyor transfer points","LP-5 EU-8")))))))))</f>
        <v/>
      </c>
      <c r="G82" s="98"/>
      <c r="H82" s="71"/>
      <c r="I82" s="184"/>
      <c r="J82" s="81">
        <f t="shared" ref="J82:J89" si="24">IF($C$86="no",I82,0)</f>
        <v>0</v>
      </c>
      <c r="K82" s="81">
        <f t="shared" ref="K82:K89" si="25">IF($C$86="yes",I82,0)</f>
        <v>0</v>
      </c>
    </row>
    <row r="83" spans="2:11" ht="14.25" customHeight="1" x14ac:dyDescent="0.2">
      <c r="B83" s="94" t="str">
        <f>IF('Limestone Plant (LP-5)'!$E$4&gt;4,"County:","")</f>
        <v/>
      </c>
      <c r="C83" s="76"/>
      <c r="D83" s="55"/>
      <c r="E83" s="166" t="str">
        <f t="shared" ref="E83:E89" si="26">IF(G83="","","LP-5 EP-1")</f>
        <v/>
      </c>
      <c r="F83" s="166" t="str">
        <f t="shared" ref="F83:F89" si="27">IF(G83="","",IF(G83="primary crusher","LP-5 EU-1",IF(G83="screening","LP-5 EU-2",IF(G83="secondary crusher","LP-5 EU-3",IF(G83="tertiary crusher","LP-5 EU-4",IF(G83="fines crushing","LP-5 EU-5",IF(G83="fines screening","LP-5 EU-6",IF(G83="wet drilling: unfragmented stone","LP-5 EU-7",IF(G83="conveyor transfer points","LP-5 EU-8")))))))))</f>
        <v/>
      </c>
      <c r="G83" s="98"/>
      <c r="H83" s="71"/>
      <c r="I83" s="184"/>
      <c r="J83" s="81">
        <f t="shared" si="24"/>
        <v>0</v>
      </c>
      <c r="K83" s="81">
        <f t="shared" si="25"/>
        <v>0</v>
      </c>
    </row>
    <row r="84" spans="2:11" ht="14.25" customHeight="1" x14ac:dyDescent="0.2">
      <c r="B84" s="94" t="str">
        <f>IF('Limestone Plant (LP-5)'!$E$4&gt;4,"Crushing Period (Dates):","")</f>
        <v/>
      </c>
      <c r="C84" s="76"/>
      <c r="D84" s="55"/>
      <c r="E84" s="166" t="str">
        <f t="shared" si="26"/>
        <v/>
      </c>
      <c r="F84" s="166" t="str">
        <f t="shared" si="27"/>
        <v/>
      </c>
      <c r="G84" s="98"/>
      <c r="H84" s="71"/>
      <c r="I84" s="184"/>
      <c r="J84" s="81">
        <f t="shared" si="24"/>
        <v>0</v>
      </c>
      <c r="K84" s="81">
        <f t="shared" si="25"/>
        <v>0</v>
      </c>
    </row>
    <row r="85" spans="2:11" ht="14.25" customHeight="1" x14ac:dyDescent="0.2">
      <c r="B85" s="281" t="str">
        <f>IF('Limestone Plant (LP-5)'!$E$4&gt;4,"Controlled with Dust Suppressant or","")</f>
        <v/>
      </c>
      <c r="D85" s="55"/>
      <c r="E85" s="166" t="str">
        <f t="shared" si="26"/>
        <v/>
      </c>
      <c r="F85" s="166" t="str">
        <f t="shared" si="27"/>
        <v/>
      </c>
      <c r="G85" s="98"/>
      <c r="H85" s="71"/>
      <c r="I85" s="184"/>
      <c r="J85" s="81">
        <f t="shared" si="24"/>
        <v>0</v>
      </c>
      <c r="K85" s="81">
        <f t="shared" si="25"/>
        <v>0</v>
      </c>
    </row>
    <row r="86" spans="2:11" ht="14.25" customHeight="1" x14ac:dyDescent="0.2">
      <c r="B86" s="282" t="str">
        <f>IF('Limestone Plant (LP-5)'!$E$4&gt;4,"Material Being Processed has","")</f>
        <v/>
      </c>
      <c r="C86" s="280"/>
      <c r="D86" s="55"/>
      <c r="E86" s="166" t="str">
        <f t="shared" si="26"/>
        <v/>
      </c>
      <c r="F86" s="166" t="str">
        <f t="shared" si="27"/>
        <v/>
      </c>
      <c r="G86" s="98"/>
      <c r="H86" s="71"/>
      <c r="I86" s="184"/>
      <c r="J86" s="81">
        <f t="shared" si="24"/>
        <v>0</v>
      </c>
      <c r="K86" s="81">
        <f t="shared" si="25"/>
        <v>0</v>
      </c>
    </row>
    <row r="87" spans="2:11" ht="14.25" customHeight="1" x14ac:dyDescent="0.2">
      <c r="B87" s="284" t="str">
        <f>IF('Limestone Plant (LP-5)'!$E$4&gt;4,"Moisture Content &gt; 1.5%?","")</f>
        <v/>
      </c>
      <c r="C87" s="55"/>
      <c r="D87" s="55"/>
      <c r="E87" s="166" t="str">
        <f t="shared" si="26"/>
        <v/>
      </c>
      <c r="F87" s="166" t="str">
        <f t="shared" si="27"/>
        <v/>
      </c>
      <c r="G87" s="98"/>
      <c r="H87" s="71"/>
      <c r="I87" s="184"/>
      <c r="J87" s="81">
        <f t="shared" si="24"/>
        <v>0</v>
      </c>
      <c r="K87" s="81">
        <f t="shared" si="25"/>
        <v>0</v>
      </c>
    </row>
    <row r="88" spans="2:11" ht="14.25" customHeight="1" x14ac:dyDescent="0.2">
      <c r="B88" s="55"/>
      <c r="D88" s="55"/>
      <c r="E88" s="166" t="str">
        <f t="shared" si="26"/>
        <v/>
      </c>
      <c r="F88" s="166" t="str">
        <f t="shared" si="27"/>
        <v/>
      </c>
      <c r="G88" s="98"/>
      <c r="H88" s="71"/>
      <c r="I88" s="184"/>
      <c r="J88" s="81">
        <f t="shared" si="24"/>
        <v>0</v>
      </c>
      <c r="K88" s="81">
        <f t="shared" si="25"/>
        <v>0</v>
      </c>
    </row>
    <row r="89" spans="2:11" ht="14.25" customHeight="1" x14ac:dyDescent="0.2">
      <c r="B89" s="55"/>
      <c r="C89" s="55"/>
      <c r="D89" s="55"/>
      <c r="E89" s="166" t="str">
        <f t="shared" si="26"/>
        <v/>
      </c>
      <c r="F89" s="166" t="str">
        <f t="shared" si="27"/>
        <v/>
      </c>
      <c r="G89" s="98"/>
      <c r="H89" s="71"/>
      <c r="I89" s="184"/>
      <c r="J89" s="81">
        <f t="shared" si="24"/>
        <v>0</v>
      </c>
      <c r="K89" s="81">
        <f t="shared" si="25"/>
        <v>0</v>
      </c>
    </row>
    <row r="90" spans="2:11" ht="14.25" customHeight="1" x14ac:dyDescent="0.2">
      <c r="B90" s="55"/>
      <c r="D90" s="55"/>
      <c r="E90" s="55"/>
      <c r="F90" s="55"/>
    </row>
    <row r="91" spans="2:11" ht="14.25" customHeight="1" x14ac:dyDescent="0.2">
      <c r="B91" s="55"/>
      <c r="E91" s="88" t="str">
        <f>IF('Limestone Plant (LP-5)'!$E$4&gt;4,"Stock Pile Area","")</f>
        <v/>
      </c>
      <c r="F91" s="88"/>
      <c r="G91" s="89"/>
    </row>
    <row r="92" spans="2:11" ht="14.25" customHeight="1" x14ac:dyDescent="0.2">
      <c r="B92" s="55"/>
      <c r="D92" s="90"/>
      <c r="F92" s="60" t="str">
        <f>IF('Limestone Plant (LP-5)'!$E$4&gt;4,"Emission Unit #","")</f>
        <v/>
      </c>
      <c r="G92" s="95" t="str">
        <f>IF('Limestone Plant (LP-5)'!$E$4&gt;4,"Maximum Storage Area (acres)","")</f>
        <v/>
      </c>
      <c r="H92" s="96" t="str">
        <f>IF('Limestone Plant (LP-5)'!$E$4&gt;4,"Actual Storage Area (acres)","")</f>
        <v/>
      </c>
      <c r="I92" s="95" t="str">
        <f>IF('Limestone Plant (LP-5)'!$E$4&gt;4,"Actual Days in Existence (days)","")</f>
        <v/>
      </c>
    </row>
    <row r="93" spans="2:11" ht="14.25" customHeight="1" x14ac:dyDescent="0.2">
      <c r="B93" s="55"/>
      <c r="F93" s="72"/>
      <c r="G93" s="126"/>
      <c r="H93" s="78"/>
      <c r="I93" s="126"/>
    </row>
    <row r="94" spans="2:11" ht="24.75" customHeight="1" x14ac:dyDescent="0.2"/>
    <row r="96" spans="2:11" ht="29.25" customHeight="1" x14ac:dyDescent="0.25">
      <c r="B96" s="92" t="str">
        <f>IF('Limestone Plant (LP-5)'!$E$4&gt;5,"CRUSHER PLANT","")</f>
        <v/>
      </c>
      <c r="C96" s="84" t="str">
        <f>IF('Limestone Plant (LP-5)'!$E$4&gt;5,"Site 6","")</f>
        <v/>
      </c>
      <c r="E96" s="213" t="str">
        <f>IF('Limestone Plant (LP-5)'!$E$4&gt;5,"Emission Point #","")</f>
        <v/>
      </c>
      <c r="F96" s="213" t="str">
        <f>IF('Limestone Plant (LP-5)'!$E$4&gt;5,"Emission    Unit #","")</f>
        <v/>
      </c>
      <c r="G96" s="213" t="str">
        <f>IF('Limestone Plant (LP-5)'!$E$4&gt;5,"Processes","")</f>
        <v/>
      </c>
      <c r="H96" s="220" t="str">
        <f>IF('Limestone Plant (LP-5)'!$E$4&gt;5,"Combined Maximum Hourly Design Rate for all Like Processes (tons/hr)","")</f>
        <v/>
      </c>
      <c r="I96" s="213" t="str">
        <f>IF('Limestone Plant (LP-5)'!$E$4&gt;5,('Facility Information'!G5&amp;" Annual Throughput (tons)"),"")</f>
        <v/>
      </c>
    </row>
    <row r="97" spans="2:11" ht="14.25" customHeight="1" x14ac:dyDescent="0.2">
      <c r="B97" s="94" t="str">
        <f>IF('Limestone Plant (LP-5)'!$E$4&gt;5,"Site Name:","")</f>
        <v/>
      </c>
      <c r="C97" s="76"/>
      <c r="D97" s="55"/>
      <c r="E97" s="166" t="str">
        <f>IF(G97="","","LP-5 EP-1")</f>
        <v/>
      </c>
      <c r="F97" s="166" t="str">
        <f>IF(G97="","",IF(G97="primary crusher","LP-5 EU-1",IF(G97="screening","LP-5 EU-2",IF(G97="secondary crusher","LP-5 EU-3",IF(G97="tertiary crusher","LP-5 EU-4",IF(G97="fines crushing","LP-5 EU-5",IF(G97="fines screening","LP-5 EU-6",IF(G97="wet drilling: unfragmented stone","LP-5 EU-7",IF(G97="conveyor transfer points","LP-5 EU-8")))))))))</f>
        <v/>
      </c>
      <c r="G97" s="98"/>
      <c r="H97" s="71"/>
      <c r="I97" s="184"/>
      <c r="J97" s="81">
        <f t="shared" ref="J97:J104" si="28">IF($C$101="no",I97,0)</f>
        <v>0</v>
      </c>
      <c r="K97" s="81">
        <f t="shared" ref="K97:K104" si="29">IF($C$101="yes",I97,0)</f>
        <v>0</v>
      </c>
    </row>
    <row r="98" spans="2:11" ht="14.25" customHeight="1" x14ac:dyDescent="0.2">
      <c r="B98" s="94" t="str">
        <f>IF('Limestone Plant (LP-5)'!$E$4&gt;5,"County:","")</f>
        <v/>
      </c>
      <c r="C98" s="76"/>
      <c r="D98" s="55"/>
      <c r="E98" s="166" t="str">
        <f t="shared" ref="E98:E104" si="30">IF(G98="","","LP-5 EP-1")</f>
        <v/>
      </c>
      <c r="F98" s="166" t="str">
        <f t="shared" ref="F98:F104" si="31">IF(G98="","",IF(G98="primary crusher","LP-5 EU-1",IF(G98="screening","LP-5 EU-2",IF(G98="secondary crusher","LP-5 EU-3",IF(G98="tertiary crusher","LP-5 EU-4",IF(G98="fines crushing","LP-5 EU-5",IF(G98="fines screening","LP-5 EU-6",IF(G98="wet drilling: unfragmented stone","LP-5 EU-7",IF(G98="conveyor transfer points","LP-5 EU-8")))))))))</f>
        <v/>
      </c>
      <c r="G98" s="98"/>
      <c r="H98" s="71"/>
      <c r="I98" s="184"/>
      <c r="J98" s="81">
        <f t="shared" si="28"/>
        <v>0</v>
      </c>
      <c r="K98" s="81">
        <f t="shared" si="29"/>
        <v>0</v>
      </c>
    </row>
    <row r="99" spans="2:11" ht="14.25" customHeight="1" x14ac:dyDescent="0.2">
      <c r="B99" s="94" t="str">
        <f>IF('Limestone Plant (LP-5)'!$E$4&gt;5,"Crushing Period (Dates):","")</f>
        <v/>
      </c>
      <c r="C99" s="76"/>
      <c r="D99" s="55"/>
      <c r="E99" s="166" t="str">
        <f t="shared" si="30"/>
        <v/>
      </c>
      <c r="F99" s="166" t="str">
        <f t="shared" si="31"/>
        <v/>
      </c>
      <c r="G99" s="98"/>
      <c r="H99" s="71"/>
      <c r="I99" s="184"/>
      <c r="J99" s="81">
        <f t="shared" si="28"/>
        <v>0</v>
      </c>
      <c r="K99" s="81">
        <f t="shared" si="29"/>
        <v>0</v>
      </c>
    </row>
    <row r="100" spans="2:11" ht="14.25" customHeight="1" x14ac:dyDescent="0.2">
      <c r="B100" s="281" t="str">
        <f>IF('Limestone Plant (LP-5)'!$E$4&gt;5,"Controlled with Dust Suppressant or","")</f>
        <v/>
      </c>
      <c r="D100" s="55"/>
      <c r="E100" s="166" t="str">
        <f t="shared" si="30"/>
        <v/>
      </c>
      <c r="F100" s="166" t="str">
        <f t="shared" si="31"/>
        <v/>
      </c>
      <c r="G100" s="98"/>
      <c r="H100" s="71"/>
      <c r="I100" s="184"/>
      <c r="J100" s="81">
        <f t="shared" si="28"/>
        <v>0</v>
      </c>
      <c r="K100" s="81">
        <f t="shared" si="29"/>
        <v>0</v>
      </c>
    </row>
    <row r="101" spans="2:11" ht="14.25" customHeight="1" x14ac:dyDescent="0.2">
      <c r="B101" s="282" t="str">
        <f>IF('Limestone Plant (LP-5)'!$E$4&gt;5,"Material Being Processed has","")</f>
        <v/>
      </c>
      <c r="C101" s="280"/>
      <c r="D101" s="55"/>
      <c r="E101" s="166" t="str">
        <f t="shared" si="30"/>
        <v/>
      </c>
      <c r="F101" s="166" t="str">
        <f t="shared" si="31"/>
        <v/>
      </c>
      <c r="G101" s="98"/>
      <c r="H101" s="71"/>
      <c r="I101" s="184"/>
      <c r="J101" s="81">
        <f t="shared" si="28"/>
        <v>0</v>
      </c>
      <c r="K101" s="81">
        <f t="shared" si="29"/>
        <v>0</v>
      </c>
    </row>
    <row r="102" spans="2:11" ht="14.25" customHeight="1" x14ac:dyDescent="0.2">
      <c r="B102" s="284" t="str">
        <f>IF('Limestone Plant (LP-5)'!$E$4&gt;5,"Moisture Content &gt; 1.5%?","")</f>
        <v/>
      </c>
      <c r="C102" s="55"/>
      <c r="D102" s="55"/>
      <c r="E102" s="166" t="str">
        <f t="shared" si="30"/>
        <v/>
      </c>
      <c r="F102" s="166" t="str">
        <f t="shared" si="31"/>
        <v/>
      </c>
      <c r="G102" s="98"/>
      <c r="H102" s="71"/>
      <c r="I102" s="184"/>
      <c r="J102" s="81">
        <f t="shared" si="28"/>
        <v>0</v>
      </c>
      <c r="K102" s="81">
        <f t="shared" si="29"/>
        <v>0</v>
      </c>
    </row>
    <row r="103" spans="2:11" ht="14.25" customHeight="1" x14ac:dyDescent="0.2">
      <c r="B103" s="55"/>
      <c r="D103" s="55"/>
      <c r="E103" s="166" t="str">
        <f t="shared" si="30"/>
        <v/>
      </c>
      <c r="F103" s="166" t="str">
        <f t="shared" si="31"/>
        <v/>
      </c>
      <c r="G103" s="98"/>
      <c r="H103" s="71"/>
      <c r="I103" s="184"/>
      <c r="J103" s="81">
        <f t="shared" si="28"/>
        <v>0</v>
      </c>
      <c r="K103" s="81">
        <f t="shared" si="29"/>
        <v>0</v>
      </c>
    </row>
    <row r="104" spans="2:11" ht="14.25" customHeight="1" x14ac:dyDescent="0.2">
      <c r="B104" s="55"/>
      <c r="C104" s="55"/>
      <c r="D104" s="55"/>
      <c r="E104" s="166" t="str">
        <f t="shared" si="30"/>
        <v/>
      </c>
      <c r="F104" s="166" t="str">
        <f t="shared" si="31"/>
        <v/>
      </c>
      <c r="G104" s="98"/>
      <c r="H104" s="71"/>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(LP-5)'!$E$4&gt;5,"Stock Pile Area","")</f>
        <v/>
      </c>
      <c r="F106" s="88"/>
      <c r="G106" s="89"/>
    </row>
    <row r="107" spans="2:11" ht="14.25" customHeight="1" x14ac:dyDescent="0.2">
      <c r="B107" s="55"/>
      <c r="D107" s="90"/>
      <c r="F107" s="60" t="str">
        <f>IF('Limestone Plant (LP-5)'!$E$4&gt;5,"Emission Unit #","")</f>
        <v/>
      </c>
      <c r="G107" s="95" t="str">
        <f>IF('Limestone Plant (LP-5)'!$E$4&gt;5,"Maximum Storage Area (acres)","")</f>
        <v/>
      </c>
      <c r="H107" s="96" t="str">
        <f>IF('Limestone Plant (LP-5)'!$E$4&gt;5,"Actual Storage Area (acres)","")</f>
        <v/>
      </c>
      <c r="I107" s="95" t="str">
        <f>IF('Limestone Plant (LP-5)'!$E$4&gt;5,"Actual Days in Existence (days)","")</f>
        <v/>
      </c>
    </row>
    <row r="108" spans="2:11" ht="14.25" customHeight="1" x14ac:dyDescent="0.2">
      <c r="B108" s="55"/>
      <c r="F108" s="77"/>
      <c r="G108" s="126"/>
      <c r="H108" s="78"/>
      <c r="I108" s="126"/>
    </row>
    <row r="109" spans="2:11" ht="23.25" customHeight="1" x14ac:dyDescent="0.2"/>
    <row r="111" spans="2:11" ht="28.5" customHeight="1" x14ac:dyDescent="0.25">
      <c r="B111" s="92" t="str">
        <f>IF('Limestone Plant (LP-5)'!$E$4&gt;6,"CRUSHER PLANT","")</f>
        <v/>
      </c>
      <c r="C111" s="84" t="str">
        <f>IF('Limestone Plant (LP-5)'!$E$4&gt;6,"Site 7","")</f>
        <v/>
      </c>
      <c r="E111" s="213" t="str">
        <f>IF('Limestone Plant (LP-5)'!$E$4&gt;6,"Emission Point #","")</f>
        <v/>
      </c>
      <c r="F111" s="213" t="str">
        <f>IF('Limestone Plant (LP-5)'!$E$4&gt;6,"Emission    Unit #","")</f>
        <v/>
      </c>
      <c r="G111" s="213" t="str">
        <f>IF('Limestone Plant (LP-5)'!$E$4&gt;6,"Processes","")</f>
        <v/>
      </c>
      <c r="H111" s="220" t="str">
        <f>IF('Limestone Plant (LP-5)'!$E$4&gt;6,"Combined Maximum Hourly Design Rate for all Like Processes (tons/hr)","")</f>
        <v/>
      </c>
      <c r="I111" s="213" t="str">
        <f>IF('Limestone Plant (LP-5)'!$E$4&gt;6,('Facility Information'!G5&amp;" Annual Throughput (tons)"),"")</f>
        <v/>
      </c>
    </row>
    <row r="112" spans="2:11" ht="14.25" customHeight="1" x14ac:dyDescent="0.2">
      <c r="B112" s="94" t="str">
        <f>IF('Limestone Plant (LP-5)'!$E$4&gt;6,"Site Name:","")</f>
        <v/>
      </c>
      <c r="C112" s="76"/>
      <c r="D112" s="55"/>
      <c r="E112" s="166" t="str">
        <f>IF(G112="","","LP-5 EP-1")</f>
        <v/>
      </c>
      <c r="F112" s="166" t="str">
        <f>IF(G112="","",IF(G112="primary crusher","LP-5 EU-1",IF(G112="screening","LP-5 EU-2",IF(G112="secondary crusher","LP-5 EU-3",IF(G112="tertiary crusher","LP-5 EU-4",IF(G112="fines crushing","LP-5 EU-5",IF(G112="fines screening","LP-5 EU-6",IF(G112="wet drilling: unfragmented stone","LP-5 EU-7",IF(G112="conveyor transfer points","LP-5 EU-8")))))))))</f>
        <v/>
      </c>
      <c r="G112" s="98"/>
      <c r="H112" s="71"/>
      <c r="I112" s="184"/>
      <c r="J112" s="81">
        <f t="shared" ref="J112:J119" si="32">IF($C$116="no",I112,0)</f>
        <v>0</v>
      </c>
      <c r="K112" s="81">
        <f t="shared" ref="K112:K119" si="33">IF($C$116="yes",I112,0)</f>
        <v>0</v>
      </c>
    </row>
    <row r="113" spans="2:11" ht="14.25" customHeight="1" x14ac:dyDescent="0.2">
      <c r="B113" s="94" t="str">
        <f>IF('Limestone Plant (LP-5)'!$E$4&gt;6,"County:","")</f>
        <v/>
      </c>
      <c r="C113" s="76"/>
      <c r="D113" s="55"/>
      <c r="E113" s="166" t="str">
        <f t="shared" ref="E113:E119" si="34">IF(G113="","","LP-5 EP-1")</f>
        <v/>
      </c>
      <c r="F113" s="166" t="str">
        <f t="shared" ref="F113:F119" si="35">IF(G113="","",IF(G113="primary crusher","LP-5 EU-1",IF(G113="screening","LP-5 EU-2",IF(G113="secondary crusher","LP-5 EU-3",IF(G113="tertiary crusher","LP-5 EU-4",IF(G113="fines crushing","LP-5 EU-5",IF(G113="fines screening","LP-5 EU-6",IF(G113="wet drilling: unfragmented stone","LP-5 EU-7",IF(G113="conveyor transfer points","LP-5 EU-8")))))))))</f>
        <v/>
      </c>
      <c r="G113" s="98"/>
      <c r="H113" s="71"/>
      <c r="I113" s="184"/>
      <c r="J113" s="81">
        <f t="shared" si="32"/>
        <v>0</v>
      </c>
      <c r="K113" s="81">
        <f t="shared" si="33"/>
        <v>0</v>
      </c>
    </row>
    <row r="114" spans="2:11" ht="14.25" customHeight="1" x14ac:dyDescent="0.2">
      <c r="B114" s="94" t="str">
        <f>IF('Limestone Plant (LP-5)'!$E$4&gt;6,"Crushing Period (Dates):","")</f>
        <v/>
      </c>
      <c r="C114" s="186"/>
      <c r="D114" s="55"/>
      <c r="E114" s="166" t="str">
        <f t="shared" si="34"/>
        <v/>
      </c>
      <c r="F114" s="166" t="str">
        <f t="shared" si="35"/>
        <v/>
      </c>
      <c r="G114" s="98"/>
      <c r="H114" s="71"/>
      <c r="I114" s="184"/>
      <c r="J114" s="81">
        <f t="shared" si="32"/>
        <v>0</v>
      </c>
      <c r="K114" s="81">
        <f t="shared" si="33"/>
        <v>0</v>
      </c>
    </row>
    <row r="115" spans="2:11" ht="14.25" customHeight="1" x14ac:dyDescent="0.2">
      <c r="B115" s="281" t="str">
        <f>IF('Limestone Plant (LP-5)'!$E$4&gt;6,"Controlled with Dust Suppressant or","")</f>
        <v/>
      </c>
      <c r="D115" s="55"/>
      <c r="E115" s="166" t="str">
        <f t="shared" si="34"/>
        <v/>
      </c>
      <c r="F115" s="166" t="str">
        <f t="shared" si="35"/>
        <v/>
      </c>
      <c r="G115" s="98"/>
      <c r="H115" s="71"/>
      <c r="I115" s="184"/>
      <c r="J115" s="81">
        <f t="shared" si="32"/>
        <v>0</v>
      </c>
      <c r="K115" s="81">
        <f t="shared" si="33"/>
        <v>0</v>
      </c>
    </row>
    <row r="116" spans="2:11" ht="14.25" customHeight="1" x14ac:dyDescent="0.2">
      <c r="B116" s="282" t="str">
        <f>IF('Limestone Plant (LP-5)'!$E$4&gt;6,"Material Being Processed has","")</f>
        <v/>
      </c>
      <c r="C116" s="280"/>
      <c r="D116" s="55"/>
      <c r="E116" s="166" t="str">
        <f t="shared" si="34"/>
        <v/>
      </c>
      <c r="F116" s="166" t="str">
        <f t="shared" si="35"/>
        <v/>
      </c>
      <c r="G116" s="98"/>
      <c r="H116" s="71"/>
      <c r="I116" s="184"/>
      <c r="J116" s="81">
        <f t="shared" si="32"/>
        <v>0</v>
      </c>
      <c r="K116" s="81">
        <f t="shared" si="33"/>
        <v>0</v>
      </c>
    </row>
    <row r="117" spans="2:11" ht="14.25" customHeight="1" x14ac:dyDescent="0.2">
      <c r="B117" s="284" t="str">
        <f>IF('Limestone Plant (LP-5)'!$E$4&gt;6,"Moisture Content &gt; 1.5%?","")</f>
        <v/>
      </c>
      <c r="C117" s="55"/>
      <c r="D117" s="55"/>
      <c r="E117" s="166" t="str">
        <f t="shared" si="34"/>
        <v/>
      </c>
      <c r="F117" s="166" t="str">
        <f t="shared" si="35"/>
        <v/>
      </c>
      <c r="G117" s="98"/>
      <c r="H117" s="71"/>
      <c r="I117" s="184"/>
      <c r="J117" s="81">
        <f t="shared" si="32"/>
        <v>0</v>
      </c>
      <c r="K117" s="81">
        <f t="shared" si="33"/>
        <v>0</v>
      </c>
    </row>
    <row r="118" spans="2:11" ht="14.25" customHeight="1" x14ac:dyDescent="0.2">
      <c r="B118" s="55"/>
      <c r="D118" s="55"/>
      <c r="E118" s="166" t="str">
        <f t="shared" si="34"/>
        <v/>
      </c>
      <c r="F118" s="166" t="str">
        <f t="shared" si="35"/>
        <v/>
      </c>
      <c r="G118" s="98"/>
      <c r="H118" s="71"/>
      <c r="I118" s="184"/>
      <c r="J118" s="81">
        <f t="shared" si="32"/>
        <v>0</v>
      </c>
      <c r="K118" s="81">
        <f t="shared" si="33"/>
        <v>0</v>
      </c>
    </row>
    <row r="119" spans="2:11" ht="14.25" customHeight="1" x14ac:dyDescent="0.2">
      <c r="B119" s="55"/>
      <c r="C119" s="55"/>
      <c r="D119" s="55"/>
      <c r="E119" s="166" t="str">
        <f t="shared" si="34"/>
        <v/>
      </c>
      <c r="F119" s="166" t="str">
        <f t="shared" si="35"/>
        <v/>
      </c>
      <c r="G119" s="98"/>
      <c r="H119" s="71"/>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(LP-5)'!$E$4&gt;6,"Stock Pile Area","")</f>
        <v/>
      </c>
      <c r="F121" s="88"/>
      <c r="G121" s="89"/>
    </row>
    <row r="122" spans="2:11" ht="14.25" customHeight="1" x14ac:dyDescent="0.2">
      <c r="B122" s="55"/>
      <c r="D122" s="90"/>
      <c r="F122" s="60" t="str">
        <f>IF('Limestone Plant (LP-5)'!$E$4&gt;6,"Emission Unit #","")</f>
        <v/>
      </c>
      <c r="G122" s="95" t="str">
        <f>IF('Limestone Plant (LP-5)'!$E$4&gt;6,"Maximum Storage Area (acres)","")</f>
        <v/>
      </c>
      <c r="H122" s="96" t="str">
        <f>IF('Limestone Plant (LP-5)'!$E$4&gt;6,"Actual Storage Area (acres)","")</f>
        <v/>
      </c>
      <c r="I122" s="95" t="str">
        <f>IF('Limestone Plant (LP-5)'!$E$4&gt;6,"Actual Days in Existence (days)","")</f>
        <v/>
      </c>
    </row>
    <row r="123" spans="2:11" ht="14.25" customHeight="1" x14ac:dyDescent="0.2">
      <c r="B123" s="55"/>
      <c r="F123" s="77"/>
      <c r="G123" s="126"/>
      <c r="H123" s="78"/>
      <c r="I123" s="126"/>
    </row>
    <row r="124" spans="2:11" ht="26.25" customHeight="1" x14ac:dyDescent="0.2"/>
    <row r="126" spans="2:11" ht="28.5" customHeight="1" x14ac:dyDescent="0.25">
      <c r="B126" s="92" t="str">
        <f>IF('Limestone Plant (LP-5)'!$E$4&gt;7,"CRUSHER PLANT","")</f>
        <v/>
      </c>
      <c r="C126" s="84" t="str">
        <f>IF('Limestone Plant (LP-5)'!$E$4&gt;7,"Site 8","")</f>
        <v/>
      </c>
      <c r="E126" s="213" t="str">
        <f>IF('Limestone Plant (LP-5)'!$E$4&gt;7,"Emission Point #","")</f>
        <v/>
      </c>
      <c r="F126" s="213" t="str">
        <f>IF('Limestone Plant (LP-5)'!$E$4&gt;7,"Emission    Unit #","")</f>
        <v/>
      </c>
      <c r="G126" s="213" t="str">
        <f>IF('Limestone Plant (LP-5)'!$E$4&gt;7,"Processes","")</f>
        <v/>
      </c>
      <c r="H126" s="220" t="str">
        <f>IF('Limestone Plant (LP-5)'!$E$4&gt;7,"Combined Maximum Hourly Design Rate for all Like Processes (tons/hr)","")</f>
        <v/>
      </c>
      <c r="I126" s="213" t="str">
        <f>IF('Limestone Plant (LP-5)'!$E$4&gt;7,('Facility Information'!G5&amp;" Annual Throughput (tons)"),"")</f>
        <v/>
      </c>
    </row>
    <row r="127" spans="2:11" ht="14.25" customHeight="1" x14ac:dyDescent="0.2">
      <c r="B127" s="94" t="str">
        <f>IF('Limestone Plant (LP-5)'!$E$4&gt;7,"Site Name:","")</f>
        <v/>
      </c>
      <c r="C127" s="76"/>
      <c r="D127" s="55"/>
      <c r="E127" s="166" t="str">
        <f>IF(G127="","","LP-5 EP-1")</f>
        <v/>
      </c>
      <c r="F127" s="166" t="str">
        <f>IF(G127="","",IF(G127="primary crusher","LP-5 EU-1",IF(G127="screening","LP-5 EU-2",IF(G127="secondary crusher","LP-5 EU-3",IF(G127="tertiary crusher","LP-5 EU-4",IF(G127="fines crushing","LP-5 EU-5",IF(G127="fines screening","LP-5 EU-6",IF(G127="wet drilling: unfragmented stone","LP-5 EU-7",IF(G127="conveyor transfer points","LP-5 EU-8")))))))))</f>
        <v/>
      </c>
      <c r="G127" s="98"/>
      <c r="H127" s="71"/>
      <c r="I127" s="184"/>
      <c r="J127" s="81">
        <f t="shared" ref="J127:J134" si="36">IF($C$131="no",I127,0)</f>
        <v>0</v>
      </c>
      <c r="K127" s="81">
        <f t="shared" ref="K127:K134" si="37">IF($C$131="yes",I127,0)</f>
        <v>0</v>
      </c>
    </row>
    <row r="128" spans="2:11" ht="14.25" customHeight="1" x14ac:dyDescent="0.2">
      <c r="B128" s="94" t="str">
        <f>IF('Limestone Plant (LP-5)'!$E$4&gt;7,"County:","")</f>
        <v/>
      </c>
      <c r="C128" s="76"/>
      <c r="D128" s="55"/>
      <c r="E128" s="166" t="str">
        <f t="shared" ref="E128:E134" si="38">IF(G128="","","LP-5 EP-1")</f>
        <v/>
      </c>
      <c r="F128" s="166" t="str">
        <f t="shared" ref="F128:F134" si="39">IF(G128="","",IF(G128="primary crusher","LP-5 EU-1",IF(G128="screening","LP-5 EU-2",IF(G128="secondary crusher","LP-5 EU-3",IF(G128="tertiary crusher","LP-5 EU-4",IF(G128="fines crushing","LP-5 EU-5",IF(G128="fines screening","LP-5 EU-6",IF(G128="wet drilling: unfragmented stone","LP-5 EU-7",IF(G128="conveyor transfer points","LP-5 EU-8")))))))))</f>
        <v/>
      </c>
      <c r="G128" s="98"/>
      <c r="H128" s="71"/>
      <c r="I128" s="184"/>
      <c r="J128" s="81">
        <f t="shared" si="36"/>
        <v>0</v>
      </c>
      <c r="K128" s="81">
        <f t="shared" si="37"/>
        <v>0</v>
      </c>
    </row>
    <row r="129" spans="2:11" ht="14.25" customHeight="1" x14ac:dyDescent="0.2">
      <c r="B129" s="94" t="str">
        <f>IF('Limestone Plant (LP-5)'!$E$4&gt;7,"Crushing Period (Dates):","")</f>
        <v/>
      </c>
      <c r="C129" s="76"/>
      <c r="D129" s="55"/>
      <c r="E129" s="166" t="str">
        <f t="shared" si="38"/>
        <v/>
      </c>
      <c r="F129" s="166" t="str">
        <f t="shared" si="39"/>
        <v/>
      </c>
      <c r="G129" s="98"/>
      <c r="H129" s="71"/>
      <c r="I129" s="184"/>
      <c r="J129" s="81">
        <f t="shared" si="36"/>
        <v>0</v>
      </c>
      <c r="K129" s="81">
        <f t="shared" si="37"/>
        <v>0</v>
      </c>
    </row>
    <row r="130" spans="2:11" ht="14.25" customHeight="1" x14ac:dyDescent="0.2">
      <c r="B130" s="281" t="str">
        <f>IF('Limestone Plant (LP-5)'!$E$4&gt;7,"Controlled with Dust Suppressant or","")</f>
        <v/>
      </c>
      <c r="D130" s="55"/>
      <c r="E130" s="166" t="str">
        <f t="shared" si="38"/>
        <v/>
      </c>
      <c r="F130" s="166" t="str">
        <f t="shared" si="39"/>
        <v/>
      </c>
      <c r="G130" s="98"/>
      <c r="H130" s="71"/>
      <c r="I130" s="184"/>
      <c r="J130" s="81">
        <f t="shared" si="36"/>
        <v>0</v>
      </c>
      <c r="K130" s="81">
        <f t="shared" si="37"/>
        <v>0</v>
      </c>
    </row>
    <row r="131" spans="2:11" ht="14.25" customHeight="1" x14ac:dyDescent="0.2">
      <c r="B131" s="282" t="str">
        <f>IF('Limestone Plant (LP-5)'!$E$4&gt;7,"Material Being Processed has","")</f>
        <v/>
      </c>
      <c r="C131" s="280"/>
      <c r="D131" s="55"/>
      <c r="E131" s="166" t="str">
        <f t="shared" si="38"/>
        <v/>
      </c>
      <c r="F131" s="166" t="str">
        <f t="shared" si="39"/>
        <v/>
      </c>
      <c r="G131" s="98"/>
      <c r="H131" s="71"/>
      <c r="I131" s="184"/>
      <c r="J131" s="81">
        <f t="shared" si="36"/>
        <v>0</v>
      </c>
      <c r="K131" s="81">
        <f t="shared" si="37"/>
        <v>0</v>
      </c>
    </row>
    <row r="132" spans="2:11" ht="14.25" customHeight="1" x14ac:dyDescent="0.2">
      <c r="B132" s="284" t="str">
        <f>IF('Limestone Plant (LP-5)'!$E$4&gt;7,"Moisture Content &gt; 1.5%?","")</f>
        <v/>
      </c>
      <c r="C132" s="55"/>
      <c r="D132" s="55"/>
      <c r="E132" s="166" t="str">
        <f t="shared" si="38"/>
        <v/>
      </c>
      <c r="F132" s="166" t="str">
        <f t="shared" si="39"/>
        <v/>
      </c>
      <c r="G132" s="98"/>
      <c r="H132" s="71"/>
      <c r="I132" s="184"/>
      <c r="J132" s="81">
        <f t="shared" si="36"/>
        <v>0</v>
      </c>
      <c r="K132" s="81">
        <f t="shared" si="37"/>
        <v>0</v>
      </c>
    </row>
    <row r="133" spans="2:11" ht="14.25" customHeight="1" x14ac:dyDescent="0.2">
      <c r="B133" s="55"/>
      <c r="D133" s="55"/>
      <c r="E133" s="166" t="str">
        <f t="shared" si="38"/>
        <v/>
      </c>
      <c r="F133" s="166" t="str">
        <f t="shared" si="39"/>
        <v/>
      </c>
      <c r="G133" s="98"/>
      <c r="H133" s="71"/>
      <c r="I133" s="184"/>
      <c r="J133" s="81">
        <f t="shared" si="36"/>
        <v>0</v>
      </c>
      <c r="K133" s="81">
        <f t="shared" si="37"/>
        <v>0</v>
      </c>
    </row>
    <row r="134" spans="2:11" ht="14.25" customHeight="1" x14ac:dyDescent="0.2">
      <c r="B134" s="55"/>
      <c r="C134" s="55"/>
      <c r="D134" s="55"/>
      <c r="E134" s="166" t="str">
        <f t="shared" si="38"/>
        <v/>
      </c>
      <c r="F134" s="166" t="str">
        <f t="shared" si="39"/>
        <v/>
      </c>
      <c r="G134" s="98"/>
      <c r="H134" s="71"/>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(LP-5)'!$E$4&gt;7,"Stock Pile Area","")</f>
        <v/>
      </c>
      <c r="F136" s="88"/>
      <c r="G136" s="89"/>
    </row>
    <row r="137" spans="2:11" ht="14.25" customHeight="1" x14ac:dyDescent="0.2">
      <c r="B137" s="55"/>
      <c r="D137" s="90"/>
      <c r="F137" s="60" t="str">
        <f>IF('Limestone Plant (LP-5)'!$E$4&gt;7,"Emission Unit #","")</f>
        <v/>
      </c>
      <c r="G137" s="95" t="str">
        <f>IF('Limestone Plant (LP-5)'!$E$4&gt;7,"Maximum Storage Area (acres)","")</f>
        <v/>
      </c>
      <c r="H137" s="96" t="str">
        <f>IF('Limestone Plant (LP-5)'!$E$4&gt;7,"Actual Storage Area (acres)","")</f>
        <v/>
      </c>
      <c r="I137" s="95" t="str">
        <f>IF('Limestone Plant (LP-5)'!$E$4&gt;7,"Actual Days in Existence (days)","")</f>
        <v/>
      </c>
    </row>
    <row r="138" spans="2:11" ht="14.25" customHeight="1" x14ac:dyDescent="0.2">
      <c r="B138" s="55"/>
      <c r="F138" s="77"/>
      <c r="G138" s="126"/>
      <c r="H138" s="78"/>
      <c r="I138" s="126"/>
    </row>
    <row r="139" spans="2:11" ht="24" customHeight="1" x14ac:dyDescent="0.2"/>
    <row r="141" spans="2:11" ht="27.75" customHeight="1" x14ac:dyDescent="0.25">
      <c r="B141" s="92" t="str">
        <f>IF('Limestone Plant (LP-5)'!$E$4&gt;8,"CRUSHER PLANT","")</f>
        <v/>
      </c>
      <c r="C141" s="84" t="str">
        <f>IF('Limestone Plant (LP-5)'!$E$4&gt;8,"Site 9","")</f>
        <v/>
      </c>
      <c r="E141" s="213" t="str">
        <f>IF('Limestone Plant (LP-5)'!$E$4&gt;8,"Emission Point #","")</f>
        <v/>
      </c>
      <c r="F141" s="213" t="str">
        <f>IF('Limestone Plant (LP-5)'!$E$4&gt;8,"Emission    Unit #","")</f>
        <v/>
      </c>
      <c r="G141" s="213" t="str">
        <f>IF('Limestone Plant (LP-5)'!$E$4&gt;8,"Processes","")</f>
        <v/>
      </c>
      <c r="H141" s="220" t="str">
        <f>IF('Limestone Plant (LP-5)'!$E$4&gt;8,"Combined Maximum Hourly Design Rate for all Like Processes (tons/hr)","")</f>
        <v/>
      </c>
      <c r="I141" s="213" t="str">
        <f>IF('Limestone Plant (LP-5)'!$E$4&gt;8,('Facility Information'!G5&amp;" Annual Throughput (tons)"),"")</f>
        <v/>
      </c>
    </row>
    <row r="142" spans="2:11" ht="14.25" customHeight="1" x14ac:dyDescent="0.2">
      <c r="B142" s="94" t="str">
        <f>IF('Limestone Plant (LP-5)'!$E$4&gt;8,"Site Name:","")</f>
        <v/>
      </c>
      <c r="C142" s="76"/>
      <c r="D142" s="55"/>
      <c r="E142" s="166" t="str">
        <f>IF(G142="","","LP-5 EP-1")</f>
        <v/>
      </c>
      <c r="F142" s="166" t="str">
        <f>IF(G142="","",IF(G142="primary crusher","LP-5 EU-1",IF(G142="screening","LP-5 EU-2",IF(G142="secondary crusher","LP-5 EU-3",IF(G142="tertiary crusher","LP-5 EU-4",IF(G142="fines crushing","LP-5 EU-5",IF(G142="fines screening","LP-5 EU-6",IF(G142="wet drilling: unfragmented stone","LP-5 EU-7",IF(G142="conveyor transfer points","LP-5 EU-8")))))))))</f>
        <v/>
      </c>
      <c r="G142" s="98"/>
      <c r="H142" s="71"/>
      <c r="I142" s="184"/>
      <c r="J142" s="81">
        <f t="shared" ref="J142:J149" si="40">IF($C$146="no",I142,0)</f>
        <v>0</v>
      </c>
      <c r="K142" s="81">
        <f t="shared" ref="K142:K149" si="41">IF($C$146="yes",I142,0)</f>
        <v>0</v>
      </c>
    </row>
    <row r="143" spans="2:11" ht="14.25" customHeight="1" x14ac:dyDescent="0.2">
      <c r="B143" s="94" t="str">
        <f>IF('Limestone Plant (LP-5)'!$E$4&gt;8,"County:","")</f>
        <v/>
      </c>
      <c r="C143" s="76"/>
      <c r="D143" s="55"/>
      <c r="E143" s="166" t="str">
        <f t="shared" ref="E143:E149" si="42">IF(G143="","","LP-5 EP-1")</f>
        <v/>
      </c>
      <c r="F143" s="166" t="str">
        <f t="shared" ref="F143:F149" si="43">IF(G143="","",IF(G143="primary crusher","LP-5 EU-1",IF(G143="screening","LP-5 EU-2",IF(G143="secondary crusher","LP-5 EU-3",IF(G143="tertiary crusher","LP-5 EU-4",IF(G143="fines crushing","LP-5 EU-5",IF(G143="fines screening","LP-5 EU-6",IF(G143="wet drilling: unfragmented stone","LP-5 EU-7",IF(G143="conveyor transfer points","LP-5 EU-8")))))))))</f>
        <v/>
      </c>
      <c r="G143" s="98"/>
      <c r="H143" s="71"/>
      <c r="I143" s="184"/>
      <c r="J143" s="81">
        <f t="shared" si="40"/>
        <v>0</v>
      </c>
      <c r="K143" s="81">
        <f t="shared" si="41"/>
        <v>0</v>
      </c>
    </row>
    <row r="144" spans="2:11" ht="14.25" customHeight="1" x14ac:dyDescent="0.2">
      <c r="B144" s="94" t="str">
        <f>IF('Limestone Plant (LP-5)'!$E$4&gt;8,"Crushing Period (Dates):","")</f>
        <v/>
      </c>
      <c r="C144" s="76"/>
      <c r="D144" s="55"/>
      <c r="E144" s="166" t="str">
        <f t="shared" si="42"/>
        <v/>
      </c>
      <c r="F144" s="166" t="str">
        <f t="shared" si="43"/>
        <v/>
      </c>
      <c r="G144" s="98"/>
      <c r="H144" s="71"/>
      <c r="I144" s="184"/>
      <c r="J144" s="81">
        <f t="shared" si="40"/>
        <v>0</v>
      </c>
      <c r="K144" s="81">
        <f t="shared" si="41"/>
        <v>0</v>
      </c>
    </row>
    <row r="145" spans="2:11" ht="14.25" customHeight="1" x14ac:dyDescent="0.2">
      <c r="B145" s="281" t="str">
        <f>IF('Limestone Plant (LP-5)'!$E$4&gt;8,"Controlled with Dust Suppressant or","")</f>
        <v/>
      </c>
      <c r="D145" s="55"/>
      <c r="E145" s="166" t="str">
        <f t="shared" si="42"/>
        <v/>
      </c>
      <c r="F145" s="166" t="str">
        <f t="shared" si="43"/>
        <v/>
      </c>
      <c r="G145" s="98"/>
      <c r="H145" s="71"/>
      <c r="I145" s="184"/>
      <c r="J145" s="81">
        <f t="shared" si="40"/>
        <v>0</v>
      </c>
      <c r="K145" s="81">
        <f t="shared" si="41"/>
        <v>0</v>
      </c>
    </row>
    <row r="146" spans="2:11" ht="14.25" customHeight="1" x14ac:dyDescent="0.2">
      <c r="B146" s="282" t="str">
        <f>IF('Limestone Plant (LP-5)'!$E$4&gt;8,"Material Being Processed has","")</f>
        <v/>
      </c>
      <c r="C146" s="280"/>
      <c r="D146" s="55"/>
      <c r="E146" s="166" t="str">
        <f t="shared" si="42"/>
        <v/>
      </c>
      <c r="F146" s="166" t="str">
        <f t="shared" si="43"/>
        <v/>
      </c>
      <c r="G146" s="98"/>
      <c r="H146" s="71"/>
      <c r="I146" s="184"/>
      <c r="J146" s="81">
        <f t="shared" si="40"/>
        <v>0</v>
      </c>
      <c r="K146" s="81">
        <f t="shared" si="41"/>
        <v>0</v>
      </c>
    </row>
    <row r="147" spans="2:11" ht="14.25" customHeight="1" x14ac:dyDescent="0.2">
      <c r="B147" s="284" t="str">
        <f>IF('Limestone Plant (LP-5)'!$E$4&gt;8,"Moisture Content &gt; 1.5%?","")</f>
        <v/>
      </c>
      <c r="C147" s="55"/>
      <c r="D147" s="55"/>
      <c r="E147" s="166" t="str">
        <f t="shared" si="42"/>
        <v/>
      </c>
      <c r="F147" s="166" t="str">
        <f t="shared" si="43"/>
        <v/>
      </c>
      <c r="G147" s="98"/>
      <c r="H147" s="71"/>
      <c r="I147" s="184"/>
      <c r="J147" s="81">
        <f t="shared" si="40"/>
        <v>0</v>
      </c>
      <c r="K147" s="81">
        <f t="shared" si="41"/>
        <v>0</v>
      </c>
    </row>
    <row r="148" spans="2:11" ht="14.25" customHeight="1" x14ac:dyDescent="0.2">
      <c r="B148" s="55"/>
      <c r="D148" s="55"/>
      <c r="E148" s="166" t="str">
        <f t="shared" si="42"/>
        <v/>
      </c>
      <c r="F148" s="166" t="str">
        <f t="shared" si="43"/>
        <v/>
      </c>
      <c r="G148" s="98"/>
      <c r="H148" s="71"/>
      <c r="I148" s="184"/>
      <c r="J148" s="81">
        <f t="shared" si="40"/>
        <v>0</v>
      </c>
      <c r="K148" s="81">
        <f t="shared" si="41"/>
        <v>0</v>
      </c>
    </row>
    <row r="149" spans="2:11" ht="14.25" customHeight="1" x14ac:dyDescent="0.2">
      <c r="B149" s="55"/>
      <c r="C149" s="55"/>
      <c r="D149" s="55"/>
      <c r="E149" s="166" t="str">
        <f t="shared" si="42"/>
        <v/>
      </c>
      <c r="F149" s="166" t="str">
        <f t="shared" si="43"/>
        <v/>
      </c>
      <c r="G149" s="98"/>
      <c r="H149" s="71"/>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(LP-5)'!$E$4&gt;8,"Stock Pile Area","")</f>
        <v/>
      </c>
      <c r="F151" s="88"/>
      <c r="G151" s="89"/>
    </row>
    <row r="152" spans="2:11" ht="14.25" customHeight="1" x14ac:dyDescent="0.2">
      <c r="B152" s="55"/>
      <c r="D152" s="90"/>
      <c r="F152" s="60" t="str">
        <f>IF('Limestone Plant (LP-5)'!$E$4&gt;8,"Emission Unit #","")</f>
        <v/>
      </c>
      <c r="G152" s="95" t="str">
        <f>IF('Limestone Plant (LP-5)'!$E$4&gt;8,"Maximum Storage Area (acres)","")</f>
        <v/>
      </c>
      <c r="H152" s="96" t="str">
        <f>IF('Limestone Plant (LP-5)'!$E$4&gt;8,"Actual Storage Area (acres)","")</f>
        <v/>
      </c>
      <c r="I152" s="95" t="str">
        <f>IF('Limestone Plant (LP-5)'!$E$4&gt;8,"Actual Days in Existence (days)","")</f>
        <v/>
      </c>
    </row>
    <row r="153" spans="2:11" ht="14.25" customHeight="1" x14ac:dyDescent="0.2">
      <c r="B153" s="55"/>
      <c r="F153" s="159"/>
      <c r="G153" s="100"/>
      <c r="H153" s="160"/>
      <c r="I153" s="100"/>
    </row>
    <row r="156" spans="2:11" ht="27.75" customHeight="1" x14ac:dyDescent="0.25">
      <c r="B156" s="92" t="str">
        <f>IF('Limestone Plant (LP-5)'!$E$4&gt;9,"CRUSHER PLANT","")</f>
        <v/>
      </c>
      <c r="C156" s="84" t="str">
        <f>IF('Limestone Plant (LP-5)'!$E$4&gt;9,"Site 10","")</f>
        <v/>
      </c>
      <c r="E156" s="213" t="str">
        <f>IF('Limestone Plant (LP-5)'!$E$4&gt;9,"Emission Point #","")</f>
        <v/>
      </c>
      <c r="F156" s="213" t="str">
        <f>IF('Limestone Plant (LP-5)'!$E$4&gt;9,"Emission    Unit #","")</f>
        <v/>
      </c>
      <c r="G156" s="213" t="str">
        <f>IF('Limestone Plant (LP-5)'!$E$4&gt;9,"Processes","")</f>
        <v/>
      </c>
      <c r="H156" s="220" t="str">
        <f>IF('Limestone Plant (LP-5)'!$E$4&gt;9,"Combined Maximum Hourly Design Rate for all Like Processes (tons/hr)","")</f>
        <v/>
      </c>
      <c r="I156" s="213" t="str">
        <f>IF('Limestone Plant (LP-5)'!$E$4&gt;9,('Facility Information'!G5&amp;" Annual Throughput (tons)"),"")</f>
        <v/>
      </c>
    </row>
    <row r="157" spans="2:11" ht="14.25" customHeight="1" x14ac:dyDescent="0.2">
      <c r="B157" s="94" t="str">
        <f>IF('Limestone Plant (LP-5)'!$E$4&gt;9,"Site Name:","")</f>
        <v/>
      </c>
      <c r="C157" s="76"/>
      <c r="D157" s="55"/>
      <c r="E157" s="166" t="str">
        <f>IF(G157="","","LP-5 EP-1")</f>
        <v/>
      </c>
      <c r="F157" s="166" t="str">
        <f>IF(G157="","",IF(G157="primary crusher","LP-5 EU-1",IF(G157="screening","LP-5 EU-2",IF(G157="secondary crusher","LP-5 EU-3",IF(G157="tertiary crusher","LP-5 EU-4",IF(G157="fines crushing","LP-5 EU-5",IF(G157="fines screening","LP-5 EU-6",IF(G157="wet drilling: unfragmented stone","LP-5 EU-7",IF(G157="conveyor transfer points","LP-5 EU-8")))))))))</f>
        <v/>
      </c>
      <c r="G157" s="98"/>
      <c r="H157" s="71"/>
      <c r="I157" s="184"/>
      <c r="J157" s="81">
        <f>IF($C161="no",I157,0)</f>
        <v>0</v>
      </c>
      <c r="K157" s="81">
        <f>IF($C161="yes",I157,0)</f>
        <v>0</v>
      </c>
    </row>
    <row r="158" spans="2:11" ht="14.25" customHeight="1" x14ac:dyDescent="0.2">
      <c r="B158" s="94" t="str">
        <f>IF('Limestone Plant (LP-5)'!$E$4&gt;9,"County:","")</f>
        <v/>
      </c>
      <c r="C158" s="76"/>
      <c r="D158" s="55"/>
      <c r="E158" s="166" t="str">
        <f t="shared" ref="E158:E164" si="44">IF(G158="","","LP-5 EP-1")</f>
        <v/>
      </c>
      <c r="F158" s="166" t="str">
        <f t="shared" ref="F158:F164" si="45">IF(G158="","",IF(G158="primary crusher","LP-5 EU-1",IF(G158="screening","LP-5 EU-2",IF(G158="secondary crusher","LP-5 EU-3",IF(G158="tertiary crusher","LP-5 EU-4",IF(G158="fines crushing","LP-5 EU-5",IF(G158="fines screening","LP-5 EU-6",IF(G158="wet drilling: unfragmented stone","LP-5 EU-7",IF(G158="conveyor transfer points","LP-5 EU-8")))))))))</f>
        <v/>
      </c>
      <c r="G158" s="98"/>
      <c r="H158" s="71"/>
      <c r="I158" s="184"/>
      <c r="J158" s="81">
        <f t="shared" ref="J158:J164" si="46">IF($C162="no",I158,0)</f>
        <v>0</v>
      </c>
      <c r="K158" s="81">
        <f t="shared" ref="K158:K164" si="47">IF($C162="yes",I158,0)</f>
        <v>0</v>
      </c>
    </row>
    <row r="159" spans="2:11" ht="14.25" customHeight="1" x14ac:dyDescent="0.2">
      <c r="B159" s="94" t="str">
        <f>IF('Limestone Plant (LP-5)'!$E$4&gt;9,"Crushing Period (Dates):","")</f>
        <v/>
      </c>
      <c r="C159" s="76"/>
      <c r="D159" s="55"/>
      <c r="E159" s="166" t="str">
        <f t="shared" si="44"/>
        <v/>
      </c>
      <c r="F159" s="166" t="str">
        <f t="shared" si="45"/>
        <v/>
      </c>
      <c r="G159" s="98"/>
      <c r="H159" s="71"/>
      <c r="I159" s="184"/>
      <c r="J159" s="81">
        <f t="shared" si="46"/>
        <v>0</v>
      </c>
      <c r="K159" s="81">
        <f t="shared" si="47"/>
        <v>0</v>
      </c>
    </row>
    <row r="160" spans="2:11" ht="14.25" customHeight="1" x14ac:dyDescent="0.2">
      <c r="B160" s="281" t="str">
        <f>IF('Limestone Plant (LP-5)'!$E$4&gt;9,"Controlled with Dust Suppressant or","")</f>
        <v/>
      </c>
      <c r="D160" s="55"/>
      <c r="E160" s="166" t="str">
        <f t="shared" si="44"/>
        <v/>
      </c>
      <c r="F160" s="166" t="str">
        <f t="shared" si="45"/>
        <v/>
      </c>
      <c r="G160" s="98"/>
      <c r="H160" s="71"/>
      <c r="I160" s="184"/>
      <c r="J160" s="81">
        <f t="shared" si="46"/>
        <v>0</v>
      </c>
      <c r="K160" s="81">
        <f t="shared" si="47"/>
        <v>0</v>
      </c>
    </row>
    <row r="161" spans="2:11" ht="14.25" customHeight="1" x14ac:dyDescent="0.2">
      <c r="B161" s="282" t="str">
        <f>IF('Limestone Plant (LP-5)'!$E$4&gt;9,"Material Being Processed has","")</f>
        <v/>
      </c>
      <c r="C161" s="280"/>
      <c r="D161" s="55"/>
      <c r="E161" s="166" t="str">
        <f t="shared" si="44"/>
        <v/>
      </c>
      <c r="F161" s="166" t="str">
        <f t="shared" si="45"/>
        <v/>
      </c>
      <c r="G161" s="98"/>
      <c r="H161" s="71"/>
      <c r="I161" s="184"/>
      <c r="J161" s="81">
        <f t="shared" si="46"/>
        <v>0</v>
      </c>
      <c r="K161" s="81">
        <f t="shared" si="47"/>
        <v>0</v>
      </c>
    </row>
    <row r="162" spans="2:11" ht="14.25" customHeight="1" x14ac:dyDescent="0.2">
      <c r="B162" s="284" t="str">
        <f>IF('Limestone Plant (LP-5)'!$E$4&gt;9,"Moisture Content &gt; 1.5%?","")</f>
        <v/>
      </c>
      <c r="C162" s="55"/>
      <c r="D162" s="55"/>
      <c r="E162" s="166" t="str">
        <f t="shared" si="44"/>
        <v/>
      </c>
      <c r="F162" s="166" t="str">
        <f t="shared" si="45"/>
        <v/>
      </c>
      <c r="G162" s="98"/>
      <c r="H162" s="71"/>
      <c r="I162" s="184"/>
      <c r="J162" s="81">
        <f t="shared" si="46"/>
        <v>0</v>
      </c>
      <c r="K162" s="81">
        <f t="shared" si="47"/>
        <v>0</v>
      </c>
    </row>
    <row r="163" spans="2:11" ht="14.25" customHeight="1" x14ac:dyDescent="0.2">
      <c r="B163" s="55"/>
      <c r="D163" s="55"/>
      <c r="E163" s="166" t="str">
        <f t="shared" si="44"/>
        <v/>
      </c>
      <c r="F163" s="166" t="str">
        <f t="shared" si="45"/>
        <v/>
      </c>
      <c r="G163" s="98"/>
      <c r="H163" s="71"/>
      <c r="I163" s="184"/>
      <c r="J163" s="81">
        <f t="shared" si="46"/>
        <v>0</v>
      </c>
      <c r="K163" s="81">
        <f t="shared" si="47"/>
        <v>0</v>
      </c>
    </row>
    <row r="164" spans="2:11" ht="14.25" customHeight="1" x14ac:dyDescent="0.2">
      <c r="B164" s="55"/>
      <c r="C164" s="55"/>
      <c r="D164" s="55"/>
      <c r="E164" s="166" t="str">
        <f t="shared" si="44"/>
        <v/>
      </c>
      <c r="F164" s="166" t="str">
        <f t="shared" si="45"/>
        <v/>
      </c>
      <c r="G164" s="98"/>
      <c r="H164" s="71"/>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(LP-5)'!$E$4&gt;9,"Stock Pile Area","")</f>
        <v/>
      </c>
      <c r="F166" s="88"/>
      <c r="G166" s="89"/>
    </row>
    <row r="167" spans="2:11" ht="14.25" customHeight="1" x14ac:dyDescent="0.2">
      <c r="B167" s="55"/>
      <c r="D167" s="90"/>
      <c r="F167" s="60" t="str">
        <f>IF('Limestone Plant (LP-5)'!$E$4&gt;9,"Emission Unit #","")</f>
        <v/>
      </c>
      <c r="G167" s="95" t="str">
        <f>IF('Limestone Plant (LP-5)'!$E$4&gt;9,"Maximum Storage Area (acres)","")</f>
        <v/>
      </c>
      <c r="H167" s="96" t="str">
        <f>IF('Limestone Plant (LP-5)'!$E$4&gt;9,"Actual Storage Area (acres)","")</f>
        <v/>
      </c>
      <c r="I167" s="95" t="str">
        <f>IF('Limestone Plant (LP-5)'!$E$4&gt;9,"Actual Days in Existence (days)","")</f>
        <v/>
      </c>
    </row>
    <row r="168" spans="2:11" ht="14.25" customHeight="1" x14ac:dyDescent="0.2">
      <c r="F168" s="77"/>
      <c r="G168" s="126"/>
      <c r="H168" s="78"/>
      <c r="I168" s="126"/>
    </row>
  </sheetData>
  <sheetProtection algorithmName="SHA-512" hashValue="sU0/RpQ3xkI/upmP+J9u1NM4p5SfsyMZGlta5JQ7ARVygBkCJLB0UQdeUqFGLt1R3S+frTZuxElk904Tomq0kw==" saltValue="aot6hcHVKhS8untUEl2hqg==" spinCount="100000" sheet="1" objects="1" scenarios="1"/>
  <conditionalFormatting sqref="F47:I47 F122:I122 B157:B159 B142:B144 B127:B129 B112:B114 B97:B99 B82:B84 B67:B69 B52:B54 B37:B39">
    <cfRule type="notContainsBlanks" dxfId="417" priority="72" stopIfTrue="1">
      <formula>LEN(TRIM(B37))&gt;0</formula>
    </cfRule>
  </conditionalFormatting>
  <conditionalFormatting sqref="F47:I48 D35:I36 D47:D48 B35:C39 D45:I46 D37:D44 G37:I44 B44:C48 B43 C41:C42">
    <cfRule type="cellIs" dxfId="416" priority="69" stopIfTrue="1" operator="equal">
      <formula>$B$35="crusher plant"</formula>
    </cfRule>
  </conditionalFormatting>
  <conditionalFormatting sqref="C45 B35:C35">
    <cfRule type="notContainsBlanks" dxfId="415" priority="73" stopIfTrue="1">
      <formula>LEN(TRIM(B35))&gt;0</formula>
    </cfRule>
  </conditionalFormatting>
  <conditionalFormatting sqref="F62:I62">
    <cfRule type="notContainsBlanks" dxfId="414" priority="68" stopIfTrue="1">
      <formula>LEN(TRIM(F62))&gt;0</formula>
    </cfRule>
  </conditionalFormatting>
  <conditionalFormatting sqref="F62:I63 D62:D63 D51:I51 D60:I61 D52:D59 G52:I59 B59:C63 B58 C56:C57 B51:C54">
    <cfRule type="cellIs" dxfId="413" priority="65" stopIfTrue="1" operator="equal">
      <formula>$B$51="crusher plant"</formula>
    </cfRule>
  </conditionalFormatting>
  <conditionalFormatting sqref="C60 B51:C51">
    <cfRule type="notContainsBlanks" dxfId="412" priority="74" stopIfTrue="1">
      <formula>LEN(TRIM(B51))&gt;0</formula>
    </cfRule>
  </conditionalFormatting>
  <conditionalFormatting sqref="F77:I77">
    <cfRule type="notContainsBlanks" dxfId="411" priority="63" stopIfTrue="1">
      <formula>LEN(TRIM(F77))&gt;0</formula>
    </cfRule>
  </conditionalFormatting>
  <conditionalFormatting sqref="F77:I78 D66:I66 D77:D78 D75:I76 D67:D74 G67:I74 B74:C78 B73 C71:C72 B66:C69">
    <cfRule type="cellIs" dxfId="410" priority="60" stopIfTrue="1" operator="equal">
      <formula>$B$66="crusher plant"</formula>
    </cfRule>
  </conditionalFormatting>
  <conditionalFormatting sqref="C75 B66:C66">
    <cfRule type="notContainsBlanks" dxfId="409" priority="64" stopIfTrue="1">
      <formula>LEN(TRIM(B66))&gt;0</formula>
    </cfRule>
  </conditionalFormatting>
  <conditionalFormatting sqref="F92:I92">
    <cfRule type="notContainsBlanks" dxfId="408" priority="58" stopIfTrue="1">
      <formula>LEN(TRIM(F92))&gt;0</formula>
    </cfRule>
  </conditionalFormatting>
  <conditionalFormatting sqref="F92:I93 D92:D93 D81:I81 D90:I91 D82:D89 G82:I89 B89:C93 B88 C86:C87 B81:C84">
    <cfRule type="cellIs" dxfId="407" priority="55" stopIfTrue="1" operator="equal">
      <formula>$B$81="crusher plant"</formula>
    </cfRule>
  </conditionalFormatting>
  <conditionalFormatting sqref="C90 B81:C81">
    <cfRule type="notContainsBlanks" dxfId="406" priority="59" stopIfTrue="1">
      <formula>LEN(TRIM(B81))&gt;0</formula>
    </cfRule>
  </conditionalFormatting>
  <conditionalFormatting sqref="F107:I107">
    <cfRule type="notContainsBlanks" dxfId="405" priority="53" stopIfTrue="1">
      <formula>LEN(TRIM(F107))&gt;0</formula>
    </cfRule>
  </conditionalFormatting>
  <conditionalFormatting sqref="F107:I108 D96:I96 D107:D108 D105:I106 D97:D104 G97:I104 B104:C108 B103 C101:C102 B96:C99">
    <cfRule type="cellIs" dxfId="404" priority="50" stopIfTrue="1" operator="equal">
      <formula>$B$96="crusher plant"</formula>
    </cfRule>
  </conditionalFormatting>
  <conditionalFormatting sqref="C105 B96:C96">
    <cfRule type="notContainsBlanks" dxfId="403" priority="54" stopIfTrue="1">
      <formula>LEN(TRIM(B96))&gt;0</formula>
    </cfRule>
  </conditionalFormatting>
  <conditionalFormatting sqref="F122:I123 D111:I111 D122:D123 D120:I121 D112:D119 G112:I119 B119:C123 B118 C116:C117 B111:C114">
    <cfRule type="cellIs" dxfId="402" priority="45" stopIfTrue="1" operator="equal">
      <formula>$B$111="crusher plant"</formula>
    </cfRule>
  </conditionalFormatting>
  <conditionalFormatting sqref="C120 B111:C111">
    <cfRule type="notContainsBlanks" dxfId="401" priority="49" stopIfTrue="1">
      <formula>LEN(TRIM(B111))&gt;0</formula>
    </cfRule>
  </conditionalFormatting>
  <conditionalFormatting sqref="F137:I137">
    <cfRule type="notContainsBlanks" dxfId="400" priority="43" stopIfTrue="1">
      <formula>LEN(TRIM(F137))&gt;0</formula>
    </cfRule>
  </conditionalFormatting>
  <conditionalFormatting sqref="F137:I138 D126:I126 D137:D138 D135:I136 D127:D134 G127:I134 B134:C138 B133 C131:C132 B126:C129">
    <cfRule type="cellIs" dxfId="399" priority="40" stopIfTrue="1" operator="equal">
      <formula>$B$126="crusher plant"</formula>
    </cfRule>
  </conditionalFormatting>
  <conditionalFormatting sqref="C135 B126:C126">
    <cfRule type="notContainsBlanks" dxfId="398" priority="44" stopIfTrue="1">
      <formula>LEN(TRIM(B126))&gt;0</formula>
    </cfRule>
  </conditionalFormatting>
  <conditionalFormatting sqref="F152:I152">
    <cfRule type="notContainsBlanks" dxfId="397" priority="38" stopIfTrue="1">
      <formula>LEN(TRIM(F152))&gt;0</formula>
    </cfRule>
  </conditionalFormatting>
  <conditionalFormatting sqref="F152:I153 D141:I141 D152:D153 D150:I151 D142:D149 G142:I149 B149:C153 B148 C146:C147 B141:C144">
    <cfRule type="cellIs" dxfId="396" priority="35" stopIfTrue="1" operator="equal">
      <formula>$B$141="crusher plant"</formula>
    </cfRule>
  </conditionalFormatting>
  <conditionalFormatting sqref="C150 B141:C141">
    <cfRule type="notContainsBlanks" dxfId="395" priority="39" stopIfTrue="1">
      <formula>LEN(TRIM(B141))&gt;0</formula>
    </cfRule>
  </conditionalFormatting>
  <conditionalFormatting sqref="F167:I167">
    <cfRule type="notContainsBlanks" dxfId="394" priority="33" stopIfTrue="1">
      <formula>LEN(TRIM(F167))&gt;0</formula>
    </cfRule>
  </conditionalFormatting>
  <conditionalFormatting sqref="F167:I168 D156:I156 D167:D168 D165:I166 D157:D164 G157:I164 B164:C167 B163 C161:C162 B156:C159">
    <cfRule type="cellIs" dxfId="393" priority="30" stopIfTrue="1" operator="equal">
      <formula>$B$156="crusher plant"</formula>
    </cfRule>
  </conditionalFormatting>
  <conditionalFormatting sqref="C165 B156:C156">
    <cfRule type="notContainsBlanks" dxfId="392" priority="34" stopIfTrue="1">
      <formula>LEN(TRIM(B156))&gt;0</formula>
    </cfRule>
  </conditionalFormatting>
  <conditionalFormatting sqref="E37:E44">
    <cfRule type="expression" dxfId="391" priority="28">
      <formula>$B$35="crusher plant"</formula>
    </cfRule>
  </conditionalFormatting>
  <conditionalFormatting sqref="E52:E59">
    <cfRule type="expression" dxfId="390" priority="27">
      <formula>$B$51="crusher plant"</formula>
    </cfRule>
  </conditionalFormatting>
  <conditionalFormatting sqref="E67:E74">
    <cfRule type="expression" dxfId="389" priority="26">
      <formula>$B$66="crusher plant"</formula>
    </cfRule>
  </conditionalFormatting>
  <conditionalFormatting sqref="E82:E89">
    <cfRule type="expression" dxfId="388" priority="25">
      <formula>$B$81="crusher plant"</formula>
    </cfRule>
  </conditionalFormatting>
  <conditionalFormatting sqref="E97:E104">
    <cfRule type="expression" dxfId="387" priority="24">
      <formula>$B$96="crusher plant"</formula>
    </cfRule>
  </conditionalFormatting>
  <conditionalFormatting sqref="E112:E119">
    <cfRule type="expression" dxfId="386" priority="23">
      <formula>$B$111="crusher plant"</formula>
    </cfRule>
  </conditionalFormatting>
  <conditionalFormatting sqref="E127:E134">
    <cfRule type="expression" dxfId="385" priority="22">
      <formula>$B$126="crusher plant"</formula>
    </cfRule>
  </conditionalFormatting>
  <conditionalFormatting sqref="E142:E149">
    <cfRule type="expression" dxfId="384" priority="21">
      <formula>$B$141="crusher plant"</formula>
    </cfRule>
  </conditionalFormatting>
  <conditionalFormatting sqref="E157:E164">
    <cfRule type="expression" dxfId="383" priority="20">
      <formula>$B$156="crusher plant"</formula>
    </cfRule>
  </conditionalFormatting>
  <conditionalFormatting sqref="F21:F28">
    <cfRule type="notContainsBlanks" dxfId="382" priority="19">
      <formula>LEN(TRIM(F21))&gt;0</formula>
    </cfRule>
  </conditionalFormatting>
  <conditionalFormatting sqref="F37:F44">
    <cfRule type="expression" dxfId="381" priority="18">
      <formula>$B$35="crusher plant"</formula>
    </cfRule>
  </conditionalFormatting>
  <conditionalFormatting sqref="F52:F59">
    <cfRule type="expression" dxfId="380" priority="17">
      <formula>$B$51="crusher plant"</formula>
    </cfRule>
  </conditionalFormatting>
  <conditionalFormatting sqref="F67:F74">
    <cfRule type="expression" dxfId="379" priority="16">
      <formula>$B$66="crusher plant"</formula>
    </cfRule>
  </conditionalFormatting>
  <conditionalFormatting sqref="F82:F89">
    <cfRule type="expression" dxfId="378" priority="15">
      <formula>$B$81="crusher plant"</formula>
    </cfRule>
  </conditionalFormatting>
  <conditionalFormatting sqref="F97:F104">
    <cfRule type="expression" dxfId="377" priority="14">
      <formula>$B$96="crusher plant"</formula>
    </cfRule>
  </conditionalFormatting>
  <conditionalFormatting sqref="F112:F119">
    <cfRule type="expression" dxfId="376" priority="13">
      <formula>$B$111="crusher plant"</formula>
    </cfRule>
  </conditionalFormatting>
  <conditionalFormatting sqref="F127:F134">
    <cfRule type="expression" dxfId="375" priority="12">
      <formula>$B$126="crusher plant"</formula>
    </cfRule>
  </conditionalFormatting>
  <conditionalFormatting sqref="F142:F149">
    <cfRule type="expression" dxfId="374" priority="11">
      <formula>$B$141="crusher plant"</formula>
    </cfRule>
  </conditionalFormatting>
  <conditionalFormatting sqref="F157:F164">
    <cfRule type="expression" dxfId="373" priority="10">
      <formula>$B$156="crusher plant"</formula>
    </cfRule>
  </conditionalFormatting>
  <conditionalFormatting sqref="B40:B42">
    <cfRule type="cellIs" dxfId="372" priority="9" stopIfTrue="1" operator="equal">
      <formula>$B$35="crusher plant"</formula>
    </cfRule>
  </conditionalFormatting>
  <conditionalFormatting sqref="B55:B57">
    <cfRule type="cellIs" dxfId="371" priority="8" stopIfTrue="1" operator="equal">
      <formula>$B$35="crusher plant"</formula>
    </cfRule>
  </conditionalFormatting>
  <conditionalFormatting sqref="B70:B72">
    <cfRule type="cellIs" dxfId="370" priority="7" stopIfTrue="1" operator="equal">
      <formula>$B$35="crusher plant"</formula>
    </cfRule>
  </conditionalFormatting>
  <conditionalFormatting sqref="B85:B87">
    <cfRule type="cellIs" dxfId="369" priority="6" stopIfTrue="1" operator="equal">
      <formula>$B$35="crusher plant"</formula>
    </cfRule>
  </conditionalFormatting>
  <conditionalFormatting sqref="B100:B102">
    <cfRule type="cellIs" dxfId="368" priority="5" stopIfTrue="1" operator="equal">
      <formula>$B$35="crusher plant"</formula>
    </cfRule>
  </conditionalFormatting>
  <conditionalFormatting sqref="B115:B117">
    <cfRule type="cellIs" dxfId="367" priority="4" stopIfTrue="1" operator="equal">
      <formula>$B$35="crusher plant"</formula>
    </cfRule>
  </conditionalFormatting>
  <conditionalFormatting sqref="B130:B132">
    <cfRule type="cellIs" dxfId="366" priority="3" stopIfTrue="1" operator="equal">
      <formula>$B$35="crusher plant"</formula>
    </cfRule>
  </conditionalFormatting>
  <conditionalFormatting sqref="B145:B147">
    <cfRule type="cellIs" dxfId="365" priority="2" stopIfTrue="1" operator="equal">
      <formula>$B$35="crusher plant"</formula>
    </cfRule>
  </conditionalFormatting>
  <conditionalFormatting sqref="B160:B162">
    <cfRule type="cellIs" dxfId="364" priority="1" stopIfTrue="1" operator="equal">
      <formula>$B$35="crusher plant"</formula>
    </cfRule>
  </conditionalFormatting>
  <dataValidations count="3">
    <dataValidation type="whole" allowBlank="1" showInputMessage="1" showErrorMessage="1" sqref="C18 E4 D5" xr:uid="{00000000-0002-0000-0500-000000000000}">
      <formula1>0</formula1>
      <formula2>100</formula2>
    </dataValidation>
    <dataValidation type="list" allowBlank="1" showInputMessage="1" showErrorMessage="1" sqref="G21:G28 G37:G44 G52:G59 G67:G74 G82:G89 G97:G104 G112:G119 G127:G134 G142:G149 G157:G164" xr:uid="{00000000-0002-0000-0500-000001000000}">
      <formula1>process</formula1>
    </dataValidation>
    <dataValidation type="list" allowBlank="1" showInputMessage="1" showErrorMessage="1" sqref="C25 C41 C56 C71 C86 C101 C116 C131 C146 C161" xr:uid="{00000000-0002-0000-0500-000002000000}">
      <formula1>CHECK</formula1>
    </dataValidation>
  </dataValidations>
  <pageMargins left="0.7" right="0.7" top="0.75" bottom="0.75" header="0.3" footer="0.3"/>
  <pageSetup scale="70" fitToHeight="0" orientation="landscape"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S168"/>
  <sheetViews>
    <sheetView topLeftCell="B1" workbookViewId="0">
      <selection activeCell="B1" sqref="B1"/>
    </sheetView>
  </sheetViews>
  <sheetFormatPr defaultColWidth="8.85546875" defaultRowHeight="14.25" customHeight="1" x14ac:dyDescent="0.2"/>
  <cols>
    <col min="1" max="1" width="26.710937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8.5703125" style="80" customWidth="1"/>
    <col min="10" max="10" width="11.42578125" style="81" hidden="1" customWidth="1"/>
    <col min="11" max="11" width="14" style="81" hidden="1" customWidth="1"/>
    <col min="12" max="12" width="7" style="80" customWidth="1"/>
    <col min="13" max="13" width="26.85546875" style="80" customWidth="1"/>
    <col min="14" max="14" width="17.7109375" style="80" customWidth="1"/>
    <col min="15" max="15" width="20.42578125" style="80" customWidth="1"/>
    <col min="16" max="16" width="20.42578125" style="80" hidden="1" customWidth="1"/>
    <col min="17" max="18" width="16.42578125" style="80" hidden="1" customWidth="1"/>
    <col min="19" max="19" width="20.42578125" style="80" customWidth="1"/>
    <col min="20" max="16384" width="8.85546875" style="80"/>
  </cols>
  <sheetData>
    <row r="1" spans="2:19" ht="14.25" customHeight="1" x14ac:dyDescent="0.2">
      <c r="B1" s="277" t="s">
        <v>150</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$35,MATCH("Screening",$G$36:$G$43,0)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SUM(G32,G47,G63,G78,G93,G108,G123,G138,G153,G168)</f>
        <v>0</v>
      </c>
      <c r="O14" s="110">
        <f>SUM(H32*I32,H47*I47,H63*I63,H78*I78,H93*I93,H108*I108,H123*I123,H138*I138,H153*I153,H168*I168)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213" t="str">
        <f>('Facility Information'!G5&amp;" Annual Throughput (tons)")</f>
        <v xml:space="preserve"> Annual Throughput (tons)</v>
      </c>
      <c r="J20" s="81" t="s">
        <v>132</v>
      </c>
      <c r="K20" s="81" t="s">
        <v>133</v>
      </c>
      <c r="M20" s="109" t="s">
        <v>38</v>
      </c>
      <c r="N20" s="136">
        <f t="shared" ref="N20:N27" ca="1" si="0">N5</f>
        <v>0</v>
      </c>
      <c r="O20" s="145">
        <f ca="1">IF(N20=0,0,IF(OR($C$25="no",$C$40="no",$C$56="no",$C$71="no",$C$86="no",$C$101="no",$C$116="no",$C$131="no",$C$146="no",$C$161="no"),'Emission Factors'!D8,'Emission Factors'!D20))</f>
        <v>0</v>
      </c>
      <c r="P20" s="136" t="str">
        <f t="shared" ref="P20:P27" si="1">IF(OR($C$25="no",$C$40="no",$C$56="no",$C$71="no",$C$86="no",$C$101="no",$C$116="no",$C$131="no",$C$146="no",$C$161="no"),N20*O20,"")</f>
        <v/>
      </c>
      <c r="Q20" s="136">
        <f t="shared" ref="Q20:Q27" ca="1" si="2">IF($F$10&gt;0,$F$10,IF(OR($C$25="no",$C$40="no",$C$56="no",$C$71="no",$C$86="no",$C$101="no",$C$116="no",$C$131="no",$C$146="no",$C$161="no"),"",N20*O20))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IF(G21="","","LP-6 EP-1")</f>
        <v/>
      </c>
      <c r="F21" s="165" t="str">
        <f>IF(G21="","",IF(G21="primary crusher","LP-6 EU-1",IF(G21="screening","LP-6 EU-2",IF(G21="secondary crusher","LP-6 EU-3",IF(G21="tertiary crusher","LP-6 EU-4",IF(G21="fines crushing","LP-6 EU-5",IF(G21="fines screening","LP-6 EU-6",IF(G21="wet drilling: unfragmented stone","LP-6 EU-7",IF(G21="conveyor transfer points","LP-6 EU-8")))))))))</f>
        <v/>
      </c>
      <c r="G21" s="98"/>
      <c r="H21" s="71"/>
      <c r="I21" s="184"/>
      <c r="J21" s="81">
        <f>IF($C25="no",I21,0)</f>
        <v>0</v>
      </c>
      <c r="K21" s="81">
        <f t="shared" ref="K21:K28" si="3">IF($C$25="yes",I21,0)</f>
        <v>0</v>
      </c>
      <c r="M21" s="109" t="s">
        <v>36</v>
      </c>
      <c r="N21" s="136">
        <f t="shared" ca="1" si="0"/>
        <v>0</v>
      </c>
      <c r="O21" s="145">
        <f ca="1">IF(N21=0,0,IF(OR($C$25="no",$C$40="no",$C$56="no",$C$71="no",$C$86="no",$C$101="no",$C$116="no",$C$131="no",$C$146="no",$C$161="no"),'Emission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IF(G22="","","LP-6 EP-1")</f>
        <v/>
      </c>
      <c r="F22" s="165" t="str">
        <f t="shared" ref="F22:F28" si="6">IF(G22="","",IF(G22="primary crusher","LP-6 EU-1",IF(G22="screening","LP-6 EU-2",IF(G22="secondary crusher","LP-6 EU-3",IF(G22="tertiary crusher","LP-6 EU-4",IF(G22="fines crushing","LP-6 EU-5",IF(G22="fines screening","LP-6 EU-6",IF(G22="wet drilling: unfragmented stone","LP-6 EU-7",IF(G22="conveyor transfer points","LP-6 EU-8")))))))))</f>
        <v/>
      </c>
      <c r="G22" s="98"/>
      <c r="H22" s="71"/>
      <c r="I22" s="184"/>
      <c r="J22" s="81">
        <f t="shared" ref="J22:J28" si="7">IF($C$25="no",I22,0)</f>
        <v>0</v>
      </c>
      <c r="K22" s="81">
        <f t="shared" si="3"/>
        <v>0</v>
      </c>
      <c r="M22" s="109" t="s">
        <v>37</v>
      </c>
      <c r="N22" s="136">
        <f t="shared" ca="1" si="0"/>
        <v>0</v>
      </c>
      <c r="O22" s="145">
        <f ca="1">IF(N22=0,0,IF(OR($C$25="no",$C$40="no",$C$56="no",$C$71="no",$C$86="no",$C$101="no",$C$116="no",$C$131="no",$C$146="no",$C$161="no"),'Emission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187"/>
      <c r="D23" s="55"/>
      <c r="E23" s="165" t="str">
        <f t="shared" si="5"/>
        <v/>
      </c>
      <c r="F23" s="165" t="str">
        <f t="shared" si="6"/>
        <v/>
      </c>
      <c r="G23" s="98"/>
      <c r="H23" s="71"/>
      <c r="I23" s="184"/>
      <c r="J23" s="81">
        <f t="shared" si="7"/>
        <v>0</v>
      </c>
      <c r="K23" s="81">
        <f t="shared" si="3"/>
        <v>0</v>
      </c>
      <c r="M23" s="109" t="s">
        <v>39</v>
      </c>
      <c r="N23" s="136">
        <f t="shared" ca="1" si="0"/>
        <v>0</v>
      </c>
      <c r="O23" s="145">
        <f ca="1">IF(N23=0,0,IF(OR(C25="no",C40="no",C56="no",C71="no",C86="no",C101="no",C116="no",C131="no",C146="no",C161="no"),'Emission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6">
        <f t="shared" ca="1" si="0"/>
        <v>0</v>
      </c>
      <c r="O24" s="145">
        <f ca="1">IF(N24=0,0,IF(OR(C25="no",C40="no",C56="no",C71="no",C86="no",C101="no",C116="no",C131="no",C146="no",C161="no"),'Emission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71"/>
      <c r="I25" s="184"/>
      <c r="J25" s="81">
        <f t="shared" si="7"/>
        <v>0</v>
      </c>
      <c r="K25" s="81">
        <f t="shared" si="3"/>
        <v>0</v>
      </c>
      <c r="M25" s="109" t="s">
        <v>41</v>
      </c>
      <c r="N25" s="136">
        <f t="shared" ca="1" si="0"/>
        <v>0</v>
      </c>
      <c r="O25" s="145">
        <f ca="1">IF(N25=0,0,IF(OR($C$25="no",$C$40="no",$C$56="no",$C$71="no",$C$86="no",$C$101="no",$C$116="no",$C$131="no",$C$146="no",$C$161="no"),'Emission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71"/>
      <c r="I26" s="184"/>
      <c r="J26" s="81">
        <f t="shared" si="7"/>
        <v>0</v>
      </c>
      <c r="K26" s="81">
        <f t="shared" si="3"/>
        <v>0</v>
      </c>
      <c r="M26" s="109" t="s">
        <v>42</v>
      </c>
      <c r="N26" s="136">
        <f t="shared" ca="1" si="0"/>
        <v>0</v>
      </c>
      <c r="O26" s="145">
        <f ca="1">IF(N26=0,0,IF(OR(C25="no",C40="no",C56="no",C71="no",C86="no",C101="no",C116="no",C131="no",C146="no",C161="no"),'Emission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D27" s="55"/>
      <c r="E27" s="165" t="str">
        <f t="shared" si="5"/>
        <v/>
      </c>
      <c r="F27" s="165" t="str">
        <f t="shared" si="6"/>
        <v/>
      </c>
      <c r="G27" s="98"/>
      <c r="H27" s="71"/>
      <c r="I27" s="184"/>
      <c r="J27" s="81">
        <f t="shared" si="7"/>
        <v>0</v>
      </c>
      <c r="K27" s="81">
        <f t="shared" si="3"/>
        <v>0</v>
      </c>
      <c r="M27" s="109" t="s">
        <v>43</v>
      </c>
      <c r="N27" s="136">
        <f t="shared" ca="1" si="0"/>
        <v>0</v>
      </c>
      <c r="O27" s="145">
        <f ca="1">IF(N27=0,0,IF(OR(C25="no",C40="no",C56="no",C71="no",C86="no",C101="no",C116="no",C131="no",C146="no",C161="no"),'Emission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C28" s="55"/>
      <c r="D28" s="55"/>
      <c r="E28" s="165" t="str">
        <f t="shared" si="5"/>
        <v/>
      </c>
      <c r="F28" s="165" t="str">
        <f t="shared" si="6"/>
        <v/>
      </c>
      <c r="G28" s="98"/>
      <c r="H28" s="71"/>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IF(N29=0,0,IF(OR($C$25="no",$C$40="no",$C$56="no",$C$71="no",$C$86="no",$C$101="no",$C$116="no",$C$131="no",$C$146="no",$C$161="no"),'Emission Factors'!F8,'Emission Factors'!F20))</f>
        <v>0</v>
      </c>
      <c r="P29" s="136" t="str">
        <f t="shared" ref="P29:P36" si="8">IF(OR($C$25="no",$C$40="no",$C$56="no",$C$71="no",$C$86="no",$C$101="no",$C$116="no",$C$131="no",$C$146="no",$C$161="no"),N29*O29,"")</f>
        <v/>
      </c>
      <c r="Q29" s="136">
        <f t="shared" ref="Q29:Q36" ca="1" si="9">IF($F$11&gt;0,$F$11,IF(OR($C$25="no",$C$40="no",$C$56="no",$C$71="no",$C$86="no",$C$101="no",$C$116="no",$C$131="no",$C$146="no",$C$161="no"),"",N29*O29))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5" ca="1" si="10">N6</f>
        <v>0</v>
      </c>
      <c r="O30" s="145">
        <f ca="1">IF(N30=0,0,IF(OR($C$25="no",$C$40="no",$C$56="no",$C$71="no",$C$86="no",$C$101="no",$C$116="no",$C$131="no",$C$146="no",$C$161="no"),'Emission Factors'!F9,'Emission Factors'!F21))</f>
        <v>0</v>
      </c>
      <c r="P30" s="140" t="str">
        <f t="shared" si="8"/>
        <v/>
      </c>
      <c r="Q30" s="136">
        <f t="shared" ca="1" si="9"/>
        <v>0</v>
      </c>
      <c r="R30" s="136">
        <f t="shared" ref="R30:R35"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7.75" customHeight="1" x14ac:dyDescent="0.25">
      <c r="A35" s="80">
        <f>C36</f>
        <v>0</v>
      </c>
      <c r="B35" s="92" t="str">
        <f>IF('Limestone Plant (LP-6)'!$E$4&gt;1,"CRUSHER PLANT","")</f>
        <v/>
      </c>
      <c r="C35" s="84" t="str">
        <f>IF('Limestone Plant (LP-6)'!$E$4&gt;1,"Site 2","")</f>
        <v/>
      </c>
      <c r="E35" s="213" t="str">
        <f>IF('Limestone Plant (LP-6)'!$E$4&gt;1,"Emission Point #","")</f>
        <v/>
      </c>
      <c r="F35" s="213" t="str">
        <f>IF('Limestone Plant (LP-6)'!$E$4&gt;1,"Emission   Unit #","")</f>
        <v/>
      </c>
      <c r="G35" s="213" t="str">
        <f>IF('Limestone Plant (LP-6)'!$E$4&gt;1,"Processes","")</f>
        <v/>
      </c>
      <c r="H35" s="220" t="str">
        <f>IF('Limestone Plant (LP-6)'!$E$4&gt;1,"Combined Maximum Hourly Design Rate for all Like Processes (tons/hr)","")</f>
        <v/>
      </c>
      <c r="I35" s="213" t="str">
        <f>IF('Limestone Plant (LP-6)'!$E$4&gt;1,('Facility Information'!G5&amp;" Annual Throughput (tons)"),"")</f>
        <v/>
      </c>
      <c r="M35" s="109" t="s">
        <v>42</v>
      </c>
      <c r="N35" s="136">
        <f t="shared" ca="1" si="10"/>
        <v>0</v>
      </c>
      <c r="O35" s="145">
        <f ca="1">IF(N35=0,0,IF(OR(C25="no",C40="no",C56="no",C71="no",C86="no",C101="no",C116="no",C131="no",C146="no",C161="no"),'Emission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C67</f>
        <v>0</v>
      </c>
      <c r="B36" s="94" t="str">
        <f>IF('Limestone Plant (LP-6)'!$E$4&gt;1,"Site Name:","")</f>
        <v/>
      </c>
      <c r="C36" s="76"/>
      <c r="D36" s="55"/>
      <c r="E36" s="166" t="str">
        <f>IF(G36="","","LP-6 EP-1")</f>
        <v/>
      </c>
      <c r="F36" s="166" t="str">
        <f>IF(G36="","",IF(G36="primary crusher","LP-6 EU-1",IF(G36="screening","LP-6 EU-2",IF(G36="secondary crusher","LP-6 EU-3",IF(G36="tertiary crusher","LP-6 EU-4",IF(G36="fines crushing","LP-6 EU-5",IF(G36="fines screening","LP-6 EU-6",IF(G36="wet drilling: unfragmented stone","LP-6 EU-7",IF(G36="conveyor transfer points","LP-6 EU-8")))))))))</f>
        <v/>
      </c>
      <c r="G36" s="98"/>
      <c r="H36" s="71"/>
      <c r="I36" s="184"/>
      <c r="J36" s="81">
        <f t="shared" ref="J36:J43" si="12">IF($C$40="no",I36,0)</f>
        <v>0</v>
      </c>
      <c r="K36" s="81">
        <f t="shared" ref="K36:K43" si="13">IF($C$40="yes",I36,0)</f>
        <v>0</v>
      </c>
      <c r="M36" s="109" t="s">
        <v>43</v>
      </c>
      <c r="N36" s="136">
        <f ca="1">N12</f>
        <v>0</v>
      </c>
      <c r="O36" s="145">
        <f ca="1">IF(N36=0,0,IF(OR(C25="no",C40="no",C56="no",C71="no",C86="no",C101="no",C116="no",C131="no",C146="no",C161="no"),'Emission Factors'!F5,'Emission Factors'!F17))</f>
        <v>0</v>
      </c>
      <c r="P36" s="136" t="str">
        <f t="shared" si="8"/>
        <v/>
      </c>
      <c r="Q36" s="136">
        <f t="shared" ca="1" si="9"/>
        <v>0</v>
      </c>
      <c r="R36" s="136">
        <f ca="1">IF($G$11&gt;0,"",IF($C$9&gt;0,$C$9*O36/2000,IF($C$10&gt;0,$C$10*365*O36/2000,IF($C$11&gt;0,$C$11*365*O36*N36/2000,IF(Q36="",P36*8760/2000,Q36*8760/2000)))))</f>
        <v>0</v>
      </c>
      <c r="S36" s="136">
        <f ca="1">(O12*'Emission Factors'!F5/2000)+('Emission Factors'!F17*S12/2000)</f>
        <v>0</v>
      </c>
    </row>
    <row r="37" spans="1:19" ht="14.25" customHeight="1" x14ac:dyDescent="0.2">
      <c r="A37" s="80">
        <f>C82</f>
        <v>0</v>
      </c>
      <c r="B37" s="94" t="str">
        <f>IF('Limestone Plant (LP-6)'!$E$4&gt;1,"County:","")</f>
        <v/>
      </c>
      <c r="C37" s="76"/>
      <c r="D37" s="55"/>
      <c r="E37" s="166" t="str">
        <f t="shared" ref="E37:E43" si="14">IF(G37="","","LP-6 EP-1")</f>
        <v/>
      </c>
      <c r="F37" s="166" t="str">
        <f t="shared" ref="F37:F43" si="15">IF(G37="","",IF(G37="primary crusher","LP-6 EU-1",IF(G37="screening","LP-6 EU-2",IF(G37="secondary crusher","LP-6 EU-3",IF(G37="tertiary crusher","LP-6 EU-4",IF(G37="fines crushing","LP-6 EU-5",IF(G37="fines screening","LP-6 EU-6",IF(G37="wet drilling: unfragmented stone","LP-6 EU-7",IF(G37="conveyor transfer points","LP-6 EU-8")))))))))</f>
        <v/>
      </c>
      <c r="G37" s="98"/>
      <c r="H37" s="71"/>
      <c r="I37" s="184"/>
      <c r="J37" s="81">
        <f t="shared" si="12"/>
        <v>0</v>
      </c>
      <c r="K37" s="81">
        <f t="shared" si="13"/>
        <v>0</v>
      </c>
      <c r="N37" s="216" t="s">
        <v>295</v>
      </c>
      <c r="O37" s="216" t="s">
        <v>13</v>
      </c>
      <c r="P37" s="345" t="s">
        <v>304</v>
      </c>
      <c r="Q37" s="216" t="s">
        <v>303</v>
      </c>
      <c r="R37" s="216" t="s">
        <v>289</v>
      </c>
      <c r="S37" s="216" t="s">
        <v>300</v>
      </c>
    </row>
    <row r="38" spans="1:19" ht="14.25" customHeight="1" x14ac:dyDescent="0.2">
      <c r="A38" s="80">
        <f>C97</f>
        <v>0</v>
      </c>
      <c r="B38" s="94" t="str">
        <f>IF('Limestone Plant (LP-6)'!$E$4&gt;1,"Crushing Period (Dates):","")</f>
        <v/>
      </c>
      <c r="C38" s="76"/>
      <c r="D38" s="55"/>
      <c r="E38" s="166" t="str">
        <f t="shared" si="14"/>
        <v/>
      </c>
      <c r="F38" s="166" t="str">
        <f t="shared" si="15"/>
        <v/>
      </c>
      <c r="G38" s="98"/>
      <c r="H38" s="71"/>
      <c r="I38" s="184"/>
      <c r="J38" s="81">
        <f t="shared" si="12"/>
        <v>0</v>
      </c>
      <c r="K38" s="81">
        <f t="shared" si="13"/>
        <v>0</v>
      </c>
      <c r="M38" s="81" t="s">
        <v>44</v>
      </c>
      <c r="N38" s="216" t="s">
        <v>296</v>
      </c>
      <c r="O38" s="221" t="s">
        <v>301</v>
      </c>
      <c r="P38" s="345" t="s">
        <v>249</v>
      </c>
      <c r="Q38" s="216" t="s">
        <v>249</v>
      </c>
      <c r="R38" s="216" t="s">
        <v>253</v>
      </c>
      <c r="S38" s="216" t="s">
        <v>253</v>
      </c>
    </row>
    <row r="39" spans="1:19" ht="14.25" customHeight="1" x14ac:dyDescent="0.2">
      <c r="A39" s="80">
        <f>C112</f>
        <v>0</v>
      </c>
      <c r="B39" s="281" t="str">
        <f>IF('Limestone Plant (LP-6)'!$E$4&gt;1,"Controlled with Dust Suppressant or","")</f>
        <v/>
      </c>
      <c r="D39" s="55"/>
      <c r="E39" s="166" t="str">
        <f t="shared" si="14"/>
        <v/>
      </c>
      <c r="F39" s="166" t="str">
        <f t="shared" si="15"/>
        <v/>
      </c>
      <c r="G39" s="98"/>
      <c r="H39" s="71"/>
      <c r="I39" s="184"/>
      <c r="J39" s="81">
        <f t="shared" si="12"/>
        <v>0</v>
      </c>
      <c r="K39" s="81">
        <f t="shared" si="13"/>
        <v>0</v>
      </c>
      <c r="M39" s="111" t="s">
        <v>143</v>
      </c>
      <c r="N39" s="110">
        <f>N14</f>
        <v>0</v>
      </c>
      <c r="O39" s="110">
        <v>3.64</v>
      </c>
      <c r="P39" s="110">
        <f>N39*O39*(1/24)</f>
        <v>0</v>
      </c>
      <c r="Q39" s="110"/>
      <c r="R39" s="110">
        <f>N39*O39*365/2000</f>
        <v>0</v>
      </c>
      <c r="S39" s="110">
        <f>O14*O39/2000</f>
        <v>0</v>
      </c>
    </row>
    <row r="40" spans="1:19" ht="14.25" customHeight="1" x14ac:dyDescent="0.2">
      <c r="A40" s="80">
        <f>C127</f>
        <v>0</v>
      </c>
      <c r="B40" s="282" t="str">
        <f>IF('Limestone Plant (LP-6)'!$E$4&gt;1,"Material Being Processed has","")</f>
        <v/>
      </c>
      <c r="C40" s="280"/>
      <c r="D40" s="55"/>
      <c r="E40" s="166" t="str">
        <f t="shared" si="14"/>
        <v/>
      </c>
      <c r="F40" s="166" t="str">
        <f t="shared" si="15"/>
        <v/>
      </c>
      <c r="G40" s="98"/>
      <c r="H40" s="71"/>
      <c r="I40" s="184"/>
      <c r="J40" s="81">
        <f t="shared" si="12"/>
        <v>0</v>
      </c>
      <c r="K40" s="81">
        <f t="shared" si="13"/>
        <v>0</v>
      </c>
    </row>
    <row r="41" spans="1:19" ht="14.25" customHeight="1" x14ac:dyDescent="0.2">
      <c r="A41" s="80">
        <f>C142</f>
        <v>0</v>
      </c>
      <c r="B41" s="284" t="str">
        <f>IF('Limestone Plant (LP-6)'!$E$4&gt;1,"Moisture Content &gt; 1.5%?","")</f>
        <v/>
      </c>
      <c r="C41" s="55"/>
      <c r="D41" s="55"/>
      <c r="E41" s="166" t="str">
        <f t="shared" si="14"/>
        <v/>
      </c>
      <c r="F41" s="166" t="str">
        <f t="shared" si="15"/>
        <v/>
      </c>
      <c r="G41" s="98"/>
      <c r="H41" s="71"/>
      <c r="I41" s="184"/>
      <c r="J41" s="81">
        <f t="shared" si="12"/>
        <v>0</v>
      </c>
      <c r="K41" s="81">
        <f t="shared" si="13"/>
        <v>0</v>
      </c>
      <c r="N41" s="81"/>
      <c r="O41" s="81"/>
      <c r="P41" s="81"/>
    </row>
    <row r="42" spans="1:19" ht="14.25" customHeight="1" x14ac:dyDescent="0.2">
      <c r="A42" s="80">
        <f>C157</f>
        <v>0</v>
      </c>
      <c r="B42" s="55"/>
      <c r="D42" s="55"/>
      <c r="E42" s="166" t="str">
        <f t="shared" si="14"/>
        <v/>
      </c>
      <c r="F42" s="166" t="str">
        <f t="shared" si="15"/>
        <v/>
      </c>
      <c r="G42" s="98"/>
      <c r="H42" s="71"/>
      <c r="I42" s="184"/>
      <c r="J42" s="81">
        <f t="shared" si="12"/>
        <v>0</v>
      </c>
      <c r="K42" s="81">
        <f t="shared" si="13"/>
        <v>0</v>
      </c>
      <c r="N42" s="81"/>
      <c r="O42" s="81"/>
      <c r="P42" s="81"/>
    </row>
    <row r="43" spans="1:19" ht="14.25" customHeight="1" x14ac:dyDescent="0.2">
      <c r="B43" s="55"/>
      <c r="C43" s="55"/>
      <c r="D43" s="55"/>
      <c r="E43" s="166" t="str">
        <f t="shared" si="14"/>
        <v/>
      </c>
      <c r="F43" s="166" t="str">
        <f t="shared" si="15"/>
        <v/>
      </c>
      <c r="G43" s="98"/>
      <c r="H43" s="71"/>
      <c r="I43" s="184"/>
      <c r="J43" s="81">
        <f t="shared" si="12"/>
        <v>0</v>
      </c>
      <c r="K43" s="81">
        <f t="shared" si="13"/>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(LP-6)'!$E$4&gt;1,"Stock Pile Area","")</f>
        <v/>
      </c>
      <c r="F45" s="88"/>
      <c r="G45" s="89"/>
      <c r="N45" s="81"/>
      <c r="O45" s="81"/>
      <c r="P45" s="81"/>
    </row>
    <row r="46" spans="1:19" ht="14.25" customHeight="1" x14ac:dyDescent="0.2">
      <c r="B46" s="55"/>
      <c r="D46" s="90"/>
      <c r="F46" s="60" t="str">
        <f>IF('Limestone Plant (LP-6)'!$E$4&gt;1,"Emission Unit #","")</f>
        <v/>
      </c>
      <c r="G46" s="95" t="str">
        <f>IF('Limestone Plant (LP-6)'!$E$4&gt;1,"Maximum Storage Area (acres)","")</f>
        <v/>
      </c>
      <c r="H46" s="96" t="str">
        <f>IF('Limestone Plant (LP-6)'!$E$4&gt;1,"Actual Storage Area (acres)","")</f>
        <v/>
      </c>
      <c r="I46" s="95" t="str">
        <f>IF('Limestone Plant (LP-6)'!$E$4&gt;1,"Actual Days in Existence (days)","")</f>
        <v/>
      </c>
      <c r="J46" s="97"/>
      <c r="K46" s="97"/>
      <c r="L46" s="90"/>
      <c r="N46" s="81"/>
      <c r="O46" s="81"/>
      <c r="P46" s="81"/>
    </row>
    <row r="47" spans="1:19" ht="14.25" customHeight="1" x14ac:dyDescent="0.2">
      <c r="B47" s="55"/>
      <c r="F47" s="77"/>
      <c r="G47" s="126"/>
      <c r="H47" s="78"/>
      <c r="I47" s="126"/>
      <c r="N47" s="81"/>
      <c r="O47" s="81"/>
      <c r="P47" s="81"/>
    </row>
    <row r="48" spans="1:19" ht="14.25" customHeight="1" x14ac:dyDescent="0.2">
      <c r="B48" s="84"/>
      <c r="C48" s="125"/>
      <c r="D48" s="374"/>
      <c r="E48" s="374"/>
      <c r="F48" s="163"/>
      <c r="G48" s="125"/>
      <c r="H48" s="125"/>
      <c r="N48" s="81"/>
      <c r="O48" s="81"/>
      <c r="P48" s="81"/>
    </row>
    <row r="49" spans="2:16" ht="14.25" customHeight="1" x14ac:dyDescent="0.2">
      <c r="B49" s="84"/>
      <c r="C49" s="218"/>
      <c r="D49" s="374"/>
      <c r="E49" s="374"/>
      <c r="F49" s="218"/>
      <c r="G49" s="218"/>
      <c r="H49" s="218"/>
      <c r="N49" s="81"/>
      <c r="O49" s="81"/>
      <c r="P49" s="81"/>
    </row>
    <row r="50" spans="2:16" ht="14.25" customHeight="1" x14ac:dyDescent="0.2">
      <c r="B50" s="84"/>
      <c r="C50" s="84"/>
      <c r="D50" s="84"/>
      <c r="E50" s="84"/>
      <c r="F50" s="84"/>
      <c r="G50" s="84"/>
      <c r="H50" s="84"/>
      <c r="N50" s="81"/>
      <c r="O50" s="81"/>
      <c r="P50" s="81"/>
    </row>
    <row r="51" spans="2:16" ht="27.75" customHeight="1" x14ac:dyDescent="0.25">
      <c r="B51" s="92" t="str">
        <f>IF('Limestone Plant (LP-6)'!$E$4&gt;2,"CRUSHER PLANT","")</f>
        <v/>
      </c>
      <c r="C51" s="84" t="str">
        <f>IF('Limestone Plant (LP-6)'!$E$4&gt;2,"Site 3","")</f>
        <v/>
      </c>
      <c r="E51" s="213" t="str">
        <f>IF('Limestone Plant (LP-6)'!$E$4&gt;2,"Emission Point #","")</f>
        <v/>
      </c>
      <c r="F51" s="213" t="str">
        <f>IF('Limestone Plant (LP-6)'!$E$4&gt;2,"Emission    Unit #","")</f>
        <v/>
      </c>
      <c r="G51" s="213" t="str">
        <f>IF('Limestone Plant (LP-6)'!$E$4&gt;2,"Processes","")</f>
        <v/>
      </c>
      <c r="H51" s="220" t="str">
        <f>IF('Limestone Plant (LP-6)'!$E$4&gt;2,"Combined Maximum Hourly Design Rate for all Like Processes (tons/hr)","")</f>
        <v/>
      </c>
      <c r="I51" s="213" t="str">
        <f>IF('Limestone Plant (LP-6)'!$E$4&gt;2,('Facility Information'!G5&amp;" Annual Throughput (tons)"),"")</f>
        <v/>
      </c>
      <c r="N51" s="81"/>
      <c r="O51" s="81"/>
      <c r="P51" s="81"/>
    </row>
    <row r="52" spans="2:16" ht="14.25" customHeight="1" x14ac:dyDescent="0.2">
      <c r="B52" s="94" t="str">
        <f>IF('Limestone Plant (LP-6)'!$E$4&gt;2,"Site Name:","")</f>
        <v/>
      </c>
      <c r="C52" s="76"/>
      <c r="D52" s="55"/>
      <c r="E52" s="166" t="str">
        <f>IF(G52="","","LP-6 EP-1")</f>
        <v/>
      </c>
      <c r="F52" s="166" t="str">
        <f>IF(G52="","",IF(G52="primary crusher","LP-6 EU-1",IF(G52="screening","LP-6 EU-2",IF(G52="secondary crusher","LP-6 EU-3",IF(G52="tertiary crusher","LP-6 EU-4",IF(G52="fines crushing","LP-6 EU-5",IF(G52="fines screening","LP-6 EU-6",IF(G52="wet drilling: unfragmented stone","LP-6 EU-7",IF(G52="conveyor transfer points","LP-6 EU-8")))))))))</f>
        <v/>
      </c>
      <c r="G52" s="98"/>
      <c r="H52" s="71"/>
      <c r="I52" s="184"/>
      <c r="J52" s="81">
        <f t="shared" ref="J52:J59" si="16">IF($C$56="no",I52,0)</f>
        <v>0</v>
      </c>
      <c r="K52" s="81">
        <f t="shared" ref="K52:K59" si="17">IF($C$56="yes",I52,0)</f>
        <v>0</v>
      </c>
    </row>
    <row r="53" spans="2:16" ht="14.25" customHeight="1" x14ac:dyDescent="0.2">
      <c r="B53" s="94" t="str">
        <f>IF('Limestone Plant (LP-6)'!$E$4&gt;2,"County:","")</f>
        <v/>
      </c>
      <c r="C53" s="76"/>
      <c r="D53" s="55"/>
      <c r="E53" s="166" t="str">
        <f t="shared" ref="E53:E59" si="18">IF(G53="","","LP-6 EP-1")</f>
        <v/>
      </c>
      <c r="F53" s="166" t="str">
        <f t="shared" ref="F53:F59" si="19">IF(G53="","",IF(G53="primary crusher","LP-6 EU-1",IF(G53="screening","LP-6 EU-2",IF(G53="secondary crusher","LP-6 EU-3",IF(G53="tertiary crusher","LP-6 EU-4",IF(G53="fines crushing","LP-6 EU-5",IF(G53="fines screening","LP-6 EU-6",IF(G53="wet drilling: unfragmented stone","LP-6 EU-7",IF(G53="conveyor transfer points","LP-6 EU-8")))))))))</f>
        <v/>
      </c>
      <c r="G53" s="98"/>
      <c r="H53" s="71"/>
      <c r="I53" s="184"/>
      <c r="J53" s="81">
        <f t="shared" si="16"/>
        <v>0</v>
      </c>
      <c r="K53" s="81">
        <f t="shared" si="17"/>
        <v>0</v>
      </c>
    </row>
    <row r="54" spans="2:16" ht="14.25" customHeight="1" x14ac:dyDescent="0.2">
      <c r="B54" s="94" t="str">
        <f>IF('Limestone Plant (LP-6)'!$E$4&gt;2,"Crushing Period (Dates):","")</f>
        <v/>
      </c>
      <c r="C54" s="76"/>
      <c r="D54" s="55"/>
      <c r="E54" s="166" t="str">
        <f t="shared" si="18"/>
        <v/>
      </c>
      <c r="F54" s="166" t="str">
        <f t="shared" si="19"/>
        <v/>
      </c>
      <c r="G54" s="98"/>
      <c r="H54" s="71"/>
      <c r="I54" s="184"/>
      <c r="J54" s="81">
        <f t="shared" si="16"/>
        <v>0</v>
      </c>
      <c r="K54" s="81">
        <f t="shared" si="17"/>
        <v>0</v>
      </c>
    </row>
    <row r="55" spans="2:16" ht="14.25" customHeight="1" x14ac:dyDescent="0.2">
      <c r="B55" s="281" t="str">
        <f>IF('Limestone Plant (LP-6)'!$E$4&gt;2,"Controlled with Dust Suppressant or","")</f>
        <v/>
      </c>
      <c r="D55" s="55"/>
      <c r="E55" s="166" t="str">
        <f t="shared" si="18"/>
        <v/>
      </c>
      <c r="F55" s="166" t="str">
        <f t="shared" si="19"/>
        <v/>
      </c>
      <c r="G55" s="98"/>
      <c r="H55" s="71"/>
      <c r="I55" s="184"/>
      <c r="J55" s="81">
        <f t="shared" si="16"/>
        <v>0</v>
      </c>
      <c r="K55" s="81">
        <f t="shared" si="17"/>
        <v>0</v>
      </c>
    </row>
    <row r="56" spans="2:16" ht="14.25" customHeight="1" x14ac:dyDescent="0.2">
      <c r="B56" s="282" t="str">
        <f>IF('Limestone Plant (LP-6)'!$E$4&gt;2,"Material Being Processed has","")</f>
        <v/>
      </c>
      <c r="C56" s="280"/>
      <c r="D56" s="55"/>
      <c r="E56" s="166" t="str">
        <f t="shared" si="18"/>
        <v/>
      </c>
      <c r="F56" s="166" t="str">
        <f t="shared" si="19"/>
        <v/>
      </c>
      <c r="G56" s="98"/>
      <c r="H56" s="71"/>
      <c r="I56" s="184"/>
      <c r="J56" s="81">
        <f t="shared" si="16"/>
        <v>0</v>
      </c>
      <c r="K56" s="81">
        <f t="shared" si="17"/>
        <v>0</v>
      </c>
    </row>
    <row r="57" spans="2:16" ht="14.25" customHeight="1" x14ac:dyDescent="0.2">
      <c r="B57" s="284" t="str">
        <f>IF('Limestone Plant (LP-6)'!$E$4&gt;2,"Moisture Content &gt; 1.5%?","")</f>
        <v/>
      </c>
      <c r="C57" s="55"/>
      <c r="D57" s="55"/>
      <c r="E57" s="166" t="str">
        <f t="shared" si="18"/>
        <v/>
      </c>
      <c r="F57" s="166" t="str">
        <f t="shared" si="19"/>
        <v/>
      </c>
      <c r="G57" s="98"/>
      <c r="H57" s="71"/>
      <c r="I57" s="184"/>
      <c r="J57" s="81">
        <f t="shared" si="16"/>
        <v>0</v>
      </c>
      <c r="K57" s="81">
        <f t="shared" si="17"/>
        <v>0</v>
      </c>
    </row>
    <row r="58" spans="2:16" ht="14.25" customHeight="1" x14ac:dyDescent="0.2">
      <c r="B58" s="55"/>
      <c r="D58" s="55"/>
      <c r="E58" s="166" t="str">
        <f t="shared" si="18"/>
        <v/>
      </c>
      <c r="F58" s="166" t="str">
        <f t="shared" si="19"/>
        <v/>
      </c>
      <c r="G58" s="98"/>
      <c r="H58" s="71"/>
      <c r="I58" s="184"/>
      <c r="J58" s="81">
        <f t="shared" si="16"/>
        <v>0</v>
      </c>
      <c r="K58" s="81">
        <f t="shared" si="17"/>
        <v>0</v>
      </c>
    </row>
    <row r="59" spans="2:16" ht="14.25" customHeight="1" x14ac:dyDescent="0.2">
      <c r="B59" s="55"/>
      <c r="C59" s="55"/>
      <c r="D59" s="55"/>
      <c r="E59" s="166" t="str">
        <f t="shared" si="18"/>
        <v/>
      </c>
      <c r="F59" s="166" t="str">
        <f t="shared" si="19"/>
        <v/>
      </c>
      <c r="G59" s="98"/>
      <c r="H59" s="71"/>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(LP-6)'!$E$4&gt;2,"Stock Pile Area","")</f>
        <v/>
      </c>
      <c r="F61" s="88"/>
      <c r="G61" s="89"/>
    </row>
    <row r="62" spans="2:16" ht="14.25" customHeight="1" x14ac:dyDescent="0.2">
      <c r="B62" s="55"/>
      <c r="D62" s="90"/>
      <c r="F62" s="60" t="str">
        <f>IF('Limestone Plant (LP-6)'!$E$4&gt;2,"Emission Unit #","")</f>
        <v/>
      </c>
      <c r="G62" s="95" t="str">
        <f>IF('Limestone Plant (LP-6)'!$E$4&gt;2,"Maximum Storage Area (acres)","")</f>
        <v/>
      </c>
      <c r="H62" s="96" t="str">
        <f>IF('Limestone Plant (LP-6)'!$E$4&gt;2,"Actual Storage Area (acres)","")</f>
        <v/>
      </c>
      <c r="I62" s="95" t="str">
        <f>IF('Limestone Plant (LP-6)'!$E$4&gt;2,"Actual Days in Existence (days)","")</f>
        <v/>
      </c>
    </row>
    <row r="63" spans="2:16" ht="14.25" customHeight="1" x14ac:dyDescent="0.2">
      <c r="B63" s="55"/>
      <c r="F63" s="77"/>
      <c r="G63" s="126"/>
      <c r="H63" s="78"/>
      <c r="I63" s="126"/>
    </row>
    <row r="64" spans="2:16" ht="24.75" customHeight="1" x14ac:dyDescent="0.2"/>
    <row r="66" spans="2:11" ht="28.5" customHeight="1" x14ac:dyDescent="0.25">
      <c r="B66" s="92" t="str">
        <f>IF('Limestone Plant (LP-6)'!$E$4&gt;3,"CRUSHER PLANT","")</f>
        <v/>
      </c>
      <c r="C66" s="84" t="str">
        <f>IF('Limestone Plant (LP-6)'!$E$4&gt;3,"Site 4","")</f>
        <v/>
      </c>
      <c r="E66" s="213" t="str">
        <f>IF('Limestone Plant (LP-6)'!$E$4&gt;3,"Emission Point #","")</f>
        <v/>
      </c>
      <c r="F66" s="213" t="str">
        <f>IF('Limestone Plant (LP-6)'!$E$4&gt;3,"Emission    Unit #","")</f>
        <v/>
      </c>
      <c r="G66" s="213" t="str">
        <f>IF('Limestone Plant (LP-6)'!$E$4&gt;3,"Processes","")</f>
        <v/>
      </c>
      <c r="H66" s="220" t="str">
        <f>IF('Limestone Plant (LP-6)'!$E$4&gt;3,"Combined Maximum Hourly Design Rate for all Like Processes (tons/hr)","")</f>
        <v/>
      </c>
      <c r="I66" s="213" t="str">
        <f>IF('Limestone Plant (LP-6)'!$E$4&gt;3,('Facility Information'!G5&amp;" Annual Throughput (tons)"),"")</f>
        <v/>
      </c>
    </row>
    <row r="67" spans="2:11" ht="14.25" customHeight="1" x14ac:dyDescent="0.2">
      <c r="B67" s="94" t="str">
        <f>IF('Limestone Plant (LP-6)'!$E$4&gt;3,"Site Name:","")</f>
        <v/>
      </c>
      <c r="C67" s="76"/>
      <c r="D67" s="55"/>
      <c r="E67" s="166" t="str">
        <f>IF(G67="","","LP-6 EP-1")</f>
        <v/>
      </c>
      <c r="F67" s="166" t="str">
        <f>IF(G67="","",IF(G67="primary crusher","LP-6 EU-1",IF(G67="screening","LP-6 EU-2",IF(G67="secondary crusher","LP-6 EU-3",IF(G67="tertiary crusher","LP-6 EU-4",IF(G67="fines crushing","LP-6 EU-5",IF(G67="fines screening","LP-6 EU-6",IF(G67="wet drilling: unfragmented stone","LP-6 EU-7",IF(G67="conveyor transfer points","LP-6 EU-8")))))))))</f>
        <v/>
      </c>
      <c r="G67" s="98"/>
      <c r="H67" s="71"/>
      <c r="I67" s="184"/>
      <c r="J67" s="81">
        <f t="shared" ref="J67:J74" si="20">IF($C$71="no",I67,0)</f>
        <v>0</v>
      </c>
      <c r="K67" s="81">
        <f t="shared" ref="K67:K74" si="21">IF($C$71="yes",I67,0)</f>
        <v>0</v>
      </c>
    </row>
    <row r="68" spans="2:11" ht="14.25" customHeight="1" x14ac:dyDescent="0.2">
      <c r="B68" s="94" t="str">
        <f>IF('Limestone Plant (LP-6)'!$E$4&gt;3,"County:","")</f>
        <v/>
      </c>
      <c r="C68" s="76"/>
      <c r="D68" s="55"/>
      <c r="E68" s="166" t="str">
        <f t="shared" ref="E68:E74" si="22">IF(G68="","","LP-6 EP-1")</f>
        <v/>
      </c>
      <c r="F68" s="166" t="str">
        <f t="shared" ref="F68:F74" si="23">IF(G68="","",IF(G68="primary crusher","LP-6 EU-1",IF(G68="screening","LP-6 EU-2",IF(G68="secondary crusher","LP-6 EU-3",IF(G68="tertiary crusher","LP-6 EU-4",IF(G68="fines crushing","LP-6 EU-5",IF(G68="fines screening","LP-6 EU-6",IF(G68="wet drilling: unfragmented stone","LP-6 EU-7",IF(G68="conveyor transfer points","LP-6 EU-8")))))))))</f>
        <v/>
      </c>
      <c r="G68" s="98"/>
      <c r="H68" s="71"/>
      <c r="I68" s="184"/>
      <c r="J68" s="81">
        <f t="shared" si="20"/>
        <v>0</v>
      </c>
      <c r="K68" s="81">
        <f t="shared" si="21"/>
        <v>0</v>
      </c>
    </row>
    <row r="69" spans="2:11" ht="14.25" customHeight="1" x14ac:dyDescent="0.2">
      <c r="B69" s="94" t="str">
        <f>IF('Limestone Plant (LP-6)'!$E$4&gt;3,"Crushing Period (Dates):","")</f>
        <v/>
      </c>
      <c r="C69" s="76"/>
      <c r="D69" s="55"/>
      <c r="E69" s="166" t="str">
        <f t="shared" si="22"/>
        <v/>
      </c>
      <c r="F69" s="166" t="str">
        <f t="shared" si="23"/>
        <v/>
      </c>
      <c r="G69" s="98"/>
      <c r="H69" s="71"/>
      <c r="I69" s="184"/>
      <c r="J69" s="81">
        <f t="shared" si="20"/>
        <v>0</v>
      </c>
      <c r="K69" s="81">
        <f t="shared" si="21"/>
        <v>0</v>
      </c>
    </row>
    <row r="70" spans="2:11" ht="14.25" customHeight="1" x14ac:dyDescent="0.2">
      <c r="B70" s="281" t="str">
        <f>IF('Limestone Plant (LP-6)'!$E$4&gt;3,"Controlled with Dust Suppressant or","")</f>
        <v/>
      </c>
      <c r="D70" s="55"/>
      <c r="E70" s="166" t="str">
        <f t="shared" si="22"/>
        <v/>
      </c>
      <c r="F70" s="166" t="str">
        <f t="shared" si="23"/>
        <v/>
      </c>
      <c r="G70" s="98"/>
      <c r="H70" s="71"/>
      <c r="I70" s="184"/>
      <c r="J70" s="81">
        <f t="shared" si="20"/>
        <v>0</v>
      </c>
      <c r="K70" s="81">
        <f t="shared" si="21"/>
        <v>0</v>
      </c>
    </row>
    <row r="71" spans="2:11" ht="14.25" customHeight="1" x14ac:dyDescent="0.2">
      <c r="B71" s="282" t="str">
        <f>IF('Limestone Plant (LP-6)'!$E$4&gt;3,"Material Being Processed has","")</f>
        <v/>
      </c>
      <c r="C71" s="280"/>
      <c r="D71" s="55"/>
      <c r="E71" s="166" t="str">
        <f t="shared" si="22"/>
        <v/>
      </c>
      <c r="F71" s="166" t="str">
        <f t="shared" si="23"/>
        <v/>
      </c>
      <c r="G71" s="98"/>
      <c r="H71" s="71"/>
      <c r="I71" s="184"/>
      <c r="J71" s="81">
        <f t="shared" si="20"/>
        <v>0</v>
      </c>
      <c r="K71" s="81">
        <f t="shared" si="21"/>
        <v>0</v>
      </c>
    </row>
    <row r="72" spans="2:11" ht="14.25" customHeight="1" x14ac:dyDescent="0.2">
      <c r="B72" s="284" t="str">
        <f>IF('Limestone Plant (LP-6)'!$E$4&gt;3,"Moisture Content &gt; 1.5%?","")</f>
        <v/>
      </c>
      <c r="C72" s="55"/>
      <c r="D72" s="55"/>
      <c r="E72" s="166" t="str">
        <f t="shared" si="22"/>
        <v/>
      </c>
      <c r="F72" s="166" t="str">
        <f t="shared" si="23"/>
        <v/>
      </c>
      <c r="G72" s="98"/>
      <c r="H72" s="71"/>
      <c r="I72" s="184"/>
      <c r="J72" s="81">
        <f t="shared" si="20"/>
        <v>0</v>
      </c>
      <c r="K72" s="81">
        <f t="shared" si="21"/>
        <v>0</v>
      </c>
    </row>
    <row r="73" spans="2:11" ht="14.25" customHeight="1" x14ac:dyDescent="0.2">
      <c r="B73" s="55"/>
      <c r="D73" s="55"/>
      <c r="E73" s="166" t="str">
        <f t="shared" si="22"/>
        <v/>
      </c>
      <c r="F73" s="166" t="str">
        <f t="shared" si="23"/>
        <v/>
      </c>
      <c r="G73" s="98"/>
      <c r="H73" s="71"/>
      <c r="I73" s="184"/>
      <c r="J73" s="81">
        <f t="shared" si="20"/>
        <v>0</v>
      </c>
      <c r="K73" s="81">
        <f t="shared" si="21"/>
        <v>0</v>
      </c>
    </row>
    <row r="74" spans="2:11" ht="14.25" customHeight="1" x14ac:dyDescent="0.2">
      <c r="B74" s="55"/>
      <c r="C74" s="55"/>
      <c r="D74" s="55"/>
      <c r="E74" s="166" t="str">
        <f t="shared" si="22"/>
        <v/>
      </c>
      <c r="F74" s="166" t="str">
        <f t="shared" si="23"/>
        <v/>
      </c>
      <c r="G74" s="98"/>
      <c r="H74" s="71"/>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(LP-6)'!$E$4&gt;3,"Stock Pile Area","")</f>
        <v/>
      </c>
      <c r="F76" s="88"/>
      <c r="G76" s="89"/>
    </row>
    <row r="77" spans="2:11" ht="14.25" customHeight="1" x14ac:dyDescent="0.2">
      <c r="B77" s="55"/>
      <c r="D77" s="90"/>
      <c r="F77" s="60" t="str">
        <f>IF('Limestone Plant (LP-6)'!$E$4&gt;3,"Emission Unit #","")</f>
        <v/>
      </c>
      <c r="G77" s="95" t="str">
        <f>IF('Limestone Plant (LP-6)'!$E$4&gt;3,"Maximum Storage Area (acres)","")</f>
        <v/>
      </c>
      <c r="H77" s="96" t="str">
        <f>IF('Limestone Plant (LP-6)'!$E$4&gt;3,"Actual Storage Area (acres)","")</f>
        <v/>
      </c>
      <c r="I77" s="95" t="str">
        <f>IF('Limestone Plant (LP-6)'!$E$4&gt;3,"Actual Days in Existence (days)","")</f>
        <v/>
      </c>
    </row>
    <row r="78" spans="2:11" ht="14.25" customHeight="1" x14ac:dyDescent="0.2">
      <c r="B78" s="55"/>
      <c r="F78" s="77"/>
      <c r="G78" s="126"/>
      <c r="H78" s="78"/>
      <c r="I78" s="126"/>
    </row>
    <row r="79" spans="2:11" ht="25.5" customHeight="1" x14ac:dyDescent="0.2"/>
    <row r="81" spans="2:11" ht="28.5" customHeight="1" x14ac:dyDescent="0.25">
      <c r="B81" s="92" t="str">
        <f>IF('Limestone Plant (LP-6)'!$E$4&gt;4,"CRUSHER PLANT","")</f>
        <v/>
      </c>
      <c r="C81" s="84" t="str">
        <f>IF('Limestone Plant (LP-6)'!$E$4&gt;4,"Site 5","")</f>
        <v/>
      </c>
      <c r="E81" s="213" t="str">
        <f>IF('Limestone Plant (LP-6)'!$E$4&gt;4,"Emission Point #","")</f>
        <v/>
      </c>
      <c r="F81" s="213" t="str">
        <f>IF('Limestone Plant (LP-6)'!$E$4&gt;4,"Emission    Unit #","")</f>
        <v/>
      </c>
      <c r="G81" s="213" t="str">
        <f>IF('Limestone Plant (LP-6)'!$E$4&gt;4,"Processes","")</f>
        <v/>
      </c>
      <c r="H81" s="220" t="str">
        <f>IF('Limestone Plant (LP-6)'!$E$4&gt;4,"Combined Maximum Hourly Design Rate for all Like Processes (tons/hr)","")</f>
        <v/>
      </c>
      <c r="I81" s="213" t="str">
        <f>IF('Limestone Plant (LP-6)'!$E$4&gt;4,('Facility Information'!G5&amp;" Annual Throughput (tons)"),"")</f>
        <v/>
      </c>
    </row>
    <row r="82" spans="2:11" ht="14.25" customHeight="1" x14ac:dyDescent="0.2">
      <c r="B82" s="94" t="str">
        <f>IF('Limestone Plant (LP-6)'!$E$4&gt;4,"Site Name:","")</f>
        <v/>
      </c>
      <c r="C82" s="76"/>
      <c r="D82" s="55"/>
      <c r="E82" s="166" t="str">
        <f>IF(G82="","","LP-6 EP-1")</f>
        <v/>
      </c>
      <c r="F82" s="166" t="str">
        <f>IF(G82="","",IF(G82="primary crusher","LP-6 EU-1",IF(G82="screening","LP-6 EU-2",IF(G82="secondary crusher","LP-6 EU-3",IF(G82="tertiary crusher","LP-6 EU-4",IF(G82="fines crushing","LP-6 EU-5",IF(G82="fines screening","LP-6 EU-6",IF(G82="wet drilling: unfragmented stone","LP-6 EU-7",IF(G82="conveyor transfer points","LP-6 EU-8")))))))))</f>
        <v/>
      </c>
      <c r="G82" s="98"/>
      <c r="H82" s="71"/>
      <c r="I82" s="184"/>
      <c r="J82" s="81">
        <f t="shared" ref="J82:J89" si="24">IF($C$86="no",I82,0)</f>
        <v>0</v>
      </c>
      <c r="K82" s="81">
        <f t="shared" ref="K82:K89" si="25">IF($C$86="yes",I82,0)</f>
        <v>0</v>
      </c>
    </row>
    <row r="83" spans="2:11" ht="14.25" customHeight="1" x14ac:dyDescent="0.2">
      <c r="B83" s="94" t="str">
        <f>IF('Limestone Plant (LP-6)'!$E$4&gt;4,"County:","")</f>
        <v/>
      </c>
      <c r="C83" s="76"/>
      <c r="D83" s="55"/>
      <c r="E83" s="166" t="str">
        <f t="shared" ref="E83:E89" si="26">IF(G83="","","LP-6 EP-1")</f>
        <v/>
      </c>
      <c r="F83" s="166" t="str">
        <f t="shared" ref="F83:F89" si="27">IF(G83="","",IF(G83="primary crusher","LP-6 EU-1",IF(G83="screening","LP-6 EU-2",IF(G83="secondary crusher","LP-6 EU-3",IF(G83="tertiary crusher","LP-6 EU-4",IF(G83="fines crushing","LP-6 EU-5",IF(G83="fines screening","LP-6 EU-6",IF(G83="wet drilling: unfragmented stone","LP-6 EU-7",IF(G83="conveyor transfer points","LP-6 EU-8")))))))))</f>
        <v/>
      </c>
      <c r="G83" s="98"/>
      <c r="H83" s="71"/>
      <c r="I83" s="184"/>
      <c r="J83" s="81">
        <f t="shared" si="24"/>
        <v>0</v>
      </c>
      <c r="K83" s="81">
        <f t="shared" si="25"/>
        <v>0</v>
      </c>
    </row>
    <row r="84" spans="2:11" ht="14.25" customHeight="1" x14ac:dyDescent="0.2">
      <c r="B84" s="94" t="str">
        <f>IF('Limestone Plant (LP-6)'!$E$4&gt;4,"Crushing Period (Dates):","")</f>
        <v/>
      </c>
      <c r="C84" s="76"/>
      <c r="D84" s="55"/>
      <c r="E84" s="166" t="str">
        <f t="shared" si="26"/>
        <v/>
      </c>
      <c r="F84" s="166" t="str">
        <f t="shared" si="27"/>
        <v/>
      </c>
      <c r="G84" s="98"/>
      <c r="H84" s="71"/>
      <c r="I84" s="184"/>
      <c r="J84" s="81">
        <f t="shared" si="24"/>
        <v>0</v>
      </c>
      <c r="K84" s="81">
        <f t="shared" si="25"/>
        <v>0</v>
      </c>
    </row>
    <row r="85" spans="2:11" ht="14.25" customHeight="1" x14ac:dyDescent="0.2">
      <c r="B85" s="281" t="str">
        <f>IF('Limestone Plant (LP-6)'!$E$4&gt;4,"Controlled with Dust Suppressant or","")</f>
        <v/>
      </c>
      <c r="D85" s="55"/>
      <c r="E85" s="166" t="str">
        <f t="shared" si="26"/>
        <v/>
      </c>
      <c r="F85" s="166" t="str">
        <f t="shared" si="27"/>
        <v/>
      </c>
      <c r="G85" s="98"/>
      <c r="H85" s="71"/>
      <c r="I85" s="184"/>
      <c r="J85" s="81">
        <f t="shared" si="24"/>
        <v>0</v>
      </c>
      <c r="K85" s="81">
        <f t="shared" si="25"/>
        <v>0</v>
      </c>
    </row>
    <row r="86" spans="2:11" ht="14.25" customHeight="1" x14ac:dyDescent="0.2">
      <c r="B86" s="282" t="str">
        <f>IF('Limestone Plant (LP-6)'!$E$4&gt;4,"Material Being Processed has","")</f>
        <v/>
      </c>
      <c r="C86" s="280"/>
      <c r="D86" s="55"/>
      <c r="E86" s="166" t="str">
        <f t="shared" si="26"/>
        <v/>
      </c>
      <c r="F86" s="166" t="str">
        <f t="shared" si="27"/>
        <v/>
      </c>
      <c r="G86" s="98"/>
      <c r="H86" s="71"/>
      <c r="I86" s="184"/>
      <c r="J86" s="81">
        <f t="shared" si="24"/>
        <v>0</v>
      </c>
      <c r="K86" s="81">
        <f t="shared" si="25"/>
        <v>0</v>
      </c>
    </row>
    <row r="87" spans="2:11" ht="14.25" customHeight="1" x14ac:dyDescent="0.2">
      <c r="B87" s="284" t="str">
        <f>IF('Limestone Plant (LP-6)'!$E$4&gt;4,"Moisture Content &gt; 1.5%?","")</f>
        <v/>
      </c>
      <c r="C87" s="55"/>
      <c r="D87" s="55"/>
      <c r="E87" s="166" t="str">
        <f t="shared" si="26"/>
        <v/>
      </c>
      <c r="F87" s="166" t="str">
        <f t="shared" si="27"/>
        <v/>
      </c>
      <c r="G87" s="98"/>
      <c r="H87" s="71"/>
      <c r="I87" s="184"/>
      <c r="J87" s="81">
        <f t="shared" si="24"/>
        <v>0</v>
      </c>
      <c r="K87" s="81">
        <f t="shared" si="25"/>
        <v>0</v>
      </c>
    </row>
    <row r="88" spans="2:11" ht="14.25" customHeight="1" x14ac:dyDescent="0.2">
      <c r="B88" s="55"/>
      <c r="D88" s="55"/>
      <c r="E88" s="166" t="str">
        <f t="shared" si="26"/>
        <v/>
      </c>
      <c r="F88" s="166" t="str">
        <f t="shared" si="27"/>
        <v/>
      </c>
      <c r="G88" s="98"/>
      <c r="H88" s="71"/>
      <c r="I88" s="184"/>
      <c r="J88" s="81">
        <f t="shared" si="24"/>
        <v>0</v>
      </c>
      <c r="K88" s="81">
        <f t="shared" si="25"/>
        <v>0</v>
      </c>
    </row>
    <row r="89" spans="2:11" ht="14.25" customHeight="1" x14ac:dyDescent="0.2">
      <c r="B89" s="55"/>
      <c r="C89" s="55"/>
      <c r="D89" s="55"/>
      <c r="E89" s="166" t="str">
        <f t="shared" si="26"/>
        <v/>
      </c>
      <c r="F89" s="166" t="str">
        <f t="shared" si="27"/>
        <v/>
      </c>
      <c r="G89" s="98"/>
      <c r="H89" s="71"/>
      <c r="I89" s="184"/>
      <c r="J89" s="81">
        <f t="shared" si="24"/>
        <v>0</v>
      </c>
      <c r="K89" s="81">
        <f t="shared" si="25"/>
        <v>0</v>
      </c>
    </row>
    <row r="90" spans="2:11" ht="14.25" customHeight="1" x14ac:dyDescent="0.2">
      <c r="B90" s="55"/>
      <c r="D90" s="55"/>
      <c r="E90" s="55"/>
      <c r="F90" s="55"/>
    </row>
    <row r="91" spans="2:11" ht="14.25" customHeight="1" x14ac:dyDescent="0.2">
      <c r="B91" s="55"/>
      <c r="E91" s="88" t="str">
        <f>IF('Limestone Plant (LP-6)'!$E$4&gt;4,"Stock Pile Area","")</f>
        <v/>
      </c>
      <c r="F91" s="88"/>
      <c r="G91" s="89"/>
    </row>
    <row r="92" spans="2:11" ht="14.25" customHeight="1" x14ac:dyDescent="0.2">
      <c r="B92" s="55"/>
      <c r="D92" s="90"/>
      <c r="F92" s="60" t="str">
        <f>IF('Limestone Plant (LP-6)'!$E$4&gt;4,"Emission Unit #","")</f>
        <v/>
      </c>
      <c r="G92" s="95" t="str">
        <f>IF('Limestone Plant (LP-6)'!$E$4&gt;4,"Maximum Storage Area (acres)","")</f>
        <v/>
      </c>
      <c r="H92" s="96" t="str">
        <f>IF('Limestone Plant (LP-6)'!$E$4&gt;4,"Actual Storage Area (acres)","")</f>
        <v/>
      </c>
      <c r="I92" s="95" t="str">
        <f>IF('Limestone Plant (LP-6)'!$E$4&gt;4,"Actual Days in Existence (days)","")</f>
        <v/>
      </c>
    </row>
    <row r="93" spans="2:11" ht="14.25" customHeight="1" x14ac:dyDescent="0.2">
      <c r="B93" s="55"/>
      <c r="F93" s="72"/>
      <c r="G93" s="126"/>
      <c r="H93" s="78"/>
      <c r="I93" s="126"/>
    </row>
    <row r="94" spans="2:11" ht="26.25" customHeight="1" x14ac:dyDescent="0.2"/>
    <row r="96" spans="2:11" ht="30" customHeight="1" x14ac:dyDescent="0.25">
      <c r="B96" s="92" t="str">
        <f>IF('Limestone Plant (LP-6)'!$E$4&gt;5,"CRUSHER PLANT","")</f>
        <v/>
      </c>
      <c r="C96" s="84" t="str">
        <f>IF('Limestone Plant (LP-6)'!$E$4&gt;5,"Site 6","")</f>
        <v/>
      </c>
      <c r="E96" s="213" t="str">
        <f>IF('Limestone Plant (LP-6)'!$E$4&gt;5,"Emission Point #","")</f>
        <v/>
      </c>
      <c r="F96" s="213" t="str">
        <f>IF('Limestone Plant (LP-6)'!$E$4&gt;5,"Emission    Unit #","")</f>
        <v/>
      </c>
      <c r="G96" s="213" t="str">
        <f>IF('Limestone Plant (LP-6)'!$E$4&gt;5,"Processes","")</f>
        <v/>
      </c>
      <c r="H96" s="220" t="str">
        <f>IF('Limestone Plant (LP-6)'!$E$4&gt;5,"Combined Maximum Hourly Design Rate for all Like Processes (tons/hr)","")</f>
        <v/>
      </c>
      <c r="I96" s="213" t="str">
        <f>IF('Limestone Plant (LP-6)'!$E$4&gt;5,('Facility Information'!G5&amp;" Annual Throughput (tons)"),"")</f>
        <v/>
      </c>
    </row>
    <row r="97" spans="2:11" ht="14.25" customHeight="1" x14ac:dyDescent="0.2">
      <c r="B97" s="94" t="str">
        <f>IF('Limestone Plant (LP-6)'!$E$4&gt;5,"Site Name:","")</f>
        <v/>
      </c>
      <c r="C97" s="76"/>
      <c r="D97" s="55"/>
      <c r="E97" s="166" t="str">
        <f>IF(G97="","","LP-6 EP-1")</f>
        <v/>
      </c>
      <c r="F97" s="166" t="str">
        <f>IF(G97="","",IF(G97="primary crusher","LP-6 EU-1",IF(G97="screening","LP-6 EU-2",IF(G97="secondary crusher","LP-6 EU-3",IF(G97="tertiary crusher","LP-6 EU-4",IF(G97="fines crushing","LP-6 EU-5",IF(G97="fines screening","LP-6 EU-6",IF(G97="wet drilling: unfragmented stone","LP-6 EU-7",IF(G97="conveyor transfer points","LP-6 EU-8")))))))))</f>
        <v/>
      </c>
      <c r="G97" s="98"/>
      <c r="H97" s="71"/>
      <c r="I97" s="184"/>
      <c r="J97" s="81">
        <f t="shared" ref="J97:J104" si="28">IF($C$101="no",I97,0)</f>
        <v>0</v>
      </c>
      <c r="K97" s="81">
        <f t="shared" ref="K97:K104" si="29">IF($C$101="yes",I97,0)</f>
        <v>0</v>
      </c>
    </row>
    <row r="98" spans="2:11" ht="14.25" customHeight="1" x14ac:dyDescent="0.2">
      <c r="B98" s="94" t="str">
        <f>IF('Limestone Plant (LP-6)'!$E$4&gt;5,"County:","")</f>
        <v/>
      </c>
      <c r="C98" s="76"/>
      <c r="D98" s="55"/>
      <c r="E98" s="166" t="str">
        <f t="shared" ref="E98:E104" si="30">IF(G98="","","LP-6 EP-1")</f>
        <v/>
      </c>
      <c r="F98" s="166" t="str">
        <f t="shared" ref="F98:F104" si="31">IF(G98="","",IF(G98="primary crusher","LP-6 EU-1",IF(G98="screening","LP-6 EU-2",IF(G98="secondary crusher","LP-6 EU-3",IF(G98="tertiary crusher","LP-6 EU-4",IF(G98="fines crushing","LP-6 EU-5",IF(G98="fines screening","LP-6 EU-6",IF(G98="wet drilling: unfragmented stone","LP-6 EU-7",IF(G98="conveyor transfer points","LP-6 EU-8")))))))))</f>
        <v/>
      </c>
      <c r="G98" s="98"/>
      <c r="H98" s="71"/>
      <c r="I98" s="184"/>
      <c r="J98" s="81">
        <f t="shared" si="28"/>
        <v>0</v>
      </c>
      <c r="K98" s="81">
        <f t="shared" si="29"/>
        <v>0</v>
      </c>
    </row>
    <row r="99" spans="2:11" ht="14.25" customHeight="1" x14ac:dyDescent="0.2">
      <c r="B99" s="94" t="str">
        <f>IF('Limestone Plant (LP-6)'!$E$4&gt;5,"Crushing Period (Dates):","")</f>
        <v/>
      </c>
      <c r="C99" s="76"/>
      <c r="D99" s="55"/>
      <c r="E99" s="166" t="str">
        <f t="shared" si="30"/>
        <v/>
      </c>
      <c r="F99" s="166" t="str">
        <f t="shared" si="31"/>
        <v/>
      </c>
      <c r="G99" s="98"/>
      <c r="H99" s="71"/>
      <c r="I99" s="184"/>
      <c r="J99" s="81">
        <f t="shared" si="28"/>
        <v>0</v>
      </c>
      <c r="K99" s="81">
        <f t="shared" si="29"/>
        <v>0</v>
      </c>
    </row>
    <row r="100" spans="2:11" ht="14.25" customHeight="1" x14ac:dyDescent="0.2">
      <c r="B100" s="281" t="str">
        <f>IF('Limestone Plant (LP-6)'!$E$4&gt;5,"Controlled with Dust Suppressant or","")</f>
        <v/>
      </c>
      <c r="D100" s="55"/>
      <c r="E100" s="166" t="str">
        <f t="shared" si="30"/>
        <v/>
      </c>
      <c r="F100" s="166" t="str">
        <f t="shared" si="31"/>
        <v/>
      </c>
      <c r="G100" s="98"/>
      <c r="H100" s="71"/>
      <c r="I100" s="184"/>
      <c r="J100" s="81">
        <f t="shared" si="28"/>
        <v>0</v>
      </c>
      <c r="K100" s="81">
        <f t="shared" si="29"/>
        <v>0</v>
      </c>
    </row>
    <row r="101" spans="2:11" ht="14.25" customHeight="1" x14ac:dyDescent="0.2">
      <c r="B101" s="282" t="str">
        <f>IF('Limestone Plant (LP-6)'!$E$4&gt;5,"Material Being Processed has","")</f>
        <v/>
      </c>
      <c r="C101" s="280"/>
      <c r="D101" s="55"/>
      <c r="E101" s="166" t="str">
        <f t="shared" si="30"/>
        <v/>
      </c>
      <c r="F101" s="166" t="str">
        <f t="shared" si="31"/>
        <v/>
      </c>
      <c r="G101" s="98"/>
      <c r="H101" s="71"/>
      <c r="I101" s="184"/>
      <c r="J101" s="81">
        <f t="shared" si="28"/>
        <v>0</v>
      </c>
      <c r="K101" s="81">
        <f t="shared" si="29"/>
        <v>0</v>
      </c>
    </row>
    <row r="102" spans="2:11" ht="14.25" customHeight="1" x14ac:dyDescent="0.2">
      <c r="B102" s="284" t="str">
        <f>IF('Limestone Plant (LP-6)'!$E$4&gt;5,"Moisture Content &gt; 1.5%?","")</f>
        <v/>
      </c>
      <c r="C102" s="55"/>
      <c r="D102" s="55"/>
      <c r="E102" s="166" t="str">
        <f t="shared" si="30"/>
        <v/>
      </c>
      <c r="F102" s="166" t="str">
        <f t="shared" si="31"/>
        <v/>
      </c>
      <c r="G102" s="98"/>
      <c r="H102" s="71"/>
      <c r="I102" s="184"/>
      <c r="J102" s="81">
        <f t="shared" si="28"/>
        <v>0</v>
      </c>
      <c r="K102" s="81">
        <f t="shared" si="29"/>
        <v>0</v>
      </c>
    </row>
    <row r="103" spans="2:11" ht="14.25" customHeight="1" x14ac:dyDescent="0.2">
      <c r="B103" s="55"/>
      <c r="D103" s="55"/>
      <c r="E103" s="166" t="str">
        <f t="shared" si="30"/>
        <v/>
      </c>
      <c r="F103" s="166" t="str">
        <f t="shared" si="31"/>
        <v/>
      </c>
      <c r="G103" s="98"/>
      <c r="H103" s="71"/>
      <c r="I103" s="184"/>
      <c r="J103" s="81">
        <f t="shared" si="28"/>
        <v>0</v>
      </c>
      <c r="K103" s="81">
        <f t="shared" si="29"/>
        <v>0</v>
      </c>
    </row>
    <row r="104" spans="2:11" ht="14.25" customHeight="1" x14ac:dyDescent="0.2">
      <c r="B104" s="55"/>
      <c r="C104" s="55"/>
      <c r="D104" s="55"/>
      <c r="E104" s="166" t="str">
        <f t="shared" si="30"/>
        <v/>
      </c>
      <c r="F104" s="166" t="str">
        <f t="shared" si="31"/>
        <v/>
      </c>
      <c r="G104" s="98"/>
      <c r="H104" s="71"/>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(LP-6)'!$E$4&gt;5,"Stock Pile Area","")</f>
        <v/>
      </c>
      <c r="F106" s="88"/>
      <c r="G106" s="89"/>
    </row>
    <row r="107" spans="2:11" ht="14.25" customHeight="1" x14ac:dyDescent="0.2">
      <c r="B107" s="55"/>
      <c r="D107" s="90"/>
      <c r="F107" s="60" t="str">
        <f>IF('Limestone Plant (LP-6)'!$E$4&gt;5,"Emission Unit #","")</f>
        <v/>
      </c>
      <c r="G107" s="95" t="str">
        <f>IF('Limestone Plant (LP-6)'!$E$4&gt;5,"Maximum Storage Area (acres)","")</f>
        <v/>
      </c>
      <c r="H107" s="96" t="str">
        <f>IF('Limestone Plant (LP-6)'!$E$4&gt;5,"Actual Storage Area (acres)","")</f>
        <v/>
      </c>
      <c r="I107" s="95" t="str">
        <f>IF('Limestone Plant (LP-6)'!$E$4&gt;5,"Actual Days in Existence (days)","")</f>
        <v/>
      </c>
    </row>
    <row r="108" spans="2:11" ht="14.25" customHeight="1" x14ac:dyDescent="0.2">
      <c r="B108" s="55"/>
      <c r="F108" s="77"/>
      <c r="G108" s="126"/>
      <c r="H108" s="78"/>
      <c r="I108" s="126"/>
    </row>
    <row r="109" spans="2:11" ht="23.25" customHeight="1" x14ac:dyDescent="0.2"/>
    <row r="111" spans="2:11" ht="28.5" customHeight="1" x14ac:dyDescent="0.25">
      <c r="B111" s="92" t="str">
        <f>IF('Limestone Plant (LP-6)'!$E$4&gt;6,"CRUSHER PLANT","")</f>
        <v/>
      </c>
      <c r="C111" s="84" t="str">
        <f>IF('Limestone Plant (LP-6)'!$E$4&gt;6,"Site 7","")</f>
        <v/>
      </c>
      <c r="E111" s="213" t="str">
        <f>IF('Limestone Plant (LP-6)'!$E$4&gt;6,"Emission Point #","")</f>
        <v/>
      </c>
      <c r="F111" s="213" t="str">
        <f>IF('Limestone Plant (LP-6)'!$E$4&gt;6,"Emission    Unit #","")</f>
        <v/>
      </c>
      <c r="G111" s="213" t="str">
        <f>IF('Limestone Plant (LP-6)'!$E$4&gt;6,"Processes","")</f>
        <v/>
      </c>
      <c r="H111" s="220" t="str">
        <f>IF('Limestone Plant (LP-6)'!$E$4&gt;6,"Combined Maximum Hourly Design Rate for all Like Processes (tons/hr)","")</f>
        <v/>
      </c>
      <c r="I111" s="213" t="str">
        <f>IF('Limestone Plant (LP-6)'!$E$4&gt;6,('Facility Information'!G5&amp;" Annual Throughput (tons)"),"")</f>
        <v/>
      </c>
    </row>
    <row r="112" spans="2:11" ht="14.25" customHeight="1" x14ac:dyDescent="0.2">
      <c r="B112" s="94" t="str">
        <f>IF('Limestone Plant (LP-6)'!$E$4&gt;6,"Site Name:","")</f>
        <v/>
      </c>
      <c r="C112" s="76"/>
      <c r="D112" s="55"/>
      <c r="E112" s="166" t="str">
        <f>IF(G112="","","LP-6 EP-1")</f>
        <v/>
      </c>
      <c r="F112" s="166" t="str">
        <f>IF(G112="","",IF(G112="primary crusher","LP-6 EU-1",IF(G112="screening","LP-6 EU-2",IF(G112="secondary crusher","LP-6 EU-3",IF(G112="tertiary crusher","LP-6 EU-4",IF(G112="fines crushing","LP-6 EU-5",IF(G112="fines screening","LP-6 EU-6",IF(G112="wet drilling: unfragmented stone","LP-6 EU-7",IF(G112="conveyor transfer points","LP-6 EU-8")))))))))</f>
        <v/>
      </c>
      <c r="G112" s="98"/>
      <c r="H112" s="71"/>
      <c r="I112" s="184"/>
      <c r="J112" s="81">
        <f t="shared" ref="J112:J119" si="32">IF($C$116="no",I112,0)</f>
        <v>0</v>
      </c>
      <c r="K112" s="81">
        <f t="shared" ref="K112:K119" si="33">IF($C$116="yes",I112,0)</f>
        <v>0</v>
      </c>
    </row>
    <row r="113" spans="2:11" ht="14.25" customHeight="1" x14ac:dyDescent="0.2">
      <c r="B113" s="94" t="str">
        <f>IF('Limestone Plant (LP-6)'!$E$4&gt;6,"County:","")</f>
        <v/>
      </c>
      <c r="C113" s="76"/>
      <c r="D113" s="55"/>
      <c r="E113" s="166" t="str">
        <f t="shared" ref="E113:E119" si="34">IF(G113="","","LP-6 EP-1")</f>
        <v/>
      </c>
      <c r="F113" s="166" t="str">
        <f t="shared" ref="F113:F119" si="35">IF(G113="","",IF(G113="primary crusher","LP-6 EU-1",IF(G113="screening","LP-6 EU-2",IF(G113="secondary crusher","LP-6 EU-3",IF(G113="tertiary crusher","LP-6 EU-4",IF(G113="fines crushing","LP-6 EU-5",IF(G113="fines screening","LP-6 EU-6",IF(G113="wet drilling: unfragmented stone","LP-6 EU-7",IF(G113="conveyor transfer points","LP-6 EU-8")))))))))</f>
        <v/>
      </c>
      <c r="G113" s="98"/>
      <c r="H113" s="71"/>
      <c r="I113" s="184"/>
      <c r="J113" s="81">
        <f t="shared" si="32"/>
        <v>0</v>
      </c>
      <c r="K113" s="81">
        <f t="shared" si="33"/>
        <v>0</v>
      </c>
    </row>
    <row r="114" spans="2:11" ht="14.25" customHeight="1" x14ac:dyDescent="0.2">
      <c r="B114" s="94" t="str">
        <f>IF('Limestone Plant (LP-6)'!$E$4&gt;6,"Crushing Period (Dates):","")</f>
        <v/>
      </c>
      <c r="C114" s="76"/>
      <c r="D114" s="55"/>
      <c r="E114" s="166" t="str">
        <f t="shared" si="34"/>
        <v/>
      </c>
      <c r="F114" s="166" t="str">
        <f t="shared" si="35"/>
        <v/>
      </c>
      <c r="G114" s="98"/>
      <c r="H114" s="71"/>
      <c r="I114" s="184"/>
      <c r="J114" s="81">
        <f t="shared" si="32"/>
        <v>0</v>
      </c>
      <c r="K114" s="81">
        <f t="shared" si="33"/>
        <v>0</v>
      </c>
    </row>
    <row r="115" spans="2:11" ht="14.25" customHeight="1" x14ac:dyDescent="0.2">
      <c r="B115" s="281" t="str">
        <f>IF('Limestone Plant (LP-6)'!$E$4&gt;6,"Controlled with Dust Suppressant or","")</f>
        <v/>
      </c>
      <c r="D115" s="55"/>
      <c r="E115" s="166" t="str">
        <f t="shared" si="34"/>
        <v/>
      </c>
      <c r="F115" s="166" t="str">
        <f t="shared" si="35"/>
        <v/>
      </c>
      <c r="G115" s="98"/>
      <c r="H115" s="71"/>
      <c r="I115" s="184"/>
      <c r="J115" s="81">
        <f t="shared" si="32"/>
        <v>0</v>
      </c>
      <c r="K115" s="81">
        <f t="shared" si="33"/>
        <v>0</v>
      </c>
    </row>
    <row r="116" spans="2:11" ht="14.25" customHeight="1" x14ac:dyDescent="0.2">
      <c r="B116" s="282" t="str">
        <f>IF('Limestone Plant (LP-6)'!$E$4&gt;6,"Material Being Processed has","")</f>
        <v/>
      </c>
      <c r="C116" s="280"/>
      <c r="D116" s="55"/>
      <c r="E116" s="166" t="str">
        <f t="shared" si="34"/>
        <v/>
      </c>
      <c r="F116" s="166" t="str">
        <f t="shared" si="35"/>
        <v/>
      </c>
      <c r="G116" s="98"/>
      <c r="H116" s="71"/>
      <c r="I116" s="184"/>
      <c r="J116" s="81">
        <f t="shared" si="32"/>
        <v>0</v>
      </c>
      <c r="K116" s="81">
        <f t="shared" si="33"/>
        <v>0</v>
      </c>
    </row>
    <row r="117" spans="2:11" ht="14.25" customHeight="1" x14ac:dyDescent="0.2">
      <c r="B117" s="284" t="str">
        <f>IF('Limestone Plant (LP-6)'!$E$4&gt;6,"Moisture Content &gt; 1.5%?","")</f>
        <v/>
      </c>
      <c r="C117" s="55"/>
      <c r="D117" s="55"/>
      <c r="E117" s="166" t="str">
        <f t="shared" si="34"/>
        <v/>
      </c>
      <c r="F117" s="166" t="str">
        <f t="shared" si="35"/>
        <v/>
      </c>
      <c r="G117" s="98"/>
      <c r="H117" s="71"/>
      <c r="I117" s="184"/>
      <c r="J117" s="81">
        <f t="shared" si="32"/>
        <v>0</v>
      </c>
      <c r="K117" s="81">
        <f t="shared" si="33"/>
        <v>0</v>
      </c>
    </row>
    <row r="118" spans="2:11" ht="14.25" customHeight="1" x14ac:dyDescent="0.2">
      <c r="B118" s="55"/>
      <c r="D118" s="55"/>
      <c r="E118" s="166" t="str">
        <f t="shared" si="34"/>
        <v/>
      </c>
      <c r="F118" s="166" t="str">
        <f t="shared" si="35"/>
        <v/>
      </c>
      <c r="G118" s="98"/>
      <c r="H118" s="71"/>
      <c r="I118" s="184"/>
      <c r="J118" s="81">
        <f t="shared" si="32"/>
        <v>0</v>
      </c>
      <c r="K118" s="81">
        <f t="shared" si="33"/>
        <v>0</v>
      </c>
    </row>
    <row r="119" spans="2:11" ht="14.25" customHeight="1" x14ac:dyDescent="0.2">
      <c r="B119" s="55"/>
      <c r="C119" s="55"/>
      <c r="D119" s="55"/>
      <c r="E119" s="166" t="str">
        <f t="shared" si="34"/>
        <v/>
      </c>
      <c r="F119" s="166" t="str">
        <f t="shared" si="35"/>
        <v/>
      </c>
      <c r="G119" s="98"/>
      <c r="H119" s="71"/>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(LP-6)'!$E$4&gt;6,"Stock Pile Area","")</f>
        <v/>
      </c>
      <c r="F121" s="88"/>
      <c r="G121" s="89"/>
    </row>
    <row r="122" spans="2:11" ht="14.25" customHeight="1" x14ac:dyDescent="0.2">
      <c r="B122" s="55"/>
      <c r="D122" s="90"/>
      <c r="F122" s="60" t="str">
        <f>IF('Limestone Plant (LP-6)'!$E$4&gt;6,"Emission Unit #","")</f>
        <v/>
      </c>
      <c r="G122" s="95" t="str">
        <f>IF('Limestone Plant (LP-6)'!$E$4&gt;6,"Maximum Storage Area (acres)","")</f>
        <v/>
      </c>
      <c r="H122" s="96" t="str">
        <f>IF('Limestone Plant (LP-6)'!$E$4&gt;6,"Actual Storage Area (acres)","")</f>
        <v/>
      </c>
      <c r="I122" s="95" t="str">
        <f>IF('Limestone Plant (LP-6)'!$E$4&gt;6,"Actual Days in Existence (days)","")</f>
        <v/>
      </c>
    </row>
    <row r="123" spans="2:11" ht="14.25" customHeight="1" x14ac:dyDescent="0.2">
      <c r="B123" s="55"/>
      <c r="F123" s="77"/>
      <c r="G123" s="126"/>
      <c r="H123" s="78"/>
      <c r="I123" s="126"/>
    </row>
    <row r="124" spans="2:11" ht="25.5" customHeight="1" x14ac:dyDescent="0.2"/>
    <row r="126" spans="2:11" ht="27.75" customHeight="1" x14ac:dyDescent="0.25">
      <c r="B126" s="92" t="str">
        <f>IF('Limestone Plant (LP-6)'!$E$4&gt;7,"CRUSHER PLANT","")</f>
        <v/>
      </c>
      <c r="C126" s="84" t="str">
        <f>IF('Limestone Plant (LP-6)'!$E$4&gt;7,"Site 8","")</f>
        <v/>
      </c>
      <c r="E126" s="213" t="str">
        <f>IF('Limestone Plant (LP-6)'!$E$4&gt;7,"Emission Point #","")</f>
        <v/>
      </c>
      <c r="F126" s="213" t="str">
        <f>IF('Limestone Plant (LP-6)'!$E$4&gt;7,"Emission    Unit #","")</f>
        <v/>
      </c>
      <c r="G126" s="213" t="str">
        <f>IF('Limestone Plant (LP-6)'!$E$4&gt;7,"Processes","")</f>
        <v/>
      </c>
      <c r="H126" s="220" t="str">
        <f>IF('Limestone Plant (LP-6)'!$E$4&gt;7,"Combined Maximum Hourly Design Rate for all Like Processes (tons/hr)","")</f>
        <v/>
      </c>
      <c r="I126" s="213" t="str">
        <f>IF('Limestone Plant (LP-6)'!$E$4&gt;7,('Facility Information'!G5&amp;" Annual Throughput (tons)"),"")</f>
        <v/>
      </c>
    </row>
    <row r="127" spans="2:11" ht="14.25" customHeight="1" x14ac:dyDescent="0.2">
      <c r="B127" s="94" t="str">
        <f>IF('Limestone Plant (LP-6)'!$E$4&gt;7,"Site Name:","")</f>
        <v/>
      </c>
      <c r="C127" s="76"/>
      <c r="D127" s="55"/>
      <c r="E127" s="166" t="str">
        <f>IF(G127="","","LP-6 EP-1")</f>
        <v/>
      </c>
      <c r="F127" s="166" t="str">
        <f>IF(G127="","",IF(G127="primary crusher","LP-6 EU-1",IF(G127="screening","LP-6 EU-2",IF(G127="secondary crusher","LP-6 EU-3",IF(G127="tertiary crusher","LP-6 EU-4",IF(G127="fines crushing","LP-6 EU-5",IF(G127="fines screening","LP-6 EU-6",IF(G127="wet drilling: unfragmented stone","LP-6 EU-7",IF(G127="conveyor transfer points","LP-6 EU-8")))))))))</f>
        <v/>
      </c>
      <c r="G127" s="98"/>
      <c r="H127" s="71"/>
      <c r="I127" s="184"/>
      <c r="J127" s="81">
        <f t="shared" ref="J127:J134" si="36">IF($C$131="no",I127,0)</f>
        <v>0</v>
      </c>
      <c r="K127" s="81">
        <f t="shared" ref="K127:K134" si="37">IF($C$131="yes",I127,0)</f>
        <v>0</v>
      </c>
    </row>
    <row r="128" spans="2:11" ht="14.25" customHeight="1" x14ac:dyDescent="0.2">
      <c r="B128" s="94" t="str">
        <f>IF('Limestone Plant (LP-6)'!$E$4&gt;7,"County:","")</f>
        <v/>
      </c>
      <c r="C128" s="76"/>
      <c r="D128" s="55"/>
      <c r="E128" s="166" t="str">
        <f t="shared" ref="E128:E134" si="38">IF(G128="","","LP-6 EP-1")</f>
        <v/>
      </c>
      <c r="F128" s="166" t="str">
        <f t="shared" ref="F128:F134" si="39">IF(G128="","",IF(G128="primary crusher","LP-6 EU-1",IF(G128="screening","LP-6 EU-2",IF(G128="secondary crusher","LP-6 EU-3",IF(G128="tertiary crusher","LP-6 EU-4",IF(G128="fines crushing","LP-6 EU-5",IF(G128="fines screening","LP-6 EU-6",IF(G128="wet drilling: unfragmented stone","LP-6 EU-7",IF(G128="conveyor transfer points","LP-6 EU-8")))))))))</f>
        <v/>
      </c>
      <c r="G128" s="98"/>
      <c r="H128" s="71"/>
      <c r="I128" s="184"/>
      <c r="J128" s="81">
        <f t="shared" si="36"/>
        <v>0</v>
      </c>
      <c r="K128" s="81">
        <f t="shared" si="37"/>
        <v>0</v>
      </c>
    </row>
    <row r="129" spans="2:11" ht="14.25" customHeight="1" x14ac:dyDescent="0.2">
      <c r="B129" s="94" t="str">
        <f>IF('Limestone Plant (LP-6)'!$E$4&gt;7,"Crushing Period (Dates):","")</f>
        <v/>
      </c>
      <c r="C129" s="76"/>
      <c r="D129" s="55"/>
      <c r="E129" s="166" t="str">
        <f t="shared" si="38"/>
        <v/>
      </c>
      <c r="F129" s="166" t="str">
        <f t="shared" si="39"/>
        <v/>
      </c>
      <c r="G129" s="98"/>
      <c r="H129" s="71"/>
      <c r="I129" s="184"/>
      <c r="J129" s="81">
        <f t="shared" si="36"/>
        <v>0</v>
      </c>
      <c r="K129" s="81">
        <f t="shared" si="37"/>
        <v>0</v>
      </c>
    </row>
    <row r="130" spans="2:11" ht="14.25" customHeight="1" x14ac:dyDescent="0.2">
      <c r="B130" s="281" t="str">
        <f>IF('Limestone Plant (LP-6)'!$E$4&gt;7,"Controlled with Dust Suppressant or","")</f>
        <v/>
      </c>
      <c r="D130" s="55"/>
      <c r="E130" s="166" t="str">
        <f t="shared" si="38"/>
        <v/>
      </c>
      <c r="F130" s="166" t="str">
        <f t="shared" si="39"/>
        <v/>
      </c>
      <c r="G130" s="98"/>
      <c r="H130" s="71"/>
      <c r="I130" s="184"/>
      <c r="J130" s="81">
        <f t="shared" si="36"/>
        <v>0</v>
      </c>
      <c r="K130" s="81">
        <f t="shared" si="37"/>
        <v>0</v>
      </c>
    </row>
    <row r="131" spans="2:11" ht="14.25" customHeight="1" x14ac:dyDescent="0.2">
      <c r="B131" s="282" t="str">
        <f>IF('Limestone Plant (LP-6)'!$E$4&gt;7,"Material Being Processed has","")</f>
        <v/>
      </c>
      <c r="C131" s="280"/>
      <c r="D131" s="55"/>
      <c r="E131" s="166" t="str">
        <f t="shared" si="38"/>
        <v/>
      </c>
      <c r="F131" s="166" t="str">
        <f t="shared" si="39"/>
        <v/>
      </c>
      <c r="G131" s="98"/>
      <c r="H131" s="71"/>
      <c r="I131" s="184"/>
      <c r="J131" s="81">
        <f t="shared" si="36"/>
        <v>0</v>
      </c>
      <c r="K131" s="81">
        <f t="shared" si="37"/>
        <v>0</v>
      </c>
    </row>
    <row r="132" spans="2:11" ht="14.25" customHeight="1" x14ac:dyDescent="0.2">
      <c r="B132" s="284" t="str">
        <f>IF('Limestone Plant (LP-6)'!$E$4&gt;7,"Moisture Content &gt; 1.5%?","")</f>
        <v/>
      </c>
      <c r="C132" s="55"/>
      <c r="D132" s="55"/>
      <c r="E132" s="166" t="str">
        <f t="shared" si="38"/>
        <v/>
      </c>
      <c r="F132" s="166" t="str">
        <f t="shared" si="39"/>
        <v/>
      </c>
      <c r="G132" s="98"/>
      <c r="H132" s="71"/>
      <c r="I132" s="184"/>
      <c r="J132" s="81">
        <f t="shared" si="36"/>
        <v>0</v>
      </c>
      <c r="K132" s="81">
        <f t="shared" si="37"/>
        <v>0</v>
      </c>
    </row>
    <row r="133" spans="2:11" ht="14.25" customHeight="1" x14ac:dyDescent="0.2">
      <c r="B133" s="55"/>
      <c r="D133" s="55"/>
      <c r="E133" s="166" t="str">
        <f t="shared" si="38"/>
        <v/>
      </c>
      <c r="F133" s="166" t="str">
        <f t="shared" si="39"/>
        <v/>
      </c>
      <c r="G133" s="98"/>
      <c r="H133" s="71"/>
      <c r="I133" s="184"/>
      <c r="J133" s="81">
        <f t="shared" si="36"/>
        <v>0</v>
      </c>
      <c r="K133" s="81">
        <f t="shared" si="37"/>
        <v>0</v>
      </c>
    </row>
    <row r="134" spans="2:11" ht="14.25" customHeight="1" x14ac:dyDescent="0.2">
      <c r="B134" s="55"/>
      <c r="C134" s="55"/>
      <c r="D134" s="55"/>
      <c r="E134" s="166" t="str">
        <f t="shared" si="38"/>
        <v/>
      </c>
      <c r="F134" s="166" t="str">
        <f t="shared" si="39"/>
        <v/>
      </c>
      <c r="G134" s="98"/>
      <c r="H134" s="71"/>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(LP-6)'!$E$4&gt;7,"Stock Pile Area","")</f>
        <v/>
      </c>
      <c r="F136" s="88"/>
      <c r="G136" s="89"/>
    </row>
    <row r="137" spans="2:11" ht="14.25" customHeight="1" x14ac:dyDescent="0.2">
      <c r="B137" s="55"/>
      <c r="D137" s="90"/>
      <c r="F137" s="60" t="str">
        <f>IF('Limestone Plant (LP-6)'!$E$4&gt;7,"Emission Unit #","")</f>
        <v/>
      </c>
      <c r="G137" s="95" t="str">
        <f>IF('Limestone Plant (LP-6)'!$E$4&gt;7,"Maximum Storage Area (acres)","")</f>
        <v/>
      </c>
      <c r="H137" s="96" t="str">
        <f>IF('Limestone Plant (LP-6)'!$E$4&gt;7,"Actual Storage Area (acres)","")</f>
        <v/>
      </c>
      <c r="I137" s="95" t="str">
        <f>IF('Limestone Plant (LP-6)'!$E$4&gt;7,"Actual Days in Existence (days)","")</f>
        <v/>
      </c>
    </row>
    <row r="138" spans="2:11" ht="14.25" customHeight="1" x14ac:dyDescent="0.2">
      <c r="B138" s="55"/>
      <c r="F138" s="77"/>
      <c r="G138" s="126"/>
      <c r="H138" s="78"/>
      <c r="I138" s="126"/>
    </row>
    <row r="139" spans="2:11" ht="24.75" customHeight="1" x14ac:dyDescent="0.2"/>
    <row r="141" spans="2:11" ht="27" customHeight="1" x14ac:dyDescent="0.25">
      <c r="B141" s="92" t="str">
        <f>IF('Limestone Plant (LP-6)'!$E$4&gt;8,"CRUSHER PLANT","")</f>
        <v/>
      </c>
      <c r="C141" s="84" t="str">
        <f>IF('Limestone Plant (LP-6)'!$E$4&gt;8,"Site 9","")</f>
        <v/>
      </c>
      <c r="E141" s="213" t="str">
        <f>IF('Limestone Plant (LP-6)'!$E$4&gt;8,"Emission Point #","")</f>
        <v/>
      </c>
      <c r="F141" s="213" t="str">
        <f>IF('Limestone Plant (LP-6)'!$E$4&gt;8,"Emission    Unit #","")</f>
        <v/>
      </c>
      <c r="G141" s="213" t="str">
        <f>IF('Limestone Plant (LP-6)'!$E$4&gt;8,"Processes","")</f>
        <v/>
      </c>
      <c r="H141" s="220" t="str">
        <f>IF('Limestone Plant (LP-6)'!$E$4&gt;8,"Combined Maximum Hourly Design Rate for all Like Processes (tons/hr)","")</f>
        <v/>
      </c>
      <c r="I141" s="213" t="str">
        <f>IF('Limestone Plant (LP-6)'!$E$4&gt;8,('Facility Information'!G5&amp;" Annual Throughput (tons)"),"")</f>
        <v/>
      </c>
    </row>
    <row r="142" spans="2:11" ht="14.25" customHeight="1" x14ac:dyDescent="0.2">
      <c r="B142" s="94" t="str">
        <f>IF('Limestone Plant (LP-6)'!$E$4&gt;8,"Site Name:","")</f>
        <v/>
      </c>
      <c r="C142" s="76"/>
      <c r="D142" s="55"/>
      <c r="E142" s="166" t="str">
        <f>IF(G142="","","LP-6 EP-1")</f>
        <v/>
      </c>
      <c r="F142" s="166" t="str">
        <f>IF(G142="","",IF(G142="primary crusher","LP-6 EU-1",IF(G142="screening","LP-6 EU-2",IF(G142="secondary crusher","LP-6 EU-3",IF(G142="tertiary crusher","LP-6 EU-4",IF(G142="fines crushing","LP-6 EU-5",IF(G142="fines screening","LP-6 EU-6",IF(G142="wet drilling: unfragmented stone","LP-6 EU-7",IF(G142="conveyor transfer points","LP-6 EU-8")))))))))</f>
        <v/>
      </c>
      <c r="G142" s="98"/>
      <c r="H142" s="71"/>
      <c r="I142" s="184"/>
      <c r="J142" s="81">
        <f t="shared" ref="J142:J149" si="40">IF($C$146="no",I142,0)</f>
        <v>0</v>
      </c>
      <c r="K142" s="81">
        <f t="shared" ref="K142:K149" si="41">IF($C$146="yes",I142,0)</f>
        <v>0</v>
      </c>
    </row>
    <row r="143" spans="2:11" ht="14.25" customHeight="1" x14ac:dyDescent="0.2">
      <c r="B143" s="94" t="str">
        <f>IF('Limestone Plant (LP-6)'!$E$4&gt;8,"County:","")</f>
        <v/>
      </c>
      <c r="C143" s="76"/>
      <c r="D143" s="55"/>
      <c r="E143" s="166" t="str">
        <f t="shared" ref="E143:E149" si="42">IF(G143="","","LP-6 EP-1")</f>
        <v/>
      </c>
      <c r="F143" s="166" t="str">
        <f t="shared" ref="F143:F149" si="43">IF(G143="","",IF(G143="primary crusher","LP-6 EU-1",IF(G143="screening","LP-6 EU-2",IF(G143="secondary crusher","LP-6 EU-3",IF(G143="tertiary crusher","LP-6 EU-4",IF(G143="fines crushing","LP-6 EU-5",IF(G143="fines screening","LP-6 EU-6",IF(G143="wet drilling: unfragmented stone","LP-6 EU-7",IF(G143="conveyor transfer points","LP-6 EU-8")))))))))</f>
        <v/>
      </c>
      <c r="G143" s="98"/>
      <c r="H143" s="71"/>
      <c r="I143" s="184"/>
      <c r="J143" s="81">
        <f t="shared" si="40"/>
        <v>0</v>
      </c>
      <c r="K143" s="81">
        <f t="shared" si="41"/>
        <v>0</v>
      </c>
    </row>
    <row r="144" spans="2:11" ht="14.25" customHeight="1" x14ac:dyDescent="0.2">
      <c r="B144" s="94" t="str">
        <f>IF('Limestone Plant (LP-6)'!$E$4&gt;8,"Crushing Period (Dates):","")</f>
        <v/>
      </c>
      <c r="C144" s="73"/>
      <c r="D144" s="55"/>
      <c r="E144" s="166" t="str">
        <f t="shared" si="42"/>
        <v/>
      </c>
      <c r="F144" s="166" t="str">
        <f t="shared" si="43"/>
        <v/>
      </c>
      <c r="G144" s="98"/>
      <c r="H144" s="71"/>
      <c r="I144" s="184"/>
      <c r="J144" s="81">
        <f t="shared" si="40"/>
        <v>0</v>
      </c>
      <c r="K144" s="81">
        <f t="shared" si="41"/>
        <v>0</v>
      </c>
    </row>
    <row r="145" spans="2:11" ht="14.25" customHeight="1" x14ac:dyDescent="0.2">
      <c r="B145" s="281" t="str">
        <f>IF('Limestone Plant (LP-6)'!$E$4&gt;8,"Controlled with Dust Suppressant or","")</f>
        <v/>
      </c>
      <c r="D145" s="55"/>
      <c r="E145" s="166" t="str">
        <f t="shared" si="42"/>
        <v/>
      </c>
      <c r="F145" s="166" t="str">
        <f t="shared" si="43"/>
        <v/>
      </c>
      <c r="G145" s="98"/>
      <c r="H145" s="71"/>
      <c r="I145" s="184"/>
      <c r="J145" s="81">
        <f t="shared" si="40"/>
        <v>0</v>
      </c>
      <c r="K145" s="81">
        <f t="shared" si="41"/>
        <v>0</v>
      </c>
    </row>
    <row r="146" spans="2:11" ht="14.25" customHeight="1" x14ac:dyDescent="0.2">
      <c r="B146" s="282" t="str">
        <f>IF('Limestone Plant (LP-6)'!$E$4&gt;8,"Material Being Processed has","")</f>
        <v/>
      </c>
      <c r="C146" s="280"/>
      <c r="D146" s="55"/>
      <c r="E146" s="166" t="str">
        <f t="shared" si="42"/>
        <v/>
      </c>
      <c r="F146" s="166" t="str">
        <f t="shared" si="43"/>
        <v/>
      </c>
      <c r="G146" s="98"/>
      <c r="H146" s="71"/>
      <c r="I146" s="184"/>
      <c r="J146" s="81">
        <f t="shared" si="40"/>
        <v>0</v>
      </c>
      <c r="K146" s="81">
        <f t="shared" si="41"/>
        <v>0</v>
      </c>
    </row>
    <row r="147" spans="2:11" ht="14.25" customHeight="1" x14ac:dyDescent="0.2">
      <c r="B147" s="284" t="str">
        <f>IF('Limestone Plant (LP-6)'!$E$4&gt;8,"Moisture Content &gt; 1.5%?","")</f>
        <v/>
      </c>
      <c r="C147" s="55"/>
      <c r="D147" s="55"/>
      <c r="E147" s="166" t="str">
        <f t="shared" si="42"/>
        <v/>
      </c>
      <c r="F147" s="166" t="str">
        <f t="shared" si="43"/>
        <v/>
      </c>
      <c r="G147" s="98"/>
      <c r="H147" s="71"/>
      <c r="I147" s="184"/>
      <c r="J147" s="81">
        <f t="shared" si="40"/>
        <v>0</v>
      </c>
      <c r="K147" s="81">
        <f t="shared" si="41"/>
        <v>0</v>
      </c>
    </row>
    <row r="148" spans="2:11" ht="14.25" customHeight="1" x14ac:dyDescent="0.2">
      <c r="B148" s="55"/>
      <c r="D148" s="55"/>
      <c r="E148" s="166" t="str">
        <f t="shared" si="42"/>
        <v/>
      </c>
      <c r="F148" s="166" t="str">
        <f t="shared" si="43"/>
        <v/>
      </c>
      <c r="G148" s="98"/>
      <c r="H148" s="71"/>
      <c r="I148" s="184"/>
      <c r="J148" s="81">
        <f t="shared" si="40"/>
        <v>0</v>
      </c>
      <c r="K148" s="81">
        <f t="shared" si="41"/>
        <v>0</v>
      </c>
    </row>
    <row r="149" spans="2:11" ht="14.25" customHeight="1" x14ac:dyDescent="0.2">
      <c r="B149" s="55"/>
      <c r="C149" s="55"/>
      <c r="D149" s="55"/>
      <c r="E149" s="166" t="str">
        <f t="shared" si="42"/>
        <v/>
      </c>
      <c r="F149" s="166" t="str">
        <f t="shared" si="43"/>
        <v/>
      </c>
      <c r="G149" s="98"/>
      <c r="H149" s="71"/>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(LP-6)'!$E$4&gt;8,"Stock Pile Area","")</f>
        <v/>
      </c>
      <c r="F151" s="88"/>
      <c r="G151" s="89"/>
    </row>
    <row r="152" spans="2:11" ht="14.25" customHeight="1" x14ac:dyDescent="0.2">
      <c r="B152" s="55"/>
      <c r="D152" s="90"/>
      <c r="F152" s="60" t="str">
        <f>IF('Limestone Plant (LP-6)'!$E$4&gt;8,"Emission Unit #","")</f>
        <v/>
      </c>
      <c r="G152" s="95" t="str">
        <f>IF('Limestone Plant (LP-6)'!$E$4&gt;8,"Maximum Storage Area (acres)","")</f>
        <v/>
      </c>
      <c r="H152" s="96" t="str">
        <f>IF('Limestone Plant (LP-6)'!$E$4&gt;8,"Actual Storage Area (acres)","")</f>
        <v/>
      </c>
      <c r="I152" s="95" t="str">
        <f>IF('Limestone Plant (LP-6)'!$E$4&gt;8,"Actual Days in Existence (days)","")</f>
        <v/>
      </c>
    </row>
    <row r="153" spans="2:11" ht="14.25" customHeight="1" x14ac:dyDescent="0.2">
      <c r="B153" s="55"/>
      <c r="F153" s="77"/>
      <c r="G153" s="126"/>
      <c r="H153" s="78"/>
      <c r="I153" s="126"/>
    </row>
    <row r="156" spans="2:11" ht="28.5" customHeight="1" x14ac:dyDescent="0.25">
      <c r="B156" s="92" t="str">
        <f>IF('Limestone Plant (LP-6)'!$E$4&gt;9,"CRUSHER PLANT","")</f>
        <v/>
      </c>
      <c r="C156" s="84" t="str">
        <f>IF('Limestone Plant (LP-6)'!$E$4&gt;9,"Site 10","")</f>
        <v/>
      </c>
      <c r="E156" s="213" t="str">
        <f>IF('Limestone Plant (LP-6)'!$E$4&gt;9,"Emission Point #","")</f>
        <v/>
      </c>
      <c r="F156" s="213" t="str">
        <f>IF('Limestone Plant (LP-6)'!$E$4&gt;9,"Emission    Unit #","")</f>
        <v/>
      </c>
      <c r="G156" s="213" t="str">
        <f>IF('Limestone Plant (LP-6)'!$E$4&gt;9,"Processes","")</f>
        <v/>
      </c>
      <c r="H156" s="220" t="str">
        <f>IF('Limestone Plant (LP-6)'!$E$4&gt;9,"Combined Maximum Hourly Design Rate for all Like Processes (tons/hr)","")</f>
        <v/>
      </c>
      <c r="I156" s="213" t="str">
        <f>IF('Limestone Plant (LP-6)'!$E$4&gt;9,('Facility Information'!G5&amp;" Annual Throughput (tons)"),"")</f>
        <v/>
      </c>
    </row>
    <row r="157" spans="2:11" ht="14.25" customHeight="1" x14ac:dyDescent="0.2">
      <c r="B157" s="94" t="str">
        <f>IF('Limestone Plant (LP-6)'!$E$4&gt;9,"Site Name:","")</f>
        <v/>
      </c>
      <c r="C157" s="76"/>
      <c r="D157" s="55"/>
      <c r="E157" s="166" t="str">
        <f>IF(G157="","","LP-6 EP-1")</f>
        <v/>
      </c>
      <c r="F157" s="166" t="str">
        <f>IF(G157="","",IF(G157="primary crusher","LP-6 EU-1",IF(G157="screening","LP-6 EU-2",IF(G157="secondary crusher","LP-6 EU-3",IF(G157="tertiary crusher","LP-6 EU-4",IF(G157="fines crushing","LP-6 EU-5",IF(G157="fines screening","LP-6 EU-6",IF(G157="wet drilling: unfragmented stone","LP-6 EU-7",IF(G157="conveyor transfer points","LP-6 EU-8")))))))))</f>
        <v/>
      </c>
      <c r="G157" s="98"/>
      <c r="H157" s="71"/>
      <c r="I157" s="184"/>
      <c r="J157" s="81">
        <f>IF($C161="no",I157,0)</f>
        <v>0</v>
      </c>
      <c r="K157" s="81">
        <f>IF($C161="yes",I157,0)</f>
        <v>0</v>
      </c>
    </row>
    <row r="158" spans="2:11" ht="14.25" customHeight="1" x14ac:dyDescent="0.2">
      <c r="B158" s="94" t="str">
        <f>IF('Limestone Plant (LP-6)'!$E$4&gt;9,"County:","")</f>
        <v/>
      </c>
      <c r="C158" s="76"/>
      <c r="D158" s="55"/>
      <c r="E158" s="166" t="str">
        <f t="shared" ref="E158:E164" si="44">IF(G158="","","LP-6 EP-1")</f>
        <v/>
      </c>
      <c r="F158" s="166" t="str">
        <f t="shared" ref="F158:F164" si="45">IF(G158="","",IF(G158="primary crusher","LP-6 EU-1",IF(G158="screening","LP-6 EU-2",IF(G158="secondary crusher","LP-6 EU-3",IF(G158="tertiary crusher","LP-6 EU-4",IF(G158="fines crushing","LP-6 EU-5",IF(G158="fines screening","LP-6 EU-6",IF(G158="wet drilling: unfragmented stone","LP-6 EU-7",IF(G158="conveyor transfer points","LP-6 EU-8")))))))))</f>
        <v/>
      </c>
      <c r="G158" s="98"/>
      <c r="H158" s="71"/>
      <c r="I158" s="184"/>
      <c r="J158" s="81">
        <f t="shared" ref="J158:J164" si="46">IF($C162="no",I158,0)</f>
        <v>0</v>
      </c>
      <c r="K158" s="81">
        <f t="shared" ref="K158:K164" si="47">IF($C162="yes",I158,0)</f>
        <v>0</v>
      </c>
    </row>
    <row r="159" spans="2:11" ht="14.25" customHeight="1" x14ac:dyDescent="0.2">
      <c r="B159" s="94" t="str">
        <f>IF('Limestone Plant (LP-6)'!$E$4&gt;9,"Crushing Period (Dates):","")</f>
        <v/>
      </c>
      <c r="C159" s="76"/>
      <c r="D159" s="55"/>
      <c r="E159" s="166" t="str">
        <f t="shared" si="44"/>
        <v/>
      </c>
      <c r="F159" s="166" t="str">
        <f t="shared" si="45"/>
        <v/>
      </c>
      <c r="G159" s="98"/>
      <c r="H159" s="71"/>
      <c r="I159" s="184"/>
      <c r="J159" s="81">
        <f t="shared" si="46"/>
        <v>0</v>
      </c>
      <c r="K159" s="81">
        <f t="shared" si="47"/>
        <v>0</v>
      </c>
    </row>
    <row r="160" spans="2:11" ht="14.25" customHeight="1" x14ac:dyDescent="0.2">
      <c r="B160" s="281" t="str">
        <f>IF('Limestone Plant (LP-6)'!$E$4&gt;9,"Controlled with Dust Suppressant or","")</f>
        <v/>
      </c>
      <c r="D160" s="55"/>
      <c r="E160" s="166" t="str">
        <f t="shared" si="44"/>
        <v/>
      </c>
      <c r="F160" s="166" t="str">
        <f t="shared" si="45"/>
        <v/>
      </c>
      <c r="G160" s="98"/>
      <c r="H160" s="71"/>
      <c r="I160" s="184"/>
      <c r="J160" s="81">
        <f t="shared" si="46"/>
        <v>0</v>
      </c>
      <c r="K160" s="81">
        <f t="shared" si="47"/>
        <v>0</v>
      </c>
    </row>
    <row r="161" spans="2:11" ht="14.25" customHeight="1" x14ac:dyDescent="0.2">
      <c r="B161" s="282" t="str">
        <f>IF('Limestone Plant (LP-6)'!$E$4&gt;9,"Material Being Processed has","")</f>
        <v/>
      </c>
      <c r="C161" s="280"/>
      <c r="D161" s="55"/>
      <c r="E161" s="166" t="str">
        <f t="shared" si="44"/>
        <v/>
      </c>
      <c r="F161" s="166" t="str">
        <f t="shared" si="45"/>
        <v/>
      </c>
      <c r="G161" s="98"/>
      <c r="H161" s="71"/>
      <c r="I161" s="184"/>
      <c r="J161" s="81">
        <f t="shared" si="46"/>
        <v>0</v>
      </c>
      <c r="K161" s="81">
        <f t="shared" si="47"/>
        <v>0</v>
      </c>
    </row>
    <row r="162" spans="2:11" ht="14.25" customHeight="1" x14ac:dyDescent="0.2">
      <c r="B162" s="284" t="str">
        <f>IF('Limestone Plant (LP-6)'!$E$4&gt;9,"Moisture Content &gt; 1.5%?","")</f>
        <v/>
      </c>
      <c r="C162" s="55"/>
      <c r="D162" s="55"/>
      <c r="E162" s="166" t="str">
        <f t="shared" si="44"/>
        <v/>
      </c>
      <c r="F162" s="166" t="str">
        <f t="shared" si="45"/>
        <v/>
      </c>
      <c r="G162" s="98"/>
      <c r="H162" s="71"/>
      <c r="I162" s="184"/>
      <c r="J162" s="81">
        <f t="shared" si="46"/>
        <v>0</v>
      </c>
      <c r="K162" s="81">
        <f t="shared" si="47"/>
        <v>0</v>
      </c>
    </row>
    <row r="163" spans="2:11" ht="14.25" customHeight="1" x14ac:dyDescent="0.2">
      <c r="B163" s="55"/>
      <c r="D163" s="55"/>
      <c r="E163" s="166" t="str">
        <f t="shared" si="44"/>
        <v/>
      </c>
      <c r="F163" s="166" t="str">
        <f t="shared" si="45"/>
        <v/>
      </c>
      <c r="G163" s="98"/>
      <c r="H163" s="71"/>
      <c r="I163" s="184"/>
      <c r="J163" s="81">
        <f t="shared" si="46"/>
        <v>0</v>
      </c>
      <c r="K163" s="81">
        <f t="shared" si="47"/>
        <v>0</v>
      </c>
    </row>
    <row r="164" spans="2:11" ht="14.25" customHeight="1" x14ac:dyDescent="0.2">
      <c r="B164" s="55"/>
      <c r="C164" s="55"/>
      <c r="D164" s="55"/>
      <c r="E164" s="166" t="str">
        <f t="shared" si="44"/>
        <v/>
      </c>
      <c r="F164" s="166" t="str">
        <f t="shared" si="45"/>
        <v/>
      </c>
      <c r="G164" s="98"/>
      <c r="H164" s="71"/>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(LP-6)'!$E$4&gt;9,"Stock Pile Area","")</f>
        <v/>
      </c>
      <c r="F166" s="88"/>
      <c r="G166" s="89"/>
    </row>
    <row r="167" spans="2:11" ht="14.25" customHeight="1" x14ac:dyDescent="0.2">
      <c r="B167" s="55"/>
      <c r="D167" s="90"/>
      <c r="F167" s="60" t="str">
        <f>IF('Limestone Plant (LP-6)'!$E$4&gt;9,"Emission Unit #","")</f>
        <v/>
      </c>
      <c r="G167" s="95" t="str">
        <f>IF('Limestone Plant (LP-6)'!$E$4&gt;9,"Maximum Storage Area (acres)","")</f>
        <v/>
      </c>
      <c r="H167" s="96" t="str">
        <f>IF('Limestone Plant (LP-6)'!$E$4&gt;9,"Actual Storage Area (acres)","")</f>
        <v/>
      </c>
      <c r="I167" s="95" t="str">
        <f>IF('Limestone Plant (LP-6)'!$E$4&gt;9,"Actual Days in Existence (days)","")</f>
        <v/>
      </c>
    </row>
    <row r="168" spans="2:11" ht="14.25" customHeight="1" x14ac:dyDescent="0.2">
      <c r="F168" s="77"/>
      <c r="G168" s="126"/>
      <c r="H168" s="78"/>
      <c r="I168" s="126"/>
    </row>
  </sheetData>
  <sheetProtection algorithmName="SHA-512" hashValue="SSDDeWgOObY/P9wU3Qr1gtNki9ZScXvzU5phlfwHsTIzNbeKYrXaCBwezj1FSRGeGQUgQ4clynP2snSazAAzBg==" saltValue="xzUhO2Fx/eP0BVTh3MTgKA==" spinCount="100000" sheet="1" objects="1" scenarios="1"/>
  <conditionalFormatting sqref="F46:I46 B157:B159 B142:B144 B127:B129 B112:B114 B97:B99 B82:B84 B67:B69 B52:B54 B36:B38">
    <cfRule type="notContainsBlanks" dxfId="363" priority="73" stopIfTrue="1">
      <formula>LEN(TRIM(B36))&gt;0</formula>
    </cfRule>
  </conditionalFormatting>
  <conditionalFormatting sqref="F46:I47 D35:I35 D46:D47 D44:I45 D36:D43 G36:I43 B43:C47 B42 C40:C41 B35:C38">
    <cfRule type="cellIs" dxfId="362" priority="70" stopIfTrue="1" operator="equal">
      <formula>$B$35="crusher plant"</formula>
    </cfRule>
  </conditionalFormatting>
  <conditionalFormatting sqref="C44 B35:C35">
    <cfRule type="notContainsBlanks" dxfId="361" priority="74" stopIfTrue="1">
      <formula>LEN(TRIM(B35))&gt;0</formula>
    </cfRule>
  </conditionalFormatting>
  <conditionalFormatting sqref="F62:I62">
    <cfRule type="notContainsBlanks" dxfId="360" priority="69" stopIfTrue="1">
      <formula>LEN(TRIM(F62))&gt;0</formula>
    </cfRule>
  </conditionalFormatting>
  <conditionalFormatting sqref="F62:I63 D51:I51 D62:D63 D60:I61 D52:D59 G52:I59 B59:C63 B58 C56:C57 B51:C54">
    <cfRule type="cellIs" dxfId="359" priority="66" stopIfTrue="1" operator="equal">
      <formula>$B$51="crusher plant"</formula>
    </cfRule>
  </conditionalFormatting>
  <conditionalFormatting sqref="C60 B51:C51">
    <cfRule type="notContainsBlanks" dxfId="358" priority="75" stopIfTrue="1">
      <formula>LEN(TRIM(B51))&gt;0</formula>
    </cfRule>
  </conditionalFormatting>
  <conditionalFormatting sqref="F77:I77">
    <cfRule type="notContainsBlanks" dxfId="357" priority="64" stopIfTrue="1">
      <formula>LEN(TRIM(F77))&gt;0</formula>
    </cfRule>
  </conditionalFormatting>
  <conditionalFormatting sqref="F77:I78 D77:D78 D66:I66 D75:I76 D67:D74 G67:I74 B74:C78 B73 C71:C72 B66:C69">
    <cfRule type="cellIs" dxfId="356" priority="61" stopIfTrue="1" operator="equal">
      <formula>$B$66="crusher plant"</formula>
    </cfRule>
  </conditionalFormatting>
  <conditionalFormatting sqref="C75 B66:C66">
    <cfRule type="notContainsBlanks" dxfId="355" priority="65" stopIfTrue="1">
      <formula>LEN(TRIM(B66))&gt;0</formula>
    </cfRule>
  </conditionalFormatting>
  <conditionalFormatting sqref="F92:I92">
    <cfRule type="notContainsBlanks" dxfId="354" priority="59" stopIfTrue="1">
      <formula>LEN(TRIM(F92))&gt;0</formula>
    </cfRule>
  </conditionalFormatting>
  <conditionalFormatting sqref="F92:I93 D92:D93 D81:I81 D90:I91 D82:D89 G82:I89 B89:C93 B88 C86:C87 B81:C84">
    <cfRule type="cellIs" dxfId="353" priority="56" stopIfTrue="1" operator="equal">
      <formula>$B$81="crusher plant"</formula>
    </cfRule>
  </conditionalFormatting>
  <conditionalFormatting sqref="C90 B81:C81">
    <cfRule type="notContainsBlanks" dxfId="352" priority="60" stopIfTrue="1">
      <formula>LEN(TRIM(B81))&gt;0</formula>
    </cfRule>
  </conditionalFormatting>
  <conditionalFormatting sqref="F107:I107">
    <cfRule type="notContainsBlanks" dxfId="351" priority="54" stopIfTrue="1">
      <formula>LEN(TRIM(F107))&gt;0</formula>
    </cfRule>
  </conditionalFormatting>
  <conditionalFormatting sqref="F107:I108 D96:I96 D107:D108 D105:I106 D97:D104 G97:I104 B104:C108 B103 C101:C102 B96:C99">
    <cfRule type="cellIs" dxfId="350" priority="51" stopIfTrue="1" operator="equal">
      <formula>$B$96="crusher plant"</formula>
    </cfRule>
  </conditionalFormatting>
  <conditionalFormatting sqref="C105 B96:C96">
    <cfRule type="notContainsBlanks" dxfId="349" priority="55" stopIfTrue="1">
      <formula>LEN(TRIM(B96))&gt;0</formula>
    </cfRule>
  </conditionalFormatting>
  <conditionalFormatting sqref="F122:I122">
    <cfRule type="notContainsBlanks" dxfId="348" priority="49" stopIfTrue="1">
      <formula>LEN(TRIM(F122))&gt;0</formula>
    </cfRule>
  </conditionalFormatting>
  <conditionalFormatting sqref="F122:I123 D111:I111 D122:D123 D120:I121 D112:D119 G112:I119 B119:C123 B118 C116:C117 B111:C114">
    <cfRule type="cellIs" dxfId="347" priority="46" stopIfTrue="1" operator="equal">
      <formula>$B$111="crusher plant"</formula>
    </cfRule>
  </conditionalFormatting>
  <conditionalFormatting sqref="C120 B111:C111">
    <cfRule type="notContainsBlanks" dxfId="346" priority="50" stopIfTrue="1">
      <formula>LEN(TRIM(B111))&gt;0</formula>
    </cfRule>
  </conditionalFormatting>
  <conditionalFormatting sqref="F137:I137">
    <cfRule type="notContainsBlanks" dxfId="345" priority="44" stopIfTrue="1">
      <formula>LEN(TRIM(F137))&gt;0</formula>
    </cfRule>
  </conditionalFormatting>
  <conditionalFormatting sqref="F137:I138 D137:D138 D126:I126 D135:I136 D127:D134 G127:I134 B134:C138 B133 C131:C132 B126:C129">
    <cfRule type="cellIs" dxfId="344" priority="41" stopIfTrue="1" operator="equal">
      <formula>$B$126="crusher plant"</formula>
    </cfRule>
  </conditionalFormatting>
  <conditionalFormatting sqref="C135 B126:C126">
    <cfRule type="notContainsBlanks" dxfId="343" priority="45" stopIfTrue="1">
      <formula>LEN(TRIM(B126))&gt;0</formula>
    </cfRule>
  </conditionalFormatting>
  <conditionalFormatting sqref="F152:I152">
    <cfRule type="notContainsBlanks" dxfId="342" priority="39" stopIfTrue="1">
      <formula>LEN(TRIM(F152))&gt;0</formula>
    </cfRule>
  </conditionalFormatting>
  <conditionalFormatting sqref="F152:I153 D141:I141 D152:D153 D150:I151 D142:D149 G142:I149 B149:C153 B148 C146:C147 B141:C144">
    <cfRule type="cellIs" dxfId="341" priority="36" stopIfTrue="1" operator="equal">
      <formula>$B$141="crusher plant"</formula>
    </cfRule>
  </conditionalFormatting>
  <conditionalFormatting sqref="C150 B141:C141">
    <cfRule type="notContainsBlanks" dxfId="340" priority="40" stopIfTrue="1">
      <formula>LEN(TRIM(B141))&gt;0</formula>
    </cfRule>
  </conditionalFormatting>
  <conditionalFormatting sqref="F167:I167">
    <cfRule type="notContainsBlanks" dxfId="339" priority="34" stopIfTrue="1">
      <formula>LEN(TRIM(F167))&gt;0</formula>
    </cfRule>
  </conditionalFormatting>
  <conditionalFormatting sqref="F167:I168 D156:I156 D167:D168 D165:I166 D157:D164 G157:I164 B164:C167 B163 C161:C162 B156:C159">
    <cfRule type="cellIs" dxfId="338" priority="31" stopIfTrue="1" operator="equal">
      <formula>$B$156="crusher plant"</formula>
    </cfRule>
  </conditionalFormatting>
  <conditionalFormatting sqref="C165 B156:C156">
    <cfRule type="notContainsBlanks" dxfId="337" priority="35" stopIfTrue="1">
      <formula>LEN(TRIM(B156))&gt;0</formula>
    </cfRule>
  </conditionalFormatting>
  <conditionalFormatting sqref="E36:E43">
    <cfRule type="expression" dxfId="336" priority="29">
      <formula>$B$35="crusher plant"</formula>
    </cfRule>
  </conditionalFormatting>
  <conditionalFormatting sqref="E52:E59">
    <cfRule type="expression" dxfId="335" priority="27">
      <formula>$B$51="crusher plant"</formula>
    </cfRule>
  </conditionalFormatting>
  <conditionalFormatting sqref="E67:E74">
    <cfRule type="expression" dxfId="334" priority="26">
      <formula>$B$66="crusher plant"</formula>
    </cfRule>
  </conditionalFormatting>
  <conditionalFormatting sqref="E82:E89">
    <cfRule type="expression" dxfId="333" priority="25">
      <formula>$B$81="crusher plant"</formula>
    </cfRule>
  </conditionalFormatting>
  <conditionalFormatting sqref="E97:E104">
    <cfRule type="expression" dxfId="332" priority="24">
      <formula>$B$96="crusher plant"</formula>
    </cfRule>
  </conditionalFormatting>
  <conditionalFormatting sqref="E112:E119">
    <cfRule type="expression" dxfId="331" priority="23">
      <formula>$B$111="crusher plant"</formula>
    </cfRule>
  </conditionalFormatting>
  <conditionalFormatting sqref="E127:E134">
    <cfRule type="expression" dxfId="330" priority="22">
      <formula>$B$126="crusher plant"</formula>
    </cfRule>
  </conditionalFormatting>
  <conditionalFormatting sqref="E142:E149">
    <cfRule type="expression" dxfId="329" priority="21">
      <formula>$B$141="crusher plant"</formula>
    </cfRule>
  </conditionalFormatting>
  <conditionalFormatting sqref="E157:E164">
    <cfRule type="expression" dxfId="328" priority="20">
      <formula>$B$156="crusher plant"</formula>
    </cfRule>
  </conditionalFormatting>
  <conditionalFormatting sqref="F21:F28">
    <cfRule type="notContainsBlanks" dxfId="327" priority="19">
      <formula>LEN(TRIM(F21))&gt;0</formula>
    </cfRule>
  </conditionalFormatting>
  <conditionalFormatting sqref="F36:F43">
    <cfRule type="expression" dxfId="326" priority="18">
      <formula>$B$35="crusher plant"</formula>
    </cfRule>
  </conditionalFormatting>
  <conditionalFormatting sqref="F52:F59">
    <cfRule type="expression" dxfId="325" priority="17">
      <formula>$B$51="crusher plant"</formula>
    </cfRule>
  </conditionalFormatting>
  <conditionalFormatting sqref="F67:F74">
    <cfRule type="expression" dxfId="324" priority="16">
      <formula>$B$66="crusher plant"</formula>
    </cfRule>
  </conditionalFormatting>
  <conditionalFormatting sqref="F82:F89">
    <cfRule type="expression" dxfId="323" priority="15">
      <formula>$B$81="crusher plant"</formula>
    </cfRule>
  </conditionalFormatting>
  <conditionalFormatting sqref="F97:F104">
    <cfRule type="expression" dxfId="322" priority="14">
      <formula>$B$96="crusher plant"</formula>
    </cfRule>
  </conditionalFormatting>
  <conditionalFormatting sqref="F112:F119">
    <cfRule type="expression" dxfId="321" priority="13">
      <formula>$B$111="crusher plant"</formula>
    </cfRule>
  </conditionalFormatting>
  <conditionalFormatting sqref="F127:F134">
    <cfRule type="expression" dxfId="320" priority="12">
      <formula>$B$126="crusher plant"</formula>
    </cfRule>
  </conditionalFormatting>
  <conditionalFormatting sqref="F142:F149">
    <cfRule type="expression" dxfId="319" priority="11">
      <formula>$B$141="crusher plant"</formula>
    </cfRule>
  </conditionalFormatting>
  <conditionalFormatting sqref="F157:F164">
    <cfRule type="expression" dxfId="318" priority="10">
      <formula>$B$156="crusher plant"</formula>
    </cfRule>
  </conditionalFormatting>
  <conditionalFormatting sqref="B39:B41">
    <cfRule type="cellIs" dxfId="317" priority="9" stopIfTrue="1" operator="equal">
      <formula>$B$35="crusher plant"</formula>
    </cfRule>
  </conditionalFormatting>
  <conditionalFormatting sqref="B55:B57">
    <cfRule type="cellIs" dxfId="316" priority="8" stopIfTrue="1" operator="equal">
      <formula>$B$35="crusher plant"</formula>
    </cfRule>
  </conditionalFormatting>
  <conditionalFormatting sqref="B70:B72">
    <cfRule type="cellIs" dxfId="315" priority="7" stopIfTrue="1" operator="equal">
      <formula>$B$35="crusher plant"</formula>
    </cfRule>
  </conditionalFormatting>
  <conditionalFormatting sqref="B85:B87">
    <cfRule type="cellIs" dxfId="314" priority="6" stopIfTrue="1" operator="equal">
      <formula>$B$35="crusher plant"</formula>
    </cfRule>
  </conditionalFormatting>
  <conditionalFormatting sqref="B100:B102">
    <cfRule type="cellIs" dxfId="313" priority="5" stopIfTrue="1" operator="equal">
      <formula>$B$35="crusher plant"</formula>
    </cfRule>
  </conditionalFormatting>
  <conditionalFormatting sqref="B115:B117">
    <cfRule type="cellIs" dxfId="312" priority="4" stopIfTrue="1" operator="equal">
      <formula>$B$35="crusher plant"</formula>
    </cfRule>
  </conditionalFormatting>
  <conditionalFormatting sqref="B130:B132">
    <cfRule type="cellIs" dxfId="311" priority="3" stopIfTrue="1" operator="equal">
      <formula>$B$35="crusher plant"</formula>
    </cfRule>
  </conditionalFormatting>
  <conditionalFormatting sqref="B145:B147">
    <cfRule type="cellIs" dxfId="310" priority="2" stopIfTrue="1" operator="equal">
      <formula>$B$35="crusher plant"</formula>
    </cfRule>
  </conditionalFormatting>
  <conditionalFormatting sqref="B160:B162">
    <cfRule type="cellIs" dxfId="309" priority="1" stopIfTrue="1" operator="equal">
      <formula>$B$35="crusher plant"</formula>
    </cfRule>
  </conditionalFormatting>
  <dataValidations count="3">
    <dataValidation type="whole" allowBlank="1" showInputMessage="1" showErrorMessage="1" sqref="C18 E4 D5" xr:uid="{00000000-0002-0000-0600-000000000000}">
      <formula1>0</formula1>
      <formula2>100</formula2>
    </dataValidation>
    <dataValidation type="list" allowBlank="1" showInputMessage="1" showErrorMessage="1" sqref="G21:G28 G36:G43 G52:G59 G67:G74 G82:G89 G97:G104 G112:G119 G127:G134 G142:G149 G157:G164" xr:uid="{00000000-0002-0000-0600-000001000000}">
      <formula1>process</formula1>
    </dataValidation>
    <dataValidation type="list" allowBlank="1" showInputMessage="1" showErrorMessage="1" sqref="C25 C40 C56 C71 C86 C101 C116 C131 C146 C161" xr:uid="{00000000-0002-0000-0600-000002000000}">
      <formula1>CHECK</formula1>
    </dataValidation>
  </dataValidations>
  <pageMargins left="0.7" right="0.7" top="0.75" bottom="0.75" header="0.3" footer="0.3"/>
  <pageSetup scale="70" fitToHeight="0" orientation="landscape"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S168"/>
  <sheetViews>
    <sheetView topLeftCell="B1" workbookViewId="0">
      <selection activeCell="B1" sqref="B1"/>
    </sheetView>
  </sheetViews>
  <sheetFormatPr defaultColWidth="8.85546875" defaultRowHeight="14.25" customHeight="1" x14ac:dyDescent="0.2"/>
  <cols>
    <col min="1" max="1" width="36.2851562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9" style="80" customWidth="1"/>
    <col min="10" max="10" width="11.42578125" style="81" hidden="1" customWidth="1"/>
    <col min="11" max="11" width="14" style="81" hidden="1" customWidth="1"/>
    <col min="12" max="12" width="7" style="80" customWidth="1"/>
    <col min="13" max="13" width="26.85546875" style="80" customWidth="1"/>
    <col min="14" max="14" width="17.7109375" style="80" customWidth="1"/>
    <col min="15" max="15" width="20.42578125" style="80" customWidth="1"/>
    <col min="16" max="16" width="20.42578125" style="80" hidden="1" customWidth="1"/>
    <col min="17" max="18" width="16.42578125" style="80" hidden="1" customWidth="1"/>
    <col min="19" max="19" width="20.42578125" style="80" customWidth="1"/>
    <col min="20" max="16384" width="8.85546875" style="80"/>
  </cols>
  <sheetData>
    <row r="1" spans="2:19" ht="14.25" customHeight="1" x14ac:dyDescent="0.2">
      <c r="B1" s="292" t="s">
        <v>151</v>
      </c>
      <c r="C1" s="292"/>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$35,MATCH("Screening",$G$36:$G$43,0)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SUM(G32,G47,G63,G78,G93,G108,G123,G138,G153,G168)</f>
        <v>0</v>
      </c>
      <c r="O14" s="110">
        <f>SUM(H32*I32,H47*I47,H63*I63,H78*I78,H93*I93,H108*I108,H123*I123,H138*I138,H153*I153,H168*I168)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213" t="str">
        <f>('Facility Information'!G5&amp;" Annual Throughput (tons)")</f>
        <v xml:space="preserve"> Annual Throughput (tons)</v>
      </c>
      <c r="J20" s="81" t="s">
        <v>132</v>
      </c>
      <c r="K20" s="81" t="s">
        <v>133</v>
      </c>
      <c r="M20" s="109" t="s">
        <v>38</v>
      </c>
      <c r="N20" s="136">
        <f t="shared" ref="N20:N27" ca="1" si="0">N5</f>
        <v>0</v>
      </c>
      <c r="O20" s="145">
        <f ca="1">IF(N20=0,0,IF(OR($C$25="no",$C$40="no",$C$56="no",$C$71="no",$C$86="no",$C$101="no",$C$116="no",$C$131="no",$C$146="no",$C$161="no"),'Emission Factors'!D8,'Emission Factors'!D20))</f>
        <v>0</v>
      </c>
      <c r="P20" s="136" t="str">
        <f t="shared" ref="P20:P27" si="1">IF(OR($C$25="no",$C$40="no",$C$56="no",$C$71="no",$C$86="no",$C$101="no",$C$116="no",$C$131="no",$C$146="no",$C$161="no"),N20*O20,"")</f>
        <v/>
      </c>
      <c r="Q20" s="136">
        <f t="shared" ref="Q20:Q27" ca="1" si="2">IF($F$10&gt;0,$F$10,IF(OR($C$25="no",$C$40="no",$C$56="no",$C$71="no",$C$86="no",$C$101="no",$C$116="no",$C$131="no",$C$146="no",$C$161="no"),"",N20*O20))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IF(G21="","","LP-7 EP-1")</f>
        <v/>
      </c>
      <c r="F21" s="165" t="str">
        <f>IF(G21="","",IF(G21="primary crusher","LP-7 EU-1",IF(G21="screening","LP-7 EU-2",IF(G21="secondary crusher","LP-7 EU-3",IF(G21="tertiary crusher","LP-7 EU-4",IF(G21="fines crushing","LP-7 EU-5",IF(G21="fines screening","LP-7 EU-6",IF(G21="wet drilling: unfragmented stone","LP-7 EU-7",IF(G21="conveyor transfer points","LP-7 EU-8")))))))))</f>
        <v/>
      </c>
      <c r="G21" s="98"/>
      <c r="H21" s="71"/>
      <c r="I21" s="184"/>
      <c r="J21" s="81">
        <f>IF($C25="no",I21,0)</f>
        <v>0</v>
      </c>
      <c r="K21" s="81">
        <f t="shared" ref="K21:K28" si="3">IF($C$25="yes",I21,0)</f>
        <v>0</v>
      </c>
      <c r="M21" s="109" t="s">
        <v>36</v>
      </c>
      <c r="N21" s="136">
        <f t="shared" ca="1" si="0"/>
        <v>0</v>
      </c>
      <c r="O21" s="145">
        <f ca="1">IF(N21=0,0,IF(OR($C$25="no",$C$40="no",$C$56="no",$C$71="no",$C$86="no",$C$101="no",$C$116="no",$C$131="no",$C$146="no",$C$161="no"),'Emission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IF(G22="","","LP-7 EP-1")</f>
        <v/>
      </c>
      <c r="F22" s="165" t="str">
        <f t="shared" ref="F22:F28" si="6">IF(G22="","",IF(G22="primary crusher","LP-7 EU-1",IF(G22="screening","LP-7 EU-2",IF(G22="secondary crusher","LP-7 EU-3",IF(G22="tertiary crusher","LP-7 EU-4",IF(G22="fines crushing","LP-7 EU-5",IF(G22="fines screening","LP-7 EU-6",IF(G22="wet drilling: unfragmented stone","LP-7 EU-7",IF(G22="conveyor transfer points","LP-7 EU-8")))))))))</f>
        <v/>
      </c>
      <c r="G22" s="98"/>
      <c r="H22" s="71"/>
      <c r="I22" s="184"/>
      <c r="J22" s="81">
        <f t="shared" ref="J22:J28" si="7">IF($C$25="no",I22,0)</f>
        <v>0</v>
      </c>
      <c r="K22" s="81">
        <f t="shared" si="3"/>
        <v>0</v>
      </c>
      <c r="M22" s="109" t="s">
        <v>37</v>
      </c>
      <c r="N22" s="136">
        <f t="shared" ca="1" si="0"/>
        <v>0</v>
      </c>
      <c r="O22" s="145">
        <f ca="1">IF(N22=0,0,IF(OR($C$25="no",$C$40="no",$C$56="no",$C$71="no",$C$86="no",$C$101="no",$C$116="no",$C$131="no",$C$146="no",$C$161="no"),'Emission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71"/>
      <c r="I23" s="184"/>
      <c r="J23" s="81">
        <f t="shared" si="7"/>
        <v>0</v>
      </c>
      <c r="K23" s="81">
        <f t="shared" si="3"/>
        <v>0</v>
      </c>
      <c r="M23" s="109" t="s">
        <v>39</v>
      </c>
      <c r="N23" s="136">
        <f t="shared" ca="1" si="0"/>
        <v>0</v>
      </c>
      <c r="O23" s="145">
        <f ca="1">IF(N23=0,0,IF(OR(C25="no",C40="no",C56="no",C71="no",C86="no",C101="no",C116="no",C131="no",C146="no",C161="no"),'Emission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6">
        <f t="shared" ca="1" si="0"/>
        <v>0</v>
      </c>
      <c r="O24" s="145">
        <f ca="1">IF(N24=0,0,IF(OR(C25="no",C40="no",C56="no",C71="no",C86="no",C101="no",C116="no",C131="no",C146="no",C161="no"),'Emission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71"/>
      <c r="I25" s="184"/>
      <c r="J25" s="81">
        <f t="shared" si="7"/>
        <v>0</v>
      </c>
      <c r="K25" s="81">
        <f t="shared" si="3"/>
        <v>0</v>
      </c>
      <c r="M25" s="109" t="s">
        <v>41</v>
      </c>
      <c r="N25" s="136">
        <f t="shared" ca="1" si="0"/>
        <v>0</v>
      </c>
      <c r="O25" s="145">
        <f ca="1">IF(N25=0,0,IF(OR($C$25="no",$C$40="no",$C$56="no",$C$71="no",$C$86="no",$C$101="no",$C$116="no",$C$131="no",$C$146="no",$C$161="no"),'Emission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71"/>
      <c r="I26" s="184"/>
      <c r="J26" s="81">
        <f t="shared" si="7"/>
        <v>0</v>
      </c>
      <c r="K26" s="81">
        <f t="shared" si="3"/>
        <v>0</v>
      </c>
      <c r="M26" s="109" t="s">
        <v>42</v>
      </c>
      <c r="N26" s="136">
        <f t="shared" ca="1" si="0"/>
        <v>0</v>
      </c>
      <c r="O26" s="145">
        <f ca="1">IF(N26=0,0,IF(OR(C25="no",C40="no",C56="no",C71="no",C86="no",C101="no",C116="no",C131="no",C146="no",C161="no"),'Emission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D27" s="55"/>
      <c r="E27" s="165" t="str">
        <f t="shared" si="5"/>
        <v/>
      </c>
      <c r="F27" s="165" t="str">
        <f t="shared" si="6"/>
        <v/>
      </c>
      <c r="G27" s="98"/>
      <c r="H27" s="71"/>
      <c r="I27" s="184"/>
      <c r="J27" s="81">
        <f t="shared" si="7"/>
        <v>0</v>
      </c>
      <c r="K27" s="81">
        <f t="shared" si="3"/>
        <v>0</v>
      </c>
      <c r="M27" s="109" t="s">
        <v>43</v>
      </c>
      <c r="N27" s="136">
        <f t="shared" ca="1" si="0"/>
        <v>0</v>
      </c>
      <c r="O27" s="145">
        <f ca="1">IF(N27=0,0,IF(OR(C25="no",C40="no",C56="no",C71="no",C86="no",C101="no",C116="no",C131="no",C146="no",C161="no"),'Emission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C28" s="55"/>
      <c r="D28" s="55"/>
      <c r="E28" s="165" t="str">
        <f t="shared" si="5"/>
        <v/>
      </c>
      <c r="F28" s="165" t="str">
        <f t="shared" si="6"/>
        <v/>
      </c>
      <c r="G28" s="98"/>
      <c r="H28" s="71"/>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IF(N29=0,0,IF(OR($C$25="no",$C$40="no",$C$56="no",$C$71="no",$C$86="no",$C$101="no",$C$116="no",$C$131="no",$C$146="no",$C$161="no"),'Emission Factors'!F8,'Emission Factors'!F20))</f>
        <v>0</v>
      </c>
      <c r="P29" s="136" t="str">
        <f t="shared" ref="P29:P36" si="8">IF(OR($C$25="no",$C$40="no",$C$56="no",$C$71="no",$C$86="no",$C$101="no",$C$116="no",$C$131="no",$C$146="no",$C$161="no"),N29*O29,"")</f>
        <v/>
      </c>
      <c r="Q29" s="136">
        <f t="shared" ref="Q29:Q36" ca="1" si="9">IF($F$11&gt;0,$F$11,IF(OR($C$25="no",$C$40="no",$C$56="no",$C$71="no",$C$86="no",$C$101="no",$C$116="no",$C$131="no",$C$146="no",$C$161="no"),"",N29*O29))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5" ca="1" si="10">N6</f>
        <v>0</v>
      </c>
      <c r="O30" s="145">
        <f ca="1">IF(N30=0,0,IF(OR($C$25="no",$C$40="no",$C$56="no",$C$71="no",$C$86="no",$C$101="no",$C$116="no",$C$131="no",$C$146="no",$C$161="no"),'Emission Factors'!F9,'Emission Factors'!F21))</f>
        <v>0</v>
      </c>
      <c r="P30" s="140" t="str">
        <f t="shared" si="8"/>
        <v/>
      </c>
      <c r="Q30" s="136">
        <f t="shared" ca="1" si="9"/>
        <v>0</v>
      </c>
      <c r="R30" s="136">
        <f t="shared" ref="R30:R35"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7.75" customHeight="1" x14ac:dyDescent="0.25">
      <c r="A35" s="80">
        <f>C36</f>
        <v>0</v>
      </c>
      <c r="B35" s="92" t="str">
        <f>IF('Limestone Plant (LP-7)'!$E$4&gt;1,"CRUSHER PLANT","")</f>
        <v/>
      </c>
      <c r="C35" s="84" t="str">
        <f>IF('Limestone Plant (LP-7)'!$E$4&gt;1,"Site 2","")</f>
        <v/>
      </c>
      <c r="E35" s="213" t="str">
        <f>IF('Limestone Plant (LP-7)'!$E$4&gt;1,"Emission Point #","")</f>
        <v/>
      </c>
      <c r="F35" s="213" t="str">
        <f>IF('Limestone Plant (LP-7)'!$E$4&gt;1,"Emission   Unit #","")</f>
        <v/>
      </c>
      <c r="G35" s="213" t="str">
        <f>IF('Limestone Plant (LP-7)'!$E$4&gt;1,"Processes","")</f>
        <v/>
      </c>
      <c r="H35" s="220" t="str">
        <f>IF('Limestone Plant (LP-7)'!$E$4&gt;1,"Combined Maximum Hourly Design Rate for all Like Processes (tons/hr)","")</f>
        <v/>
      </c>
      <c r="I35" s="213" t="str">
        <f>IF('Limestone Plant (LP-7)'!$E$4&gt;1,('Facility Information'!G5&amp;" Annual Throughput (tons)"),"")</f>
        <v/>
      </c>
      <c r="M35" s="109" t="s">
        <v>42</v>
      </c>
      <c r="N35" s="136">
        <f t="shared" ca="1" si="10"/>
        <v>0</v>
      </c>
      <c r="O35" s="145">
        <f ca="1">IF(N35=0,0,IF(OR(C25="no",C40="no",C56="no",C71="no",C86="no",C101="no",C116="no",C131="no",C146="no",C161="no"),'Emission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C67</f>
        <v>0</v>
      </c>
      <c r="B36" s="94" t="str">
        <f>IF('Limestone Plant (LP-7)'!$E$4&gt;1,"Site Name:","")</f>
        <v/>
      </c>
      <c r="C36" s="76"/>
      <c r="D36" s="55"/>
      <c r="E36" s="166" t="str">
        <f>IF(G36="","","LP-7 EP-1")</f>
        <v/>
      </c>
      <c r="F36" s="166" t="str">
        <f>IF(G36="","",IF(G36="primary crusher","LP-7 EU-1",IF(G36="screening","LP-7 EU-2",IF(G36="secondary crusher","LP-7 EU-3",IF(G36="tertiary crusher","LP-7 EU-4",IF(G36="fines crushing","LP-7 EU-5",IF(G36="fines screening","LP-7 EU-6",IF(G36="wet drilling: unfragmented stone","LP-7 EU-7",IF(G36="conveyor transfer points","LP-7 EU-8")))))))))</f>
        <v/>
      </c>
      <c r="G36" s="98"/>
      <c r="H36" s="167"/>
      <c r="I36" s="184"/>
      <c r="J36" s="81">
        <f t="shared" ref="J36:J43" si="12">IF($C$40="no",I36,0)</f>
        <v>0</v>
      </c>
      <c r="K36" s="81">
        <f t="shared" ref="K36:K43" si="13">IF($C$40="yes",I36,0)</f>
        <v>0</v>
      </c>
      <c r="M36" s="109" t="s">
        <v>43</v>
      </c>
      <c r="N36" s="136">
        <f ca="1">N12</f>
        <v>0</v>
      </c>
      <c r="O36" s="145">
        <f ca="1">IF(N36=0,0,IF(OR(C25="no",C40="no",C56="no",C71="no",C86="no",C101="no",C116="no",C131="no",C146="no",C161="no"),'Emission Factors'!F5,'Emission Factors'!F17))</f>
        <v>0</v>
      </c>
      <c r="P36" s="136" t="str">
        <f t="shared" si="8"/>
        <v/>
      </c>
      <c r="Q36" s="136">
        <f t="shared" ca="1" si="9"/>
        <v>0</v>
      </c>
      <c r="R36" s="136">
        <f ca="1">IF($G$11&gt;0,"",IF($C$9&gt;0,$C$9*O36/2000,IF($C$10&gt;0,$C$10*365*O36/2000,IF($C$11&gt;0,$C$11*365*O36*N36/2000,IF(Q36="",P36*8760/2000,Q36*8760/2000)))))</f>
        <v>0</v>
      </c>
      <c r="S36" s="136">
        <f ca="1">(O12*'Emission Factors'!F5/2000)+('Emission Factors'!F17*S12/2000)</f>
        <v>0</v>
      </c>
    </row>
    <row r="37" spans="1:19" ht="14.25" customHeight="1" x14ac:dyDescent="0.2">
      <c r="A37" s="80">
        <f>C82</f>
        <v>0</v>
      </c>
      <c r="B37" s="94" t="str">
        <f>IF('Limestone Plant (LP-7)'!$E$4&gt;1,"County:","")</f>
        <v/>
      </c>
      <c r="C37" s="76"/>
      <c r="D37" s="55"/>
      <c r="E37" s="166" t="str">
        <f t="shared" ref="E37:E43" si="14">IF(G37="","","LP-7 EP-1")</f>
        <v/>
      </c>
      <c r="F37" s="166" t="str">
        <f t="shared" ref="F37:F43" si="15">IF(G37="","",IF(G37="primary crusher","LP-7 EU-1",IF(G37="screening","LP-7 EU-2",IF(G37="secondary crusher","LP-7 EU-3",IF(G37="tertiary crusher","LP-7 EU-4",IF(G37="fines crushing","LP-7 EU-5",IF(G37="fines screening","LP-7 EU-6",IF(G37="wet drilling: unfragmented stone","LP-7 EU-7",IF(G37="conveyor transfer points","LP-7 EU-8")))))))))</f>
        <v/>
      </c>
      <c r="G37" s="98"/>
      <c r="H37" s="167"/>
      <c r="I37" s="184"/>
      <c r="J37" s="81">
        <f t="shared" si="12"/>
        <v>0</v>
      </c>
      <c r="K37" s="81">
        <f t="shared" si="13"/>
        <v>0</v>
      </c>
      <c r="N37" s="216" t="s">
        <v>295</v>
      </c>
      <c r="O37" s="216" t="s">
        <v>13</v>
      </c>
      <c r="P37" s="345" t="s">
        <v>304</v>
      </c>
      <c r="Q37" s="216" t="s">
        <v>303</v>
      </c>
      <c r="R37" s="216" t="s">
        <v>289</v>
      </c>
      <c r="S37" s="216" t="s">
        <v>300</v>
      </c>
    </row>
    <row r="38" spans="1:19" ht="14.25" customHeight="1" x14ac:dyDescent="0.2">
      <c r="A38" s="80">
        <f>C97</f>
        <v>0</v>
      </c>
      <c r="B38" s="94" t="str">
        <f>IF('Limestone Plant (LP-7)'!$E$4&gt;1,"Crushing Period (Dates):","")</f>
        <v/>
      </c>
      <c r="C38" s="186"/>
      <c r="D38" s="55"/>
      <c r="E38" s="166" t="str">
        <f t="shared" si="14"/>
        <v/>
      </c>
      <c r="F38" s="166" t="str">
        <f t="shared" si="15"/>
        <v/>
      </c>
      <c r="G38" s="98"/>
      <c r="H38" s="167"/>
      <c r="I38" s="184"/>
      <c r="J38" s="81">
        <f t="shared" si="12"/>
        <v>0</v>
      </c>
      <c r="K38" s="81">
        <f t="shared" si="13"/>
        <v>0</v>
      </c>
      <c r="M38" s="81" t="s">
        <v>44</v>
      </c>
      <c r="N38" s="216" t="s">
        <v>296</v>
      </c>
      <c r="O38" s="221" t="s">
        <v>301</v>
      </c>
      <c r="P38" s="345" t="s">
        <v>249</v>
      </c>
      <c r="Q38" s="216" t="s">
        <v>249</v>
      </c>
      <c r="R38" s="216" t="s">
        <v>253</v>
      </c>
      <c r="S38" s="216" t="s">
        <v>253</v>
      </c>
    </row>
    <row r="39" spans="1:19" ht="14.25" customHeight="1" x14ac:dyDescent="0.2">
      <c r="A39" s="80">
        <f>C112</f>
        <v>0</v>
      </c>
      <c r="B39" s="281" t="str">
        <f>IF('Limestone Plant (LP-7)'!$E$4&gt;1,"Controlled with Dust Suppressant or","")</f>
        <v/>
      </c>
      <c r="D39" s="55"/>
      <c r="E39" s="166" t="str">
        <f t="shared" si="14"/>
        <v/>
      </c>
      <c r="F39" s="166" t="str">
        <f t="shared" si="15"/>
        <v/>
      </c>
      <c r="G39" s="98"/>
      <c r="H39" s="167"/>
      <c r="I39" s="184"/>
      <c r="J39" s="81">
        <f t="shared" si="12"/>
        <v>0</v>
      </c>
      <c r="K39" s="81">
        <f t="shared" si="13"/>
        <v>0</v>
      </c>
      <c r="M39" s="111" t="s">
        <v>143</v>
      </c>
      <c r="N39" s="110">
        <f>N14</f>
        <v>0</v>
      </c>
      <c r="O39" s="110">
        <v>3.64</v>
      </c>
      <c r="P39" s="110">
        <f>N39*O39*(1/24)</f>
        <v>0</v>
      </c>
      <c r="Q39" s="110"/>
      <c r="R39" s="110">
        <f>N39*O39*365/2000</f>
        <v>0</v>
      </c>
      <c r="S39" s="110">
        <f>O14*O39/2000</f>
        <v>0</v>
      </c>
    </row>
    <row r="40" spans="1:19" ht="14.25" customHeight="1" x14ac:dyDescent="0.2">
      <c r="A40" s="80">
        <f>C127</f>
        <v>0</v>
      </c>
      <c r="B40" s="282" t="str">
        <f>IF('Limestone Plant (LP-7)'!$E$4&gt;1,"Material Being Processed has","")</f>
        <v/>
      </c>
      <c r="C40" s="280"/>
      <c r="D40" s="55"/>
      <c r="E40" s="166" t="str">
        <f t="shared" si="14"/>
        <v/>
      </c>
      <c r="F40" s="166" t="str">
        <f t="shared" si="15"/>
        <v/>
      </c>
      <c r="G40" s="98"/>
      <c r="H40" s="167"/>
      <c r="I40" s="184"/>
      <c r="J40" s="81">
        <f t="shared" si="12"/>
        <v>0</v>
      </c>
      <c r="K40" s="81">
        <f t="shared" si="13"/>
        <v>0</v>
      </c>
    </row>
    <row r="41" spans="1:19" ht="14.25" customHeight="1" x14ac:dyDescent="0.2">
      <c r="A41" s="80">
        <f>C142</f>
        <v>0</v>
      </c>
      <c r="B41" s="284" t="str">
        <f>IF('Limestone Plant (LP-7)'!$E$4&gt;1,"Moisture Content &gt; 1.5%?","")</f>
        <v/>
      </c>
      <c r="C41" s="55"/>
      <c r="D41" s="55"/>
      <c r="E41" s="166" t="str">
        <f t="shared" si="14"/>
        <v/>
      </c>
      <c r="F41" s="166" t="str">
        <f t="shared" si="15"/>
        <v/>
      </c>
      <c r="G41" s="98"/>
      <c r="H41" s="167"/>
      <c r="I41" s="184"/>
      <c r="J41" s="81">
        <f t="shared" si="12"/>
        <v>0</v>
      </c>
      <c r="K41" s="81">
        <f t="shared" si="13"/>
        <v>0</v>
      </c>
      <c r="N41" s="81"/>
      <c r="O41" s="81"/>
      <c r="P41" s="81"/>
    </row>
    <row r="42" spans="1:19" ht="14.25" customHeight="1" x14ac:dyDescent="0.2">
      <c r="A42" s="80">
        <f>C157</f>
        <v>0</v>
      </c>
      <c r="B42" s="55"/>
      <c r="D42" s="55"/>
      <c r="E42" s="166" t="str">
        <f t="shared" si="14"/>
        <v/>
      </c>
      <c r="F42" s="166" t="str">
        <f t="shared" si="15"/>
        <v/>
      </c>
      <c r="G42" s="98"/>
      <c r="H42" s="167"/>
      <c r="I42" s="184"/>
      <c r="J42" s="81">
        <f t="shared" si="12"/>
        <v>0</v>
      </c>
      <c r="K42" s="81">
        <f t="shared" si="13"/>
        <v>0</v>
      </c>
      <c r="N42" s="81"/>
      <c r="O42" s="81"/>
      <c r="P42" s="81"/>
    </row>
    <row r="43" spans="1:19" ht="14.25" customHeight="1" x14ac:dyDescent="0.2">
      <c r="B43" s="55"/>
      <c r="C43" s="55"/>
      <c r="D43" s="55"/>
      <c r="E43" s="166" t="str">
        <f t="shared" si="14"/>
        <v/>
      </c>
      <c r="F43" s="166" t="str">
        <f t="shared" si="15"/>
        <v/>
      </c>
      <c r="G43" s="98"/>
      <c r="H43" s="167"/>
      <c r="I43" s="184"/>
      <c r="J43" s="81">
        <f t="shared" si="12"/>
        <v>0</v>
      </c>
      <c r="K43" s="81">
        <f t="shared" si="13"/>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(LP-7)'!$E$4&gt;1,"Stock Pile Area","")</f>
        <v/>
      </c>
      <c r="F45" s="88"/>
      <c r="G45" s="89"/>
      <c r="N45" s="81"/>
      <c r="O45" s="81"/>
      <c r="P45" s="81"/>
    </row>
    <row r="46" spans="1:19" ht="14.25" customHeight="1" x14ac:dyDescent="0.2">
      <c r="B46" s="55"/>
      <c r="D46" s="90"/>
      <c r="F46" s="60" t="str">
        <f>IF('Limestone Plant (LP-7)'!$E$4&gt;1,"Emission Unit #","")</f>
        <v/>
      </c>
      <c r="G46" s="95" t="str">
        <f>IF('Limestone Plant (LP-7)'!$E$4&gt;1,"Maximum Storage Area (acres)","")</f>
        <v/>
      </c>
      <c r="H46" s="96" t="str">
        <f>IF('Limestone Plant (LP-7)'!$E$4&gt;1,"Actual Storage Area (acres)","")</f>
        <v/>
      </c>
      <c r="I46" s="95" t="str">
        <f>IF('Limestone Plant (LP-7)'!$E$4&gt;1,"Actual Days in Existence (days)","")</f>
        <v/>
      </c>
      <c r="J46" s="97"/>
      <c r="K46" s="97"/>
      <c r="L46" s="90"/>
      <c r="N46" s="81"/>
      <c r="O46" s="81"/>
      <c r="P46" s="81"/>
    </row>
    <row r="47" spans="1:19" ht="14.25" customHeight="1" x14ac:dyDescent="0.2">
      <c r="B47" s="55"/>
      <c r="F47" s="77"/>
      <c r="G47" s="126"/>
      <c r="H47" s="78"/>
      <c r="I47" s="126"/>
      <c r="N47" s="81"/>
      <c r="O47" s="81"/>
      <c r="P47" s="81"/>
    </row>
    <row r="48" spans="1:19" ht="14.25" customHeight="1" x14ac:dyDescent="0.2">
      <c r="B48" s="84"/>
      <c r="C48" s="125"/>
      <c r="D48" s="374"/>
      <c r="E48" s="374"/>
      <c r="F48" s="163"/>
      <c r="G48" s="125"/>
      <c r="H48" s="125"/>
      <c r="N48" s="81"/>
      <c r="O48" s="81"/>
      <c r="P48" s="81"/>
    </row>
    <row r="49" spans="2:16" ht="14.25" customHeight="1" x14ac:dyDescent="0.2">
      <c r="B49" s="84"/>
      <c r="C49" s="218"/>
      <c r="D49" s="374"/>
      <c r="E49" s="374"/>
      <c r="F49" s="218"/>
      <c r="G49" s="218"/>
      <c r="H49" s="218"/>
      <c r="N49" s="81"/>
      <c r="O49" s="81"/>
      <c r="P49" s="81"/>
    </row>
    <row r="50" spans="2:16" ht="14.25" customHeight="1" x14ac:dyDescent="0.2">
      <c r="B50" s="84"/>
      <c r="C50" s="84"/>
      <c r="D50" s="84"/>
      <c r="E50" s="84"/>
      <c r="F50" s="84"/>
      <c r="G50" s="84"/>
      <c r="H50" s="84"/>
      <c r="N50" s="81"/>
      <c r="O50" s="81"/>
      <c r="P50" s="81"/>
    </row>
    <row r="51" spans="2:16" ht="27.75" customHeight="1" x14ac:dyDescent="0.25">
      <c r="B51" s="92" t="str">
        <f>IF('Limestone Plant (LP-7)'!$E$4&gt;2,"CRUSHER PLANT","")</f>
        <v/>
      </c>
      <c r="C51" s="84" t="str">
        <f>IF('Limestone Plant (LP-7)'!$E$4&gt;2,"Site 3","")</f>
        <v/>
      </c>
      <c r="E51" s="213" t="str">
        <f>IF('Limestone Plant (LP-7)'!$E$4&gt;2,"Emission Point #","")</f>
        <v/>
      </c>
      <c r="F51" s="213" t="str">
        <f>IF('Limestone Plant (LP-7)'!$E$4&gt;2,"Emission    Unit #","")</f>
        <v/>
      </c>
      <c r="G51" s="213" t="str">
        <f>IF('Limestone Plant (LP-7)'!$E$4&gt;2,"Processes","")</f>
        <v/>
      </c>
      <c r="H51" s="220" t="str">
        <f>IF('Limestone Plant (LP-7)'!$E$4&gt;2,"Combined Maximum Hourly Design Rate for all Like Processes (tons/hr)","")</f>
        <v/>
      </c>
      <c r="I51" s="213" t="str">
        <f>IF('Limestone Plant (LP-7)'!$E$4&gt;2,('Facility Information'!G5&amp;" Annual Throughput (tons)"),"")</f>
        <v/>
      </c>
      <c r="N51" s="81"/>
      <c r="O51" s="81"/>
      <c r="P51" s="81"/>
    </row>
    <row r="52" spans="2:16" ht="14.25" customHeight="1" x14ac:dyDescent="0.2">
      <c r="B52" s="94" t="str">
        <f>IF('Limestone Plant (LP-7)'!$E$4&gt;2,"Site Name:","")</f>
        <v/>
      </c>
      <c r="C52" s="76"/>
      <c r="D52" s="55"/>
      <c r="E52" s="166" t="str">
        <f>IF(G52="","","LP-7 EP-1")</f>
        <v/>
      </c>
      <c r="F52" s="166" t="str">
        <f>IF(G52="","",IF(G52="primary crusher","LP-7 EU-1",IF(G52="screening","LP-7 EU-2",IF(G52="secondary crusher","LP-7 EU-3",IF(G52="tertiary crusher","LP-7 EU-4",IF(G52="fines crushing","LP-7 EU-5",IF(G52="fines screening","LP-7 EU-6",IF(G52="wet drilling: unfragmented stone","LP-7 EU-7",IF(G52="conveyor transfer points","LP-7 EU-8")))))))))</f>
        <v/>
      </c>
      <c r="G52" s="98"/>
      <c r="H52" s="167"/>
      <c r="I52" s="184"/>
      <c r="J52" s="81">
        <f t="shared" ref="J52:J59" si="16">IF($C$56="no",I52,0)</f>
        <v>0</v>
      </c>
      <c r="K52" s="81">
        <f t="shared" ref="K52:K59" si="17">IF($C$56="yes",I52,0)</f>
        <v>0</v>
      </c>
    </row>
    <row r="53" spans="2:16" ht="14.25" customHeight="1" x14ac:dyDescent="0.2">
      <c r="B53" s="94" t="str">
        <f>IF('Limestone Plant (LP-7)'!$E$4&gt;2,"County:","")</f>
        <v/>
      </c>
      <c r="C53" s="76"/>
      <c r="D53" s="55"/>
      <c r="E53" s="166" t="str">
        <f t="shared" ref="E53:E59" si="18">IF(G53="","","LP-7 EP-1")</f>
        <v/>
      </c>
      <c r="F53" s="166" t="str">
        <f t="shared" ref="F53:F59" si="19">IF(G53="","",IF(G53="primary crusher","LP-7 EU-1",IF(G53="screening","LP-7 EU-2",IF(G53="secondary crusher","LP-7 EU-3",IF(G53="tertiary crusher","LP-7 EU-4",IF(G53="fines crushing","LP-7 EU-5",IF(G53="fines screening","LP-7 EU-6",IF(G53="wet drilling: unfragmented stone","LP-7 EU-7",IF(G53="conveyor transfer points","LP-7 EU-8")))))))))</f>
        <v/>
      </c>
      <c r="G53" s="98"/>
      <c r="H53" s="167"/>
      <c r="I53" s="184"/>
      <c r="J53" s="81">
        <f t="shared" si="16"/>
        <v>0</v>
      </c>
      <c r="K53" s="81">
        <f t="shared" si="17"/>
        <v>0</v>
      </c>
    </row>
    <row r="54" spans="2:16" ht="14.25" customHeight="1" x14ac:dyDescent="0.2">
      <c r="B54" s="94" t="str">
        <f>IF('Limestone Plant (LP-7)'!$E$4&gt;2,"Crushing Period (Dates):","")</f>
        <v/>
      </c>
      <c r="C54" s="76"/>
      <c r="D54" s="55"/>
      <c r="E54" s="166" t="str">
        <f t="shared" si="18"/>
        <v/>
      </c>
      <c r="F54" s="166" t="str">
        <f t="shared" si="19"/>
        <v/>
      </c>
      <c r="G54" s="98"/>
      <c r="H54" s="167"/>
      <c r="I54" s="184"/>
      <c r="J54" s="81">
        <f t="shared" si="16"/>
        <v>0</v>
      </c>
      <c r="K54" s="81">
        <f t="shared" si="17"/>
        <v>0</v>
      </c>
    </row>
    <row r="55" spans="2:16" ht="14.25" customHeight="1" x14ac:dyDescent="0.2">
      <c r="B55" s="281" t="str">
        <f>IF('Limestone Plant (LP-7)'!$E$4&gt;2,"Controlled with Dust Suppressant or","")</f>
        <v/>
      </c>
      <c r="D55" s="55"/>
      <c r="E55" s="166" t="str">
        <f t="shared" si="18"/>
        <v/>
      </c>
      <c r="F55" s="166" t="str">
        <f t="shared" si="19"/>
        <v/>
      </c>
      <c r="G55" s="98"/>
      <c r="H55" s="167"/>
      <c r="I55" s="184"/>
      <c r="J55" s="81">
        <f t="shared" si="16"/>
        <v>0</v>
      </c>
      <c r="K55" s="81">
        <f t="shared" si="17"/>
        <v>0</v>
      </c>
    </row>
    <row r="56" spans="2:16" ht="14.25" customHeight="1" x14ac:dyDescent="0.2">
      <c r="B56" s="282" t="str">
        <f>IF('Limestone Plant (LP-7)'!$E$4&gt;2,"Material Being Processed has","")</f>
        <v/>
      </c>
      <c r="C56" s="280"/>
      <c r="D56" s="55"/>
      <c r="E56" s="166" t="str">
        <f t="shared" si="18"/>
        <v/>
      </c>
      <c r="F56" s="166" t="str">
        <f t="shared" si="19"/>
        <v/>
      </c>
      <c r="G56" s="98"/>
      <c r="H56" s="167"/>
      <c r="I56" s="184"/>
      <c r="J56" s="81">
        <f t="shared" si="16"/>
        <v>0</v>
      </c>
      <c r="K56" s="81">
        <f t="shared" si="17"/>
        <v>0</v>
      </c>
    </row>
    <row r="57" spans="2:16" ht="14.25" customHeight="1" x14ac:dyDescent="0.2">
      <c r="B57" s="284" t="str">
        <f>IF('Limestone Plant (LP-7)'!$E$4&gt;2,"Moisture Content &gt; 1.5%?","")</f>
        <v/>
      </c>
      <c r="C57" s="55"/>
      <c r="D57" s="55"/>
      <c r="E57" s="166" t="str">
        <f t="shared" si="18"/>
        <v/>
      </c>
      <c r="F57" s="166" t="str">
        <f t="shared" si="19"/>
        <v/>
      </c>
      <c r="G57" s="98"/>
      <c r="H57" s="167"/>
      <c r="I57" s="184"/>
      <c r="J57" s="81">
        <f t="shared" si="16"/>
        <v>0</v>
      </c>
      <c r="K57" s="81">
        <f t="shared" si="17"/>
        <v>0</v>
      </c>
    </row>
    <row r="58" spans="2:16" ht="14.25" customHeight="1" x14ac:dyDescent="0.2">
      <c r="B58" s="55"/>
      <c r="D58" s="55"/>
      <c r="E58" s="166" t="str">
        <f t="shared" si="18"/>
        <v/>
      </c>
      <c r="F58" s="166" t="str">
        <f t="shared" si="19"/>
        <v/>
      </c>
      <c r="G58" s="98"/>
      <c r="H58" s="167"/>
      <c r="I58" s="184"/>
      <c r="J58" s="81">
        <f t="shared" si="16"/>
        <v>0</v>
      </c>
      <c r="K58" s="81">
        <f t="shared" si="17"/>
        <v>0</v>
      </c>
    </row>
    <row r="59" spans="2:16" ht="14.25" customHeight="1" x14ac:dyDescent="0.2">
      <c r="B59" s="55"/>
      <c r="C59" s="55"/>
      <c r="D59" s="55"/>
      <c r="E59" s="166" t="str">
        <f t="shared" si="18"/>
        <v/>
      </c>
      <c r="F59" s="166" t="str">
        <f t="shared" si="19"/>
        <v/>
      </c>
      <c r="G59" s="98"/>
      <c r="H59" s="167"/>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(LP-7)'!$E$4&gt;2,"Stock Pile Area","")</f>
        <v/>
      </c>
      <c r="F61" s="88"/>
      <c r="G61" s="89"/>
    </row>
    <row r="62" spans="2:16" ht="14.25" customHeight="1" x14ac:dyDescent="0.2">
      <c r="B62" s="55"/>
      <c r="D62" s="90"/>
      <c r="F62" s="60" t="str">
        <f>IF('Limestone Plant (LP-7)'!$E$4&gt;2,"Emission Unit #","")</f>
        <v/>
      </c>
      <c r="G62" s="95" t="str">
        <f>IF('Limestone Plant (LP-7)'!$E$4&gt;2,"Maximum Storage Area (acres)","")</f>
        <v/>
      </c>
      <c r="H62" s="96" t="str">
        <f>IF('Limestone Plant (LP-7)'!$E$4&gt;2,"Actual Storage Area (acres)","")</f>
        <v/>
      </c>
      <c r="I62" s="95" t="str">
        <f>IF('Limestone Plant (LP-7)'!$E$4&gt;2,"Actual Days in Existence (days)","")</f>
        <v/>
      </c>
    </row>
    <row r="63" spans="2:16" ht="14.25" customHeight="1" x14ac:dyDescent="0.2">
      <c r="B63" s="55"/>
      <c r="F63" s="77"/>
      <c r="G63" s="126"/>
      <c r="H63" s="78"/>
      <c r="I63" s="126"/>
    </row>
    <row r="64" spans="2:16" ht="24.75" customHeight="1" x14ac:dyDescent="0.2"/>
    <row r="66" spans="2:11" ht="27.75" customHeight="1" x14ac:dyDescent="0.25">
      <c r="B66" s="92" t="str">
        <f>IF('Limestone Plant (LP-7)'!$E$4&gt;3,"CRUSHER PLANT","")</f>
        <v/>
      </c>
      <c r="C66" s="84" t="str">
        <f>IF('Limestone Plant (LP-7)'!$E$4&gt;3,"Site 4","")</f>
        <v/>
      </c>
      <c r="E66" s="213" t="str">
        <f>IF('Limestone Plant (LP-7)'!$E$4&gt;3,"Emission Point #","")</f>
        <v/>
      </c>
      <c r="F66" s="213" t="str">
        <f>IF('Limestone Plant (LP-7)'!$E$4&gt;3,"Emission    Unit #","")</f>
        <v/>
      </c>
      <c r="G66" s="213" t="str">
        <f>IF('Limestone Plant (LP-7)'!$E$4&gt;3,"Processes","")</f>
        <v/>
      </c>
      <c r="H66" s="220" t="str">
        <f>IF('Limestone Plant (LP-7)'!$E$4&gt;3,"Combined Maximum Hourly Design Rate for all Like Processes (tons/hr)","")</f>
        <v/>
      </c>
      <c r="I66" s="213" t="str">
        <f>IF('Limestone Plant (LP-7)'!$E$4&gt;3,('Facility Information'!G5&amp;" Annual Throughput (tons)"),"")</f>
        <v/>
      </c>
    </row>
    <row r="67" spans="2:11" ht="14.25" customHeight="1" x14ac:dyDescent="0.2">
      <c r="B67" s="94" t="str">
        <f>IF('Limestone Plant (LP-7)'!$E$4&gt;3,"Site Name:","")</f>
        <v/>
      </c>
      <c r="C67" s="76"/>
      <c r="D67" s="55"/>
      <c r="E67" s="166" t="str">
        <f>IF(G67="","","LP-7 EP-1")</f>
        <v/>
      </c>
      <c r="F67" s="166" t="str">
        <f>IF(G67="","",IF(G67="primary crusher","LP-7 EU-1",IF(G67="screening","LP-7 EU-2",IF(G67="secondary crusher","LP-7 EU-3",IF(G67="tertiary crusher","LP-7 EU-4",IF(G67="fines crushing","LP-7 EU-5",IF(G67="fines screening","LP-7 EU-6",IF(G67="wet drilling: unfragmented stone","LP-7 EU-7",IF(G67="conveyor transfer points","LP-7 EU-8")))))))))</f>
        <v/>
      </c>
      <c r="G67" s="98"/>
      <c r="H67" s="167"/>
      <c r="I67" s="184"/>
      <c r="J67" s="81">
        <f t="shared" ref="J67:J74" si="20">IF($C$71="no",I67,0)</f>
        <v>0</v>
      </c>
      <c r="K67" s="81">
        <f t="shared" ref="K67:K74" si="21">IF($C$71="yes",I67,0)</f>
        <v>0</v>
      </c>
    </row>
    <row r="68" spans="2:11" ht="14.25" customHeight="1" x14ac:dyDescent="0.2">
      <c r="B68" s="94" t="str">
        <f>IF('Limestone Plant (LP-7)'!$E$4&gt;3,"County:","")</f>
        <v/>
      </c>
      <c r="C68" s="76"/>
      <c r="D68" s="55"/>
      <c r="E68" s="166" t="str">
        <f t="shared" ref="E68:E74" si="22">IF(G68="","","LP-7 EP-1")</f>
        <v/>
      </c>
      <c r="F68" s="166" t="str">
        <f t="shared" ref="F68:F74" si="23">IF(G68="","",IF(G68="primary crusher","LP-7 EU-1",IF(G68="screening","LP-7 EU-2",IF(G68="secondary crusher","LP-7 EU-3",IF(G68="tertiary crusher","LP-7 EU-4",IF(G68="fines crushing","LP-7 EU-5",IF(G68="fines screening","LP-7 EU-6",IF(G68="wet drilling: unfragmented stone","LP-7 EU-7",IF(G68="conveyor transfer points","LP-7 EU-8")))))))))</f>
        <v/>
      </c>
      <c r="G68" s="98"/>
      <c r="H68" s="167"/>
      <c r="I68" s="184"/>
      <c r="J68" s="81">
        <f t="shared" si="20"/>
        <v>0</v>
      </c>
      <c r="K68" s="81">
        <f t="shared" si="21"/>
        <v>0</v>
      </c>
    </row>
    <row r="69" spans="2:11" ht="14.25" customHeight="1" x14ac:dyDescent="0.2">
      <c r="B69" s="94" t="str">
        <f>IF('Limestone Plant (LP-7)'!$E$4&gt;3,"Crushing Period (Dates):","")</f>
        <v/>
      </c>
      <c r="C69" s="76"/>
      <c r="D69" s="55"/>
      <c r="E69" s="166" t="str">
        <f t="shared" si="22"/>
        <v/>
      </c>
      <c r="F69" s="166" t="str">
        <f t="shared" si="23"/>
        <v/>
      </c>
      <c r="G69" s="98"/>
      <c r="H69" s="167"/>
      <c r="I69" s="184"/>
      <c r="J69" s="81">
        <f t="shared" si="20"/>
        <v>0</v>
      </c>
      <c r="K69" s="81">
        <f t="shared" si="21"/>
        <v>0</v>
      </c>
    </row>
    <row r="70" spans="2:11" ht="14.25" customHeight="1" x14ac:dyDescent="0.2">
      <c r="B70" s="281" t="str">
        <f>IF('Limestone Plant (LP-7)'!$E$4&gt;3,"Controlled with Dust Suppressant or","")</f>
        <v/>
      </c>
      <c r="D70" s="55"/>
      <c r="E70" s="166" t="str">
        <f t="shared" si="22"/>
        <v/>
      </c>
      <c r="F70" s="166" t="str">
        <f t="shared" si="23"/>
        <v/>
      </c>
      <c r="G70" s="98"/>
      <c r="H70" s="167"/>
      <c r="I70" s="184"/>
      <c r="J70" s="81">
        <f t="shared" si="20"/>
        <v>0</v>
      </c>
      <c r="K70" s="81">
        <f t="shared" si="21"/>
        <v>0</v>
      </c>
    </row>
    <row r="71" spans="2:11" ht="14.25" customHeight="1" x14ac:dyDescent="0.2">
      <c r="B71" s="282" t="str">
        <f>IF('Limestone Plant (LP-7)'!$E$4&gt;3,"Material Being Processed has","")</f>
        <v/>
      </c>
      <c r="C71" s="280"/>
      <c r="D71" s="55"/>
      <c r="E71" s="166" t="str">
        <f t="shared" si="22"/>
        <v/>
      </c>
      <c r="F71" s="166" t="str">
        <f t="shared" si="23"/>
        <v/>
      </c>
      <c r="G71" s="98"/>
      <c r="H71" s="167"/>
      <c r="I71" s="184"/>
      <c r="J71" s="81">
        <f t="shared" si="20"/>
        <v>0</v>
      </c>
      <c r="K71" s="81">
        <f t="shared" si="21"/>
        <v>0</v>
      </c>
    </row>
    <row r="72" spans="2:11" ht="14.25" customHeight="1" x14ac:dyDescent="0.2">
      <c r="B72" s="284" t="str">
        <f>IF('Limestone Plant (LP-7)'!$E$4&gt;3,"Moisture Content &gt; 1.5%?","")</f>
        <v/>
      </c>
      <c r="C72" s="55"/>
      <c r="D72" s="55"/>
      <c r="E72" s="166" t="str">
        <f t="shared" si="22"/>
        <v/>
      </c>
      <c r="F72" s="166" t="str">
        <f t="shared" si="23"/>
        <v/>
      </c>
      <c r="G72" s="98"/>
      <c r="H72" s="167"/>
      <c r="I72" s="184"/>
      <c r="J72" s="81">
        <f t="shared" si="20"/>
        <v>0</v>
      </c>
      <c r="K72" s="81">
        <f t="shared" si="21"/>
        <v>0</v>
      </c>
    </row>
    <row r="73" spans="2:11" ht="14.25" customHeight="1" x14ac:dyDescent="0.2">
      <c r="B73" s="55"/>
      <c r="D73" s="55"/>
      <c r="E73" s="166" t="str">
        <f t="shared" si="22"/>
        <v/>
      </c>
      <c r="F73" s="166" t="str">
        <f t="shared" si="23"/>
        <v/>
      </c>
      <c r="G73" s="98"/>
      <c r="H73" s="167"/>
      <c r="I73" s="184"/>
      <c r="J73" s="81">
        <f t="shared" si="20"/>
        <v>0</v>
      </c>
      <c r="K73" s="81">
        <f t="shared" si="21"/>
        <v>0</v>
      </c>
    </row>
    <row r="74" spans="2:11" ht="14.25" customHeight="1" x14ac:dyDescent="0.2">
      <c r="B74" s="55"/>
      <c r="C74" s="55"/>
      <c r="D74" s="55"/>
      <c r="E74" s="166" t="str">
        <f t="shared" si="22"/>
        <v/>
      </c>
      <c r="F74" s="166" t="str">
        <f t="shared" si="23"/>
        <v/>
      </c>
      <c r="G74" s="98"/>
      <c r="H74" s="167"/>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(LP-7)'!$E$4&gt;3,"Stock Pile Area","")</f>
        <v/>
      </c>
      <c r="F76" s="88"/>
      <c r="G76" s="89"/>
    </row>
    <row r="77" spans="2:11" ht="14.25" customHeight="1" x14ac:dyDescent="0.2">
      <c r="B77" s="55"/>
      <c r="D77" s="90"/>
      <c r="F77" s="60" t="str">
        <f>IF('Limestone Plant (LP-7)'!$E$4&gt;3,"Emission Unit #","")</f>
        <v/>
      </c>
      <c r="G77" s="95" t="str">
        <f>IF('Limestone Plant (LP-7)'!$E$4&gt;3,"Maximum Storage Area (acres)","")</f>
        <v/>
      </c>
      <c r="H77" s="96" t="str">
        <f>IF('Limestone Plant (LP-7)'!$E$4&gt;3,"Actual Storage Area (acres)","")</f>
        <v/>
      </c>
      <c r="I77" s="95" t="str">
        <f>IF('Limestone Plant (LP-7)'!$E$4&gt;3,"Actual Days in Existence (days)","")</f>
        <v/>
      </c>
    </row>
    <row r="78" spans="2:11" ht="14.25" customHeight="1" x14ac:dyDescent="0.2">
      <c r="B78" s="55"/>
      <c r="F78" s="77"/>
      <c r="G78" s="126"/>
      <c r="H78" s="78"/>
      <c r="I78" s="126"/>
    </row>
    <row r="79" spans="2:11" ht="25.5" customHeight="1" x14ac:dyDescent="0.2"/>
    <row r="81" spans="2:11" ht="30" customHeight="1" x14ac:dyDescent="0.25">
      <c r="B81" s="92" t="str">
        <f>IF('Limestone Plant (LP-7)'!$E$4&gt;4,"CRUSHER PLANT","")</f>
        <v/>
      </c>
      <c r="C81" s="84" t="str">
        <f>IF('Limestone Plant (LP-7)'!$E$4&gt;4,"Site 5","")</f>
        <v/>
      </c>
      <c r="E81" s="213" t="str">
        <f>IF('Limestone Plant (LP-7)'!$E$4&gt;4,"Emission Point #","")</f>
        <v/>
      </c>
      <c r="F81" s="213" t="str">
        <f>IF('Limestone Plant (LP-7)'!$E$4&gt;4,"Emission    Unit #","")</f>
        <v/>
      </c>
      <c r="G81" s="213" t="str">
        <f>IF('Limestone Plant (LP-7)'!$E$4&gt;4,"Processes","")</f>
        <v/>
      </c>
      <c r="H81" s="220" t="str">
        <f>IF('Limestone Plant (LP-7)'!$E$4&gt;4,"Combined Maximum Hourly Design Rate for all Like Processes (tons/hr)","")</f>
        <v/>
      </c>
      <c r="I81" s="213" t="str">
        <f>IF('Limestone Plant (LP-7)'!$E$4&gt;4,('Facility Information'!G5&amp;" Annual Throughput (tons)"),"")</f>
        <v/>
      </c>
    </row>
    <row r="82" spans="2:11" ht="14.25" customHeight="1" x14ac:dyDescent="0.2">
      <c r="B82" s="94" t="str">
        <f>IF('Limestone Plant (LP-7)'!$E$4&gt;4,"Site Name:","")</f>
        <v/>
      </c>
      <c r="C82" s="76"/>
      <c r="D82" s="55"/>
      <c r="E82" s="166" t="str">
        <f>IF(G82="","","LP-7 EP-1")</f>
        <v/>
      </c>
      <c r="F82" s="166" t="str">
        <f>IF(G82="","",IF(G82="primary crusher","LP-7 EU-1",IF(G82="screening","LP-7 EU-2",IF(G82="secondary crusher","LP-7 EU-3",IF(G82="tertiary crusher","LP-7 EU-4",IF(G82="fines crushing","LP-7 EU-5",IF(G82="fines screening","LP-7 EU-6",IF(G82="wet drilling: unfragmented stone","LP-7 EU-7",IF(G82="conveyor transfer points","LP-7 EU-8")))))))))</f>
        <v/>
      </c>
      <c r="G82" s="98"/>
      <c r="H82" s="167"/>
      <c r="I82" s="184"/>
      <c r="J82" s="81">
        <f t="shared" ref="J82:J89" si="24">IF($C$86="no",I82,0)</f>
        <v>0</v>
      </c>
      <c r="K82" s="81">
        <f t="shared" ref="K82:K89" si="25">IF($C$86="yes",I82,0)</f>
        <v>0</v>
      </c>
    </row>
    <row r="83" spans="2:11" ht="14.25" customHeight="1" x14ac:dyDescent="0.2">
      <c r="B83" s="94" t="str">
        <f>IF('Limestone Plant (LP-7)'!$E$4&gt;4,"County:","")</f>
        <v/>
      </c>
      <c r="C83" s="76"/>
      <c r="D83" s="55"/>
      <c r="E83" s="166" t="str">
        <f t="shared" ref="E83:E89" si="26">IF(G83="","","LP-7 EP-1")</f>
        <v/>
      </c>
      <c r="F83" s="166" t="str">
        <f t="shared" ref="F83:F89" si="27">IF(G83="","",IF(G83="primary crusher","LP-7 EU-1",IF(G83="screening","LP-7 EU-2",IF(G83="secondary crusher","LP-7 EU-3",IF(G83="tertiary crusher","LP-7 EU-4",IF(G83="fines crushing","LP-7 EU-5",IF(G83="fines screening","LP-7 EU-6",IF(G83="wet drilling: unfragmented stone","LP-7 EU-7",IF(G83="conveyor transfer points","LP-7 EU-8")))))))))</f>
        <v/>
      </c>
      <c r="G83" s="98"/>
      <c r="H83" s="167"/>
      <c r="I83" s="184"/>
      <c r="J83" s="81">
        <f t="shared" si="24"/>
        <v>0</v>
      </c>
      <c r="K83" s="81">
        <f t="shared" si="25"/>
        <v>0</v>
      </c>
    </row>
    <row r="84" spans="2:11" ht="14.25" customHeight="1" x14ac:dyDescent="0.2">
      <c r="B84" s="94" t="str">
        <f>IF('Limestone Plant (LP-7)'!$E$4&gt;4,"Crushing Period (Dates):","")</f>
        <v/>
      </c>
      <c r="C84" s="76"/>
      <c r="D84" s="55"/>
      <c r="E84" s="166" t="str">
        <f t="shared" si="26"/>
        <v/>
      </c>
      <c r="F84" s="166" t="str">
        <f t="shared" si="27"/>
        <v/>
      </c>
      <c r="G84" s="98"/>
      <c r="H84" s="167"/>
      <c r="I84" s="184"/>
      <c r="J84" s="81">
        <f t="shared" si="24"/>
        <v>0</v>
      </c>
      <c r="K84" s="81">
        <f t="shared" si="25"/>
        <v>0</v>
      </c>
    </row>
    <row r="85" spans="2:11" ht="14.25" customHeight="1" x14ac:dyDescent="0.2">
      <c r="B85" s="281" t="str">
        <f>IF('Limestone Plant (LP-7)'!$E$4&gt;4,"Controlled with Dust Suppressant or","")</f>
        <v/>
      </c>
      <c r="D85" s="55"/>
      <c r="E85" s="166" t="str">
        <f t="shared" si="26"/>
        <v/>
      </c>
      <c r="F85" s="166" t="str">
        <f t="shared" si="27"/>
        <v/>
      </c>
      <c r="G85" s="98"/>
      <c r="H85" s="167"/>
      <c r="I85" s="184"/>
      <c r="J85" s="81">
        <f t="shared" si="24"/>
        <v>0</v>
      </c>
      <c r="K85" s="81">
        <f t="shared" si="25"/>
        <v>0</v>
      </c>
    </row>
    <row r="86" spans="2:11" ht="14.25" customHeight="1" x14ac:dyDescent="0.2">
      <c r="B86" s="282" t="str">
        <f>IF('Limestone Plant (LP-7)'!$E$4&gt;4,"Material Being Processed has","")</f>
        <v/>
      </c>
      <c r="C86" s="280"/>
      <c r="D86" s="55"/>
      <c r="E86" s="166" t="str">
        <f t="shared" si="26"/>
        <v/>
      </c>
      <c r="F86" s="166" t="str">
        <f t="shared" si="27"/>
        <v/>
      </c>
      <c r="G86" s="98"/>
      <c r="H86" s="167"/>
      <c r="I86" s="184"/>
      <c r="J86" s="81">
        <f t="shared" si="24"/>
        <v>0</v>
      </c>
      <c r="K86" s="81">
        <f t="shared" si="25"/>
        <v>0</v>
      </c>
    </row>
    <row r="87" spans="2:11" ht="14.25" customHeight="1" x14ac:dyDescent="0.2">
      <c r="B87" s="284" t="str">
        <f>IF('Limestone Plant (LP-7)'!$E$4&gt;4,"Moisture Content &gt; 1.5%?","")</f>
        <v/>
      </c>
      <c r="C87" s="55"/>
      <c r="D87" s="55"/>
      <c r="E87" s="166" t="str">
        <f t="shared" si="26"/>
        <v/>
      </c>
      <c r="F87" s="166" t="str">
        <f t="shared" si="27"/>
        <v/>
      </c>
      <c r="G87" s="98"/>
      <c r="H87" s="167"/>
      <c r="I87" s="184"/>
      <c r="J87" s="81">
        <f t="shared" si="24"/>
        <v>0</v>
      </c>
      <c r="K87" s="81">
        <f t="shared" si="25"/>
        <v>0</v>
      </c>
    </row>
    <row r="88" spans="2:11" ht="14.25" customHeight="1" x14ac:dyDescent="0.2">
      <c r="B88" s="55"/>
      <c r="D88" s="55"/>
      <c r="E88" s="166" t="str">
        <f t="shared" si="26"/>
        <v/>
      </c>
      <c r="F88" s="166" t="str">
        <f t="shared" si="27"/>
        <v/>
      </c>
      <c r="G88" s="98"/>
      <c r="H88" s="167"/>
      <c r="I88" s="184"/>
      <c r="J88" s="81">
        <f t="shared" si="24"/>
        <v>0</v>
      </c>
      <c r="K88" s="81">
        <f t="shared" si="25"/>
        <v>0</v>
      </c>
    </row>
    <row r="89" spans="2:11" ht="14.25" customHeight="1" x14ac:dyDescent="0.2">
      <c r="B89" s="55"/>
      <c r="C89" s="55"/>
      <c r="D89" s="55"/>
      <c r="E89" s="166" t="str">
        <f t="shared" si="26"/>
        <v/>
      </c>
      <c r="F89" s="166" t="str">
        <f t="shared" si="27"/>
        <v/>
      </c>
      <c r="G89" s="98"/>
      <c r="H89" s="167"/>
      <c r="I89" s="184"/>
      <c r="J89" s="81">
        <f t="shared" si="24"/>
        <v>0</v>
      </c>
      <c r="K89" s="81">
        <f t="shared" si="25"/>
        <v>0</v>
      </c>
    </row>
    <row r="90" spans="2:11" ht="14.25" customHeight="1" x14ac:dyDescent="0.2">
      <c r="B90" s="55"/>
      <c r="D90" s="55"/>
      <c r="E90" s="55"/>
      <c r="F90" s="55"/>
    </row>
    <row r="91" spans="2:11" ht="14.25" customHeight="1" x14ac:dyDescent="0.2">
      <c r="B91" s="55"/>
      <c r="E91" s="88" t="str">
        <f>IF('Limestone Plant (LP-7)'!$E$4&gt;4,"Stock Pile Area","")</f>
        <v/>
      </c>
      <c r="F91" s="88"/>
      <c r="G91" s="89"/>
    </row>
    <row r="92" spans="2:11" ht="14.25" customHeight="1" x14ac:dyDescent="0.2">
      <c r="B92" s="55"/>
      <c r="D92" s="90"/>
      <c r="F92" s="60" t="str">
        <f>IF('Limestone Plant (LP-7)'!$E$4&gt;4,"Emission Unit #","")</f>
        <v/>
      </c>
      <c r="G92" s="95" t="str">
        <f>IF('Limestone Plant (LP-7)'!$E$4&gt;4,"Maximum Storage Area (acres)","")</f>
        <v/>
      </c>
      <c r="H92" s="96" t="str">
        <f>IF('Limestone Plant (LP-7)'!$E$4&gt;4,"Actual Storage Area (acres)","")</f>
        <v/>
      </c>
      <c r="I92" s="95" t="str">
        <f>IF('Limestone Plant (LP-7)'!$E$4&gt;4,"Actual Days in Existence (days)","")</f>
        <v/>
      </c>
    </row>
    <row r="93" spans="2:11" ht="14.25" customHeight="1" x14ac:dyDescent="0.2">
      <c r="B93" s="55"/>
      <c r="F93" s="72"/>
      <c r="G93" s="126"/>
      <c r="H93" s="78"/>
      <c r="I93" s="126"/>
    </row>
    <row r="94" spans="2:11" ht="23.25" customHeight="1" x14ac:dyDescent="0.2"/>
    <row r="96" spans="2:11" ht="28.5" customHeight="1" x14ac:dyDescent="0.25">
      <c r="B96" s="92" t="str">
        <f>IF('Limestone Plant (LP-7)'!$E$4&gt;5,"CRUSHER PLANT","")</f>
        <v/>
      </c>
      <c r="C96" s="84" t="str">
        <f>IF('Limestone Plant (LP-7)'!$E$4&gt;5,"Site 6","")</f>
        <v/>
      </c>
      <c r="E96" s="213" t="str">
        <f>IF('Limestone Plant (LP-7)'!$E$4&gt;5,"Emission Point #","")</f>
        <v/>
      </c>
      <c r="F96" s="213" t="str">
        <f>IF('Limestone Plant (LP-7)'!$E$4&gt;5,"Emission    Unit #","")</f>
        <v/>
      </c>
      <c r="G96" s="213" t="str">
        <f>IF('Limestone Plant (LP-7)'!$E$4&gt;5,"Processes","")</f>
        <v/>
      </c>
      <c r="H96" s="220" t="str">
        <f>IF('Limestone Plant (LP-7)'!$E$4&gt;5,"Combined Maximum Hourly Design Rate for all Like Processes (tons/hr)","")</f>
        <v/>
      </c>
      <c r="I96" s="213" t="str">
        <f>IF('Limestone Plant (LP-7)'!$E$4&gt;5,('Facility Information'!G5&amp;" Annual Throughput (tons)"),"")</f>
        <v/>
      </c>
    </row>
    <row r="97" spans="2:11" ht="14.25" customHeight="1" x14ac:dyDescent="0.2">
      <c r="B97" s="94" t="str">
        <f>IF('Limestone Plant (LP-7)'!$E$4&gt;5,"Site Name:","")</f>
        <v/>
      </c>
      <c r="C97" s="76"/>
      <c r="D97" s="55"/>
      <c r="E97" s="166" t="str">
        <f>IF(G97="","","LP-7 EP-1")</f>
        <v/>
      </c>
      <c r="F97" s="166" t="str">
        <f>IF(G97="","",IF(G97="primary crusher","LP-7 EU-1",IF(G97="screening","LP-7 EU-2",IF(G97="secondary crusher","LP-7 EU-3",IF(G97="tertiary crusher","LP-7 EU-4",IF(G97="fines crushing","LP-7 EU-5",IF(G97="fines screening","LP-7 EU-6",IF(G97="wet drilling: unfragmented stone","LP-7 EU-7",IF(G97="conveyor transfer points","LP-7 EU-8")))))))))</f>
        <v/>
      </c>
      <c r="G97" s="98"/>
      <c r="H97" s="167"/>
      <c r="I97" s="184"/>
      <c r="J97" s="81">
        <f t="shared" ref="J97:J104" si="28">IF($C$101="no",I97,0)</f>
        <v>0</v>
      </c>
      <c r="K97" s="81">
        <f t="shared" ref="K97:K104" si="29">IF($C$101="yes",I97,0)</f>
        <v>0</v>
      </c>
    </row>
    <row r="98" spans="2:11" ht="14.25" customHeight="1" x14ac:dyDescent="0.2">
      <c r="B98" s="94" t="str">
        <f>IF('Limestone Plant (LP-7)'!$E$4&gt;5,"County:","")</f>
        <v/>
      </c>
      <c r="C98" s="76"/>
      <c r="D98" s="55"/>
      <c r="E98" s="166" t="str">
        <f t="shared" ref="E98:E104" si="30">IF(G98="","","LP-7 EP-1")</f>
        <v/>
      </c>
      <c r="F98" s="166" t="str">
        <f t="shared" ref="F98:F104" si="31">IF(G98="","",IF(G98="primary crusher","LP-7 EU-1",IF(G98="screening","LP-7 EU-2",IF(G98="secondary crusher","LP-7 EU-3",IF(G98="tertiary crusher","LP-7 EU-4",IF(G98="fines crushing","LP-7 EU-5",IF(G98="fines screening","LP-7 EU-6",IF(G98="wet drilling: unfragmented stone","LP-7 EU-7",IF(G98="conveyor transfer points","LP-7 EU-8")))))))))</f>
        <v/>
      </c>
      <c r="G98" s="98"/>
      <c r="H98" s="167"/>
      <c r="I98" s="184"/>
      <c r="J98" s="81">
        <f t="shared" si="28"/>
        <v>0</v>
      </c>
      <c r="K98" s="81">
        <f t="shared" si="29"/>
        <v>0</v>
      </c>
    </row>
    <row r="99" spans="2:11" ht="14.25" customHeight="1" x14ac:dyDescent="0.2">
      <c r="B99" s="94" t="str">
        <f>IF('Limestone Plant (LP-7)'!$E$4&gt;5,"Crushing Period (Dates):","")</f>
        <v/>
      </c>
      <c r="C99" s="76"/>
      <c r="D99" s="55"/>
      <c r="E99" s="166" t="str">
        <f t="shared" si="30"/>
        <v/>
      </c>
      <c r="F99" s="166" t="str">
        <f t="shared" si="31"/>
        <v/>
      </c>
      <c r="G99" s="98"/>
      <c r="H99" s="167"/>
      <c r="I99" s="184"/>
      <c r="J99" s="81">
        <f t="shared" si="28"/>
        <v>0</v>
      </c>
      <c r="K99" s="81">
        <f t="shared" si="29"/>
        <v>0</v>
      </c>
    </row>
    <row r="100" spans="2:11" ht="14.25" customHeight="1" x14ac:dyDescent="0.2">
      <c r="B100" s="281" t="str">
        <f>IF('Limestone Plant (LP-7)'!$E$4&gt;5,"Controlled with Dust Suppressant or","")</f>
        <v/>
      </c>
      <c r="D100" s="55"/>
      <c r="E100" s="166" t="str">
        <f t="shared" si="30"/>
        <v/>
      </c>
      <c r="F100" s="166" t="str">
        <f t="shared" si="31"/>
        <v/>
      </c>
      <c r="G100" s="98"/>
      <c r="H100" s="167"/>
      <c r="I100" s="184"/>
      <c r="J100" s="81">
        <f t="shared" si="28"/>
        <v>0</v>
      </c>
      <c r="K100" s="81">
        <f t="shared" si="29"/>
        <v>0</v>
      </c>
    </row>
    <row r="101" spans="2:11" ht="14.25" customHeight="1" x14ac:dyDescent="0.2">
      <c r="B101" s="282" t="str">
        <f>IF('Limestone Plant (LP-7)'!$E$4&gt;5,"Material Being Processed has","")</f>
        <v/>
      </c>
      <c r="C101" s="280"/>
      <c r="D101" s="55"/>
      <c r="E101" s="166" t="str">
        <f t="shared" si="30"/>
        <v/>
      </c>
      <c r="F101" s="166" t="str">
        <f t="shared" si="31"/>
        <v/>
      </c>
      <c r="G101" s="98"/>
      <c r="H101" s="167"/>
      <c r="I101" s="184"/>
      <c r="J101" s="81">
        <f t="shared" si="28"/>
        <v>0</v>
      </c>
      <c r="K101" s="81">
        <f t="shared" si="29"/>
        <v>0</v>
      </c>
    </row>
    <row r="102" spans="2:11" ht="14.25" customHeight="1" x14ac:dyDescent="0.2">
      <c r="B102" s="284" t="str">
        <f>IF('Limestone Plant (LP-7)'!$E$4&gt;5,"Moisture Content &gt; 1.5%?","")</f>
        <v/>
      </c>
      <c r="C102" s="55"/>
      <c r="D102" s="55"/>
      <c r="E102" s="166" t="str">
        <f t="shared" si="30"/>
        <v/>
      </c>
      <c r="F102" s="166" t="str">
        <f t="shared" si="31"/>
        <v/>
      </c>
      <c r="G102" s="98"/>
      <c r="H102" s="167"/>
      <c r="I102" s="184"/>
      <c r="J102" s="81">
        <f t="shared" si="28"/>
        <v>0</v>
      </c>
      <c r="K102" s="81">
        <f t="shared" si="29"/>
        <v>0</v>
      </c>
    </row>
    <row r="103" spans="2:11" ht="14.25" customHeight="1" x14ac:dyDescent="0.2">
      <c r="B103" s="55"/>
      <c r="D103" s="55"/>
      <c r="E103" s="166" t="str">
        <f t="shared" si="30"/>
        <v/>
      </c>
      <c r="F103" s="166" t="str">
        <f t="shared" si="31"/>
        <v/>
      </c>
      <c r="G103" s="98"/>
      <c r="H103" s="167"/>
      <c r="I103" s="184"/>
      <c r="J103" s="81">
        <f t="shared" si="28"/>
        <v>0</v>
      </c>
      <c r="K103" s="81">
        <f t="shared" si="29"/>
        <v>0</v>
      </c>
    </row>
    <row r="104" spans="2:11" ht="14.25" customHeight="1" x14ac:dyDescent="0.2">
      <c r="B104" s="55"/>
      <c r="C104" s="55"/>
      <c r="D104" s="55"/>
      <c r="E104" s="166" t="str">
        <f t="shared" si="30"/>
        <v/>
      </c>
      <c r="F104" s="166" t="str">
        <f t="shared" si="31"/>
        <v/>
      </c>
      <c r="G104" s="98"/>
      <c r="H104" s="167"/>
      <c r="I104" s="184"/>
      <c r="J104" s="81">
        <f t="shared" si="28"/>
        <v>0</v>
      </c>
      <c r="K104" s="81">
        <f t="shared" si="29"/>
        <v>0</v>
      </c>
    </row>
    <row r="105" spans="2:11" ht="14.25" customHeight="1" x14ac:dyDescent="0.2">
      <c r="B105" s="55"/>
      <c r="D105" s="55"/>
      <c r="E105" s="55"/>
      <c r="F105" s="55"/>
      <c r="G105" s="90"/>
    </row>
    <row r="106" spans="2:11" ht="14.25" customHeight="1" x14ac:dyDescent="0.2">
      <c r="B106" s="55"/>
      <c r="E106" s="88" t="str">
        <f>IF('Limestone Plant (LP-7)'!$E$4&gt;5,"Stock Pile Area","")</f>
        <v/>
      </c>
      <c r="F106" s="88"/>
      <c r="G106" s="89"/>
    </row>
    <row r="107" spans="2:11" ht="14.25" customHeight="1" x14ac:dyDescent="0.2">
      <c r="B107" s="55"/>
      <c r="D107" s="90"/>
      <c r="F107" s="60" t="str">
        <f>IF('Limestone Plant (LP-7)'!$E$4&gt;5,"Emission Unit #","")</f>
        <v/>
      </c>
      <c r="G107" s="95" t="str">
        <f>IF('Limestone Plant (LP-7)'!$E$4&gt;5,"Maximum Storage Area (acres)","")</f>
        <v/>
      </c>
      <c r="H107" s="96" t="str">
        <f>IF('Limestone Plant (LP-7)'!$E$4&gt;5,"Actual Storage Area (acres)","")</f>
        <v/>
      </c>
      <c r="I107" s="95" t="str">
        <f>IF('Limestone Plant (LP-7)'!$E$4&gt;5,"Actual Days in Existence (days)","")</f>
        <v/>
      </c>
    </row>
    <row r="108" spans="2:11" ht="14.25" customHeight="1" x14ac:dyDescent="0.2">
      <c r="B108" s="55"/>
      <c r="F108" s="77"/>
      <c r="G108" s="126"/>
      <c r="H108" s="78"/>
      <c r="I108" s="126"/>
    </row>
    <row r="109" spans="2:11" ht="25.5" customHeight="1" x14ac:dyDescent="0.2"/>
    <row r="111" spans="2:11" ht="28.5" customHeight="1" x14ac:dyDescent="0.25">
      <c r="B111" s="92" t="str">
        <f>IF('Limestone Plant (LP-7)'!$E$4&gt;6,"CRUSHER PLANT","")</f>
        <v/>
      </c>
      <c r="C111" s="84" t="str">
        <f>IF('Limestone Plant (LP-7)'!$E$4&gt;6,"Site 7","")</f>
        <v/>
      </c>
      <c r="E111" s="213" t="str">
        <f>IF('Limestone Plant (LP-7)'!$E$4&gt;6,"Emission Point #","")</f>
        <v/>
      </c>
      <c r="F111" s="213" t="str">
        <f>IF('Limestone Plant (LP-7)'!$E$4&gt;6,"Emission    Unit #","")</f>
        <v/>
      </c>
      <c r="G111" s="213" t="str">
        <f>IF('Limestone Plant (LP-7)'!$E$4&gt;6,"Processes","")</f>
        <v/>
      </c>
      <c r="H111" s="220" t="str">
        <f>IF('Limestone Plant (LP-7)'!$E$4&gt;6,"Combined Maximum Hourly Design Rate for all Like Processes (tons/hr)","")</f>
        <v/>
      </c>
      <c r="I111" s="213" t="str">
        <f>IF('Limestone Plant (LP-7)'!$E$4&gt;6,('Facility Information'!G5&amp;" Annual Throughput (tons)"),"")</f>
        <v/>
      </c>
    </row>
    <row r="112" spans="2:11" ht="14.25" customHeight="1" x14ac:dyDescent="0.2">
      <c r="B112" s="94" t="str">
        <f>IF('Limestone Plant (LP-7)'!$E$4&gt;6,"Site Name:","")</f>
        <v/>
      </c>
      <c r="C112" s="76"/>
      <c r="D112" s="55"/>
      <c r="E112" s="166" t="str">
        <f>IF(G112="","","LP-7 EP-1")</f>
        <v/>
      </c>
      <c r="F112" s="166" t="str">
        <f>IF(G112="","",IF(G112="primary crusher","LP-7 EU-1",IF(G112="screening","LP-7 EU-2",IF(G112="secondary crusher","LP-7 EU-3",IF(G112="tertiary crusher","LP-7 EU-4",IF(G112="fines crushing","LP-7 EU-5",IF(G112="fines screening","LP-7 EU-6",IF(G112="wet drilling: unfragmented stone","LP-7 EU-7",IF(G112="conveyor transfer points","LP-7 EU-8")))))))))</f>
        <v/>
      </c>
      <c r="G112" s="98"/>
      <c r="H112" s="167"/>
      <c r="I112" s="184"/>
      <c r="J112" s="81">
        <f t="shared" ref="J112:J119" si="32">IF($C$116="no",I112,0)</f>
        <v>0</v>
      </c>
      <c r="K112" s="81">
        <f t="shared" ref="K112:K119" si="33">IF($C$116="yes",I112,0)</f>
        <v>0</v>
      </c>
    </row>
    <row r="113" spans="2:11" ht="14.25" customHeight="1" x14ac:dyDescent="0.2">
      <c r="B113" s="94" t="str">
        <f>IF('Limestone Plant (LP-7)'!$E$4&gt;6,"County:","")</f>
        <v/>
      </c>
      <c r="C113" s="76"/>
      <c r="D113" s="55"/>
      <c r="E113" s="166" t="str">
        <f t="shared" ref="E113:E119" si="34">IF(G113="","","LP-7 EP-1")</f>
        <v/>
      </c>
      <c r="F113" s="166" t="str">
        <f t="shared" ref="F113:F119" si="35">IF(G113="","",IF(G113="primary crusher","LP-7 EU-1",IF(G113="screening","LP-7 EU-2",IF(G113="secondary crusher","LP-7 EU-3",IF(G113="tertiary crusher","LP-7 EU-4",IF(G113="fines crushing","LP-7 EU-5",IF(G113="fines screening","LP-7 EU-6",IF(G113="wet drilling: unfragmented stone","LP-7 EU-7",IF(G113="conveyor transfer points","LP-7 EU-8")))))))))</f>
        <v/>
      </c>
      <c r="G113" s="98"/>
      <c r="H113" s="167"/>
      <c r="I113" s="184"/>
      <c r="J113" s="81">
        <f t="shared" si="32"/>
        <v>0</v>
      </c>
      <c r="K113" s="81">
        <f t="shared" si="33"/>
        <v>0</v>
      </c>
    </row>
    <row r="114" spans="2:11" ht="14.25" customHeight="1" x14ac:dyDescent="0.2">
      <c r="B114" s="94" t="str">
        <f>IF('Limestone Plant (LP-7)'!$E$4&gt;6,"Crushing Period (Dates):","")</f>
        <v/>
      </c>
      <c r="C114" s="76"/>
      <c r="D114" s="55"/>
      <c r="E114" s="166" t="str">
        <f t="shared" si="34"/>
        <v/>
      </c>
      <c r="F114" s="166" t="str">
        <f t="shared" si="35"/>
        <v/>
      </c>
      <c r="G114" s="98"/>
      <c r="H114" s="167"/>
      <c r="I114" s="184"/>
      <c r="J114" s="81">
        <f t="shared" si="32"/>
        <v>0</v>
      </c>
      <c r="K114" s="81">
        <f t="shared" si="33"/>
        <v>0</v>
      </c>
    </row>
    <row r="115" spans="2:11" ht="14.25" customHeight="1" x14ac:dyDescent="0.2">
      <c r="B115" s="281" t="str">
        <f>IF('Limestone Plant (LP-7)'!$E$4&gt;6,"Controlled with Dust Suppressant or","")</f>
        <v/>
      </c>
      <c r="D115" s="55"/>
      <c r="E115" s="166" t="str">
        <f t="shared" si="34"/>
        <v/>
      </c>
      <c r="F115" s="166" t="str">
        <f t="shared" si="35"/>
        <v/>
      </c>
      <c r="G115" s="98"/>
      <c r="H115" s="167"/>
      <c r="I115" s="184"/>
      <c r="J115" s="81">
        <f t="shared" si="32"/>
        <v>0</v>
      </c>
      <c r="K115" s="81">
        <f t="shared" si="33"/>
        <v>0</v>
      </c>
    </row>
    <row r="116" spans="2:11" ht="14.25" customHeight="1" x14ac:dyDescent="0.2">
      <c r="B116" s="282" t="str">
        <f>IF('Limestone Plant (LP-7)'!$E$4&gt;6,"Material Being Processed has","")</f>
        <v/>
      </c>
      <c r="C116" s="280"/>
      <c r="D116" s="55"/>
      <c r="E116" s="166" t="str">
        <f t="shared" si="34"/>
        <v/>
      </c>
      <c r="F116" s="166" t="str">
        <f t="shared" si="35"/>
        <v/>
      </c>
      <c r="G116" s="98"/>
      <c r="H116" s="167"/>
      <c r="I116" s="184"/>
      <c r="J116" s="81">
        <f t="shared" si="32"/>
        <v>0</v>
      </c>
      <c r="K116" s="81">
        <f t="shared" si="33"/>
        <v>0</v>
      </c>
    </row>
    <row r="117" spans="2:11" ht="14.25" customHeight="1" x14ac:dyDescent="0.2">
      <c r="B117" s="284" t="str">
        <f>IF('Limestone Plant (LP-7)'!$E$4&gt;6,"Moisture Content &gt; 1.5%?","")</f>
        <v/>
      </c>
      <c r="C117" s="55"/>
      <c r="D117" s="55"/>
      <c r="E117" s="166" t="str">
        <f t="shared" si="34"/>
        <v/>
      </c>
      <c r="F117" s="166" t="str">
        <f t="shared" si="35"/>
        <v/>
      </c>
      <c r="G117" s="98"/>
      <c r="H117" s="167"/>
      <c r="I117" s="184"/>
      <c r="J117" s="81">
        <f t="shared" si="32"/>
        <v>0</v>
      </c>
      <c r="K117" s="81">
        <f t="shared" si="33"/>
        <v>0</v>
      </c>
    </row>
    <row r="118" spans="2:11" ht="14.25" customHeight="1" x14ac:dyDescent="0.2">
      <c r="B118" s="55"/>
      <c r="D118" s="55"/>
      <c r="E118" s="166" t="str">
        <f t="shared" si="34"/>
        <v/>
      </c>
      <c r="F118" s="166" t="str">
        <f t="shared" si="35"/>
        <v/>
      </c>
      <c r="G118" s="98"/>
      <c r="H118" s="167"/>
      <c r="I118" s="184"/>
      <c r="J118" s="81">
        <f t="shared" si="32"/>
        <v>0</v>
      </c>
      <c r="K118" s="81">
        <f t="shared" si="33"/>
        <v>0</v>
      </c>
    </row>
    <row r="119" spans="2:11" ht="14.25" customHeight="1" x14ac:dyDescent="0.2">
      <c r="B119" s="55"/>
      <c r="C119" s="55"/>
      <c r="D119" s="55"/>
      <c r="E119" s="166" t="str">
        <f t="shared" si="34"/>
        <v/>
      </c>
      <c r="F119" s="166" t="str">
        <f t="shared" si="35"/>
        <v/>
      </c>
      <c r="G119" s="98"/>
      <c r="H119" s="167"/>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(LP-7)'!$E$4&gt;6,"Stock Pile Area","")</f>
        <v/>
      </c>
      <c r="F121" s="88"/>
      <c r="G121" s="89"/>
    </row>
    <row r="122" spans="2:11" ht="14.25" customHeight="1" x14ac:dyDescent="0.2">
      <c r="B122" s="55"/>
      <c r="D122" s="90"/>
      <c r="F122" s="60" t="str">
        <f>IF('Limestone Plant (LP-7)'!$E$4&gt;6,"Emission Unit #","")</f>
        <v/>
      </c>
      <c r="G122" s="95" t="str">
        <f>IF('Limestone Plant (LP-7)'!$E$4&gt;6,"Maximum Storage Area (acres)","")</f>
        <v/>
      </c>
      <c r="H122" s="96" t="str">
        <f>IF('Limestone Plant (LP-7)'!$E$4&gt;6,"Actual Storage Area (acres)","")</f>
        <v/>
      </c>
      <c r="I122" s="95" t="str">
        <f>IF('Limestone Plant (LP-7)'!$E$4&gt;6,"Actual Days in Existence (days)","")</f>
        <v/>
      </c>
    </row>
    <row r="123" spans="2:11" ht="14.25" customHeight="1" x14ac:dyDescent="0.2">
      <c r="B123" s="55"/>
      <c r="F123" s="77"/>
      <c r="G123" s="126"/>
      <c r="H123" s="78"/>
      <c r="I123" s="126"/>
    </row>
    <row r="124" spans="2:11" ht="25.5" customHeight="1" x14ac:dyDescent="0.2"/>
    <row r="126" spans="2:11" ht="30.75" customHeight="1" x14ac:dyDescent="0.25">
      <c r="B126" s="92" t="str">
        <f>IF('Limestone Plant (LP-7)'!$E$4&gt;7,"CRUSHER PLANT","")</f>
        <v/>
      </c>
      <c r="C126" s="84" t="str">
        <f>IF('Limestone Plant (LP-7)'!$E$4&gt;7,"Site 8","")</f>
        <v/>
      </c>
      <c r="E126" s="213" t="str">
        <f>IF('Limestone Plant (LP-7)'!$E$4&gt;7,"Emission Point #","")</f>
        <v/>
      </c>
      <c r="F126" s="213" t="str">
        <f>IF('Limestone Plant (LP-7)'!$E$4&gt;7,"Emission    Unit #","")</f>
        <v/>
      </c>
      <c r="G126" s="213" t="str">
        <f>IF('Limestone Plant (LP-7)'!$E$4&gt;7,"Processes","")</f>
        <v/>
      </c>
      <c r="H126" s="220" t="str">
        <f>IF('Limestone Plant (LP-7)'!$E$4&gt;7,"Combined Maximum Hourly Design Rate for all Like Processes (tons/hr)","")</f>
        <v/>
      </c>
      <c r="I126" s="213" t="str">
        <f>IF('Limestone Plant (LP-7)'!$E$4&gt;7,('Facility Information'!G5&amp;" Annual Throughput (tons)"),"")</f>
        <v/>
      </c>
    </row>
    <row r="127" spans="2:11" ht="14.25" customHeight="1" x14ac:dyDescent="0.2">
      <c r="B127" s="94" t="str">
        <f>IF('Limestone Plant (LP-7)'!$E$4&gt;7,"Site Name:","")</f>
        <v/>
      </c>
      <c r="C127" s="76"/>
      <c r="D127" s="55"/>
      <c r="E127" s="166" t="str">
        <f>IF(G127="","","LP-7 EP-1")</f>
        <v/>
      </c>
      <c r="F127" s="166" t="str">
        <f>IF(G127="","",IF(G127="primary crusher","LP-7 EU-1",IF(G127="screening","LP-7 EU-2",IF(G127="secondary crusher","LP-7 EU-3",IF(G127="tertiary crusher","LP-7 EU-4",IF(G127="fines crushing","LP-7 EU-5",IF(G127="fines screening","LP-7 EU-6",IF(G127="wet drilling: unfragmented stone","LP-7 EU-7",IF(G127="conveyor transfer points","LP-7 EU-8")))))))))</f>
        <v/>
      </c>
      <c r="G127" s="98"/>
      <c r="H127" s="167"/>
      <c r="I127" s="184"/>
      <c r="J127" s="81">
        <f t="shared" ref="J127:J134" si="36">IF($C$131="no",I127,0)</f>
        <v>0</v>
      </c>
      <c r="K127" s="81">
        <f t="shared" ref="K127:K134" si="37">IF($C$131="yes",I127,0)</f>
        <v>0</v>
      </c>
    </row>
    <row r="128" spans="2:11" ht="14.25" customHeight="1" x14ac:dyDescent="0.2">
      <c r="B128" s="94" t="str">
        <f>IF('Limestone Plant (LP-7)'!$E$4&gt;7,"County:","")</f>
        <v/>
      </c>
      <c r="C128" s="76"/>
      <c r="D128" s="55"/>
      <c r="E128" s="166" t="str">
        <f t="shared" ref="E128:E134" si="38">IF(G128="","","LP-7 EP-1")</f>
        <v/>
      </c>
      <c r="F128" s="166" t="str">
        <f t="shared" ref="F128:F134" si="39">IF(G128="","",IF(G128="primary crusher","LP-7 EU-1",IF(G128="screening","LP-7 EU-2",IF(G128="secondary crusher","LP-7 EU-3",IF(G128="tertiary crusher","LP-7 EU-4",IF(G128="fines crushing","LP-7 EU-5",IF(G128="fines screening","LP-7 EU-6",IF(G128="wet drilling: unfragmented stone","LP-7 EU-7",IF(G128="conveyor transfer points","LP-7 EU-8")))))))))</f>
        <v/>
      </c>
      <c r="G128" s="98"/>
      <c r="H128" s="167"/>
      <c r="I128" s="184"/>
      <c r="J128" s="81">
        <f t="shared" si="36"/>
        <v>0</v>
      </c>
      <c r="K128" s="81">
        <f t="shared" si="37"/>
        <v>0</v>
      </c>
    </row>
    <row r="129" spans="2:11" ht="14.25" customHeight="1" x14ac:dyDescent="0.2">
      <c r="B129" s="94" t="str">
        <f>IF('Limestone Plant (LP-7)'!$E$4&gt;7,"Crushing Period (Dates):","")</f>
        <v/>
      </c>
      <c r="C129" s="76"/>
      <c r="D129" s="55"/>
      <c r="E129" s="166" t="str">
        <f t="shared" si="38"/>
        <v/>
      </c>
      <c r="F129" s="166" t="str">
        <f t="shared" si="39"/>
        <v/>
      </c>
      <c r="G129" s="98"/>
      <c r="H129" s="167"/>
      <c r="I129" s="184"/>
      <c r="J129" s="81">
        <f t="shared" si="36"/>
        <v>0</v>
      </c>
      <c r="K129" s="81">
        <f t="shared" si="37"/>
        <v>0</v>
      </c>
    </row>
    <row r="130" spans="2:11" ht="14.25" customHeight="1" x14ac:dyDescent="0.2">
      <c r="B130" s="281" t="str">
        <f>IF('Limestone Plant (LP-7)'!$E$4&gt;7,"Controlled with Dust Suppressant or","")</f>
        <v/>
      </c>
      <c r="D130" s="55"/>
      <c r="E130" s="166" t="str">
        <f t="shared" si="38"/>
        <v/>
      </c>
      <c r="F130" s="166" t="str">
        <f t="shared" si="39"/>
        <v/>
      </c>
      <c r="G130" s="98"/>
      <c r="H130" s="167"/>
      <c r="I130" s="184"/>
      <c r="J130" s="81">
        <f t="shared" si="36"/>
        <v>0</v>
      </c>
      <c r="K130" s="81">
        <f t="shared" si="37"/>
        <v>0</v>
      </c>
    </row>
    <row r="131" spans="2:11" ht="14.25" customHeight="1" x14ac:dyDescent="0.2">
      <c r="B131" s="282" t="str">
        <f>IF('Limestone Plant (LP-7)'!$E$4&gt;7,"Material Being Processed has","")</f>
        <v/>
      </c>
      <c r="C131" s="280"/>
      <c r="D131" s="55"/>
      <c r="E131" s="166" t="str">
        <f t="shared" si="38"/>
        <v/>
      </c>
      <c r="F131" s="166" t="str">
        <f t="shared" si="39"/>
        <v/>
      </c>
      <c r="G131" s="98"/>
      <c r="H131" s="167"/>
      <c r="I131" s="184"/>
      <c r="J131" s="81">
        <f t="shared" si="36"/>
        <v>0</v>
      </c>
      <c r="K131" s="81">
        <f t="shared" si="37"/>
        <v>0</v>
      </c>
    </row>
    <row r="132" spans="2:11" ht="14.25" customHeight="1" x14ac:dyDescent="0.2">
      <c r="B132" s="284" t="str">
        <f>IF('Limestone Plant (LP-7)'!$E$4&gt;7,"Moisture Content &gt; 1.5%?","")</f>
        <v/>
      </c>
      <c r="C132" s="55"/>
      <c r="D132" s="55"/>
      <c r="E132" s="166" t="str">
        <f t="shared" si="38"/>
        <v/>
      </c>
      <c r="F132" s="166" t="str">
        <f t="shared" si="39"/>
        <v/>
      </c>
      <c r="G132" s="98"/>
      <c r="H132" s="167"/>
      <c r="I132" s="184"/>
      <c r="J132" s="81">
        <f t="shared" si="36"/>
        <v>0</v>
      </c>
      <c r="K132" s="81">
        <f t="shared" si="37"/>
        <v>0</v>
      </c>
    </row>
    <row r="133" spans="2:11" ht="14.25" customHeight="1" x14ac:dyDescent="0.2">
      <c r="B133" s="55"/>
      <c r="D133" s="55"/>
      <c r="E133" s="166" t="str">
        <f t="shared" si="38"/>
        <v/>
      </c>
      <c r="F133" s="166" t="str">
        <f t="shared" si="39"/>
        <v/>
      </c>
      <c r="G133" s="98"/>
      <c r="H133" s="167"/>
      <c r="I133" s="184"/>
      <c r="J133" s="81">
        <f t="shared" si="36"/>
        <v>0</v>
      </c>
      <c r="K133" s="81">
        <f t="shared" si="37"/>
        <v>0</v>
      </c>
    </row>
    <row r="134" spans="2:11" ht="14.25" customHeight="1" x14ac:dyDescent="0.2">
      <c r="B134" s="55"/>
      <c r="C134" s="55"/>
      <c r="D134" s="55"/>
      <c r="E134" s="166" t="str">
        <f t="shared" si="38"/>
        <v/>
      </c>
      <c r="F134" s="166" t="str">
        <f t="shared" si="39"/>
        <v/>
      </c>
      <c r="G134" s="98"/>
      <c r="H134" s="167"/>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(LP-7)'!$E$4&gt;7,"Stock Pile Area","")</f>
        <v/>
      </c>
      <c r="F136" s="88"/>
      <c r="G136" s="89"/>
    </row>
    <row r="137" spans="2:11" ht="14.25" customHeight="1" x14ac:dyDescent="0.2">
      <c r="B137" s="55"/>
      <c r="D137" s="90"/>
      <c r="F137" s="60" t="str">
        <f>IF('Limestone Plant (LP-7)'!$E$4&gt;7,"Emission Unit #","")</f>
        <v/>
      </c>
      <c r="G137" s="95" t="str">
        <f>IF('Limestone Plant (LP-7)'!$E$4&gt;7,"Maximum Storage Area (acres)","")</f>
        <v/>
      </c>
      <c r="H137" s="96" t="str">
        <f>IF('Limestone Plant (LP-7)'!$E$4&gt;7,"Actual Storage Area (acres)","")</f>
        <v/>
      </c>
      <c r="I137" s="95" t="str">
        <f>IF('Limestone Plant (LP-7)'!$E$4&gt;7,"Actual Days in Existence (days)","")</f>
        <v/>
      </c>
    </row>
    <row r="138" spans="2:11" ht="14.25" customHeight="1" x14ac:dyDescent="0.2">
      <c r="B138" s="55"/>
      <c r="F138" s="77"/>
      <c r="G138" s="126"/>
      <c r="H138" s="78"/>
      <c r="I138" s="126"/>
    </row>
    <row r="139" spans="2:11" ht="23.25" customHeight="1" x14ac:dyDescent="0.2"/>
    <row r="141" spans="2:11" ht="28.5" customHeight="1" x14ac:dyDescent="0.25">
      <c r="B141" s="92" t="str">
        <f>IF('Limestone Plant (LP-7)'!$E$4&gt;8,"CRUSHER PLANT","")</f>
        <v/>
      </c>
      <c r="C141" s="84" t="str">
        <f>IF('Limestone Plant (LP-7)'!$E$4&gt;8,"Site 9","")</f>
        <v/>
      </c>
      <c r="E141" s="213" t="str">
        <f>IF('Limestone Plant (LP-7)'!$E$4&gt;8,"Emission Point #","")</f>
        <v/>
      </c>
      <c r="F141" s="213" t="str">
        <f>IF('Limestone Plant (LP-7)'!$E$4&gt;8,"Emission    Unit #","")</f>
        <v/>
      </c>
      <c r="G141" s="213" t="str">
        <f>IF('Limestone Plant (LP-7)'!$E$4&gt;8,"Processes","")</f>
        <v/>
      </c>
      <c r="H141" s="220" t="str">
        <f>IF('Limestone Plant (LP-7)'!$E$4&gt;8,"Combined Maximum Hourly Design Rate for all Like Processes (tons/hr)","")</f>
        <v/>
      </c>
      <c r="I141" s="213" t="str">
        <f>IF('Limestone Plant (LP-7)'!$E$4&gt;8,('Facility Information'!G5&amp;" Annual Throughput (tons)"),"")</f>
        <v/>
      </c>
    </row>
    <row r="142" spans="2:11" ht="14.25" customHeight="1" x14ac:dyDescent="0.2">
      <c r="B142" s="94" t="str">
        <f>IF('Limestone Plant (LP-7)'!$E$4&gt;8,"Site Name:","")</f>
        <v/>
      </c>
      <c r="C142" s="76"/>
      <c r="D142" s="55"/>
      <c r="E142" s="166" t="str">
        <f>IF(G142="","","LP-7 EP-1")</f>
        <v/>
      </c>
      <c r="F142" s="166" t="str">
        <f>IF(G142="","",IF(G142="primary crusher","LP-7 EU-1",IF(G142="screening","LP-7 EU-2",IF(G142="secondary crusher","LP-7 EU-3",IF(G142="tertiary crusher","LP-7 EU-4",IF(G142="fines crushing","LP-7 EU-5",IF(G142="fines screening","LP-7 EU-6",IF(G142="wet drilling: unfragmented stone","LP-7 EU-7",IF(G142="conveyor transfer points","LP-7 EU-8")))))))))</f>
        <v/>
      </c>
      <c r="G142" s="98"/>
      <c r="H142" s="167"/>
      <c r="I142" s="184"/>
      <c r="J142" s="81">
        <f t="shared" ref="J142:J149" si="40">IF($C$146="no",I142,0)</f>
        <v>0</v>
      </c>
      <c r="K142" s="81">
        <f t="shared" ref="K142:K149" si="41">IF($C$146="yes",I142,0)</f>
        <v>0</v>
      </c>
    </row>
    <row r="143" spans="2:11" ht="14.25" customHeight="1" x14ac:dyDescent="0.2">
      <c r="B143" s="94" t="str">
        <f>IF('Limestone Plant (LP-7)'!$E$4&gt;8,"County:","")</f>
        <v/>
      </c>
      <c r="C143" s="76"/>
      <c r="D143" s="55"/>
      <c r="E143" s="166" t="str">
        <f t="shared" ref="E143:E149" si="42">IF(G143="","","LP-7 EP-1")</f>
        <v/>
      </c>
      <c r="F143" s="166" t="str">
        <f t="shared" ref="F143:F149" si="43">IF(G143="","",IF(G143="primary crusher","LP-7 EU-1",IF(G143="screening","LP-7 EU-2",IF(G143="secondary crusher","LP-7 EU-3",IF(G143="tertiary crusher","LP-7 EU-4",IF(G143="fines crushing","LP-7 EU-5",IF(G143="fines screening","LP-7 EU-6",IF(G143="wet drilling: unfragmented stone","LP-7 EU-7",IF(G143="conveyor transfer points","LP-7 EU-8")))))))))</f>
        <v/>
      </c>
      <c r="G143" s="98"/>
      <c r="H143" s="167"/>
      <c r="I143" s="184"/>
      <c r="J143" s="81">
        <f t="shared" si="40"/>
        <v>0</v>
      </c>
      <c r="K143" s="81">
        <f t="shared" si="41"/>
        <v>0</v>
      </c>
    </row>
    <row r="144" spans="2:11" ht="14.25" customHeight="1" x14ac:dyDescent="0.2">
      <c r="B144" s="94" t="str">
        <f>IF('Limestone Plant (LP-7)'!$E$4&gt;8,"Crushing Period (Dates):","")</f>
        <v/>
      </c>
      <c r="C144" s="76"/>
      <c r="D144" s="55"/>
      <c r="E144" s="166" t="str">
        <f t="shared" si="42"/>
        <v/>
      </c>
      <c r="F144" s="166" t="str">
        <f t="shared" si="43"/>
        <v/>
      </c>
      <c r="G144" s="98"/>
      <c r="H144" s="167"/>
      <c r="I144" s="184"/>
      <c r="J144" s="81">
        <f t="shared" si="40"/>
        <v>0</v>
      </c>
      <c r="K144" s="81">
        <f t="shared" si="41"/>
        <v>0</v>
      </c>
    </row>
    <row r="145" spans="2:11" ht="14.25" customHeight="1" x14ac:dyDescent="0.2">
      <c r="B145" s="281" t="str">
        <f>IF('Limestone Plant (LP-7)'!$E$4&gt;8,"Controlled with Dust Suppressant or","")</f>
        <v/>
      </c>
      <c r="D145" s="55"/>
      <c r="E145" s="166" t="str">
        <f t="shared" si="42"/>
        <v/>
      </c>
      <c r="F145" s="166" t="str">
        <f t="shared" si="43"/>
        <v/>
      </c>
      <c r="G145" s="98"/>
      <c r="H145" s="167"/>
      <c r="I145" s="184"/>
      <c r="J145" s="81">
        <f t="shared" si="40"/>
        <v>0</v>
      </c>
      <c r="K145" s="81">
        <f t="shared" si="41"/>
        <v>0</v>
      </c>
    </row>
    <row r="146" spans="2:11" ht="14.25" customHeight="1" x14ac:dyDescent="0.2">
      <c r="B146" s="282" t="str">
        <f>IF('Limestone Plant (LP-7)'!$E$4&gt;8,"Material Being Processed has","")</f>
        <v/>
      </c>
      <c r="C146" s="280"/>
      <c r="D146" s="55"/>
      <c r="E146" s="166" t="str">
        <f t="shared" si="42"/>
        <v/>
      </c>
      <c r="F146" s="166" t="str">
        <f t="shared" si="43"/>
        <v/>
      </c>
      <c r="G146" s="98"/>
      <c r="H146" s="167"/>
      <c r="I146" s="184"/>
      <c r="J146" s="81">
        <f t="shared" si="40"/>
        <v>0</v>
      </c>
      <c r="K146" s="81">
        <f t="shared" si="41"/>
        <v>0</v>
      </c>
    </row>
    <row r="147" spans="2:11" ht="14.25" customHeight="1" x14ac:dyDescent="0.2">
      <c r="B147" s="284" t="str">
        <f>IF('Limestone Plant (LP-7)'!$E$4&gt;8,"Moisture Content &gt; 1.5%?","")</f>
        <v/>
      </c>
      <c r="C147" s="55"/>
      <c r="D147" s="55"/>
      <c r="E147" s="166" t="str">
        <f t="shared" si="42"/>
        <v/>
      </c>
      <c r="F147" s="166" t="str">
        <f t="shared" si="43"/>
        <v/>
      </c>
      <c r="G147" s="98"/>
      <c r="H147" s="167"/>
      <c r="I147" s="184"/>
      <c r="J147" s="81">
        <f t="shared" si="40"/>
        <v>0</v>
      </c>
      <c r="K147" s="81">
        <f t="shared" si="41"/>
        <v>0</v>
      </c>
    </row>
    <row r="148" spans="2:11" ht="14.25" customHeight="1" x14ac:dyDescent="0.2">
      <c r="B148" s="55"/>
      <c r="D148" s="55"/>
      <c r="E148" s="166" t="str">
        <f t="shared" si="42"/>
        <v/>
      </c>
      <c r="F148" s="166" t="str">
        <f t="shared" si="43"/>
        <v/>
      </c>
      <c r="G148" s="98"/>
      <c r="H148" s="167"/>
      <c r="I148" s="184"/>
      <c r="J148" s="81">
        <f t="shared" si="40"/>
        <v>0</v>
      </c>
      <c r="K148" s="81">
        <f t="shared" si="41"/>
        <v>0</v>
      </c>
    </row>
    <row r="149" spans="2:11" ht="14.25" customHeight="1" x14ac:dyDescent="0.2">
      <c r="B149" s="55"/>
      <c r="C149" s="55"/>
      <c r="D149" s="55"/>
      <c r="E149" s="166" t="str">
        <f t="shared" si="42"/>
        <v/>
      </c>
      <c r="F149" s="166" t="str">
        <f t="shared" si="43"/>
        <v/>
      </c>
      <c r="G149" s="98"/>
      <c r="H149" s="167"/>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(LP-7)'!$E$4&gt;8,"Stock Pile Area","")</f>
        <v/>
      </c>
      <c r="F151" s="88"/>
      <c r="G151" s="89"/>
    </row>
    <row r="152" spans="2:11" ht="14.25" customHeight="1" x14ac:dyDescent="0.2">
      <c r="B152" s="55"/>
      <c r="D152" s="90"/>
      <c r="F152" s="60" t="str">
        <f>IF('Limestone Plant (LP-7)'!$E$4&gt;8,"Emission Unit #","")</f>
        <v/>
      </c>
      <c r="G152" s="95" t="str">
        <f>IF('Limestone Plant (LP-7)'!$E$4&gt;8,"Maximum Storage Area (acres)","")</f>
        <v/>
      </c>
      <c r="H152" s="96" t="str">
        <f>IF('Limestone Plant (LP-7)'!$E$4&gt;8,"Actual Storage Area (acres)","")</f>
        <v/>
      </c>
      <c r="I152" s="95" t="str">
        <f>IF('Limestone Plant (LP-7)'!$E$4&gt;8,"Actual Days in Existence (days)","")</f>
        <v/>
      </c>
    </row>
    <row r="153" spans="2:11" ht="14.25" customHeight="1" x14ac:dyDescent="0.2">
      <c r="B153" s="55"/>
      <c r="F153" s="77"/>
      <c r="G153" s="126"/>
      <c r="H153" s="78"/>
      <c r="I153" s="126"/>
    </row>
    <row r="156" spans="2:11" ht="30" customHeight="1" x14ac:dyDescent="0.25">
      <c r="B156" s="92" t="str">
        <f>IF('Limestone Plant (LP-7)'!$E$4&gt;9,"CRUSHER PLANT","")</f>
        <v/>
      </c>
      <c r="C156" s="84" t="str">
        <f>IF('Limestone Plant (LP-7)'!$E$4&gt;9,"Site 10","")</f>
        <v/>
      </c>
      <c r="E156" s="213" t="str">
        <f>IF('Limestone Plant (LP-7)'!$E$4&gt;9,"Emission Point #","")</f>
        <v/>
      </c>
      <c r="F156" s="213" t="str">
        <f>IF('Limestone Plant (LP-7)'!$E$4&gt;9,"Emission    Unit #","")</f>
        <v/>
      </c>
      <c r="G156" s="213" t="str">
        <f>IF('Limestone Plant (LP-7)'!$E$4&gt;9,"Processes","")</f>
        <v/>
      </c>
      <c r="H156" s="220" t="str">
        <f>IF('Limestone Plant (LP-7)'!$E$4&gt;9,"Combined Maximum Hourly Design Rate for all Like Processes (tons/hr)","")</f>
        <v/>
      </c>
      <c r="I156" s="213" t="str">
        <f>IF('Limestone Plant (LP-7)'!$E$4&gt;9,('Facility Information'!G5&amp;" Annual Throughput (tons)"),"")</f>
        <v/>
      </c>
    </row>
    <row r="157" spans="2:11" ht="14.25" customHeight="1" x14ac:dyDescent="0.2">
      <c r="B157" s="94" t="str">
        <f>IF('Limestone Plant (LP-7)'!$E$4&gt;9,"Site Name:","")</f>
        <v/>
      </c>
      <c r="C157" s="76"/>
      <c r="D157" s="55"/>
      <c r="E157" s="166" t="str">
        <f>IF(G157="","","LP-7 EP-1")</f>
        <v/>
      </c>
      <c r="F157" s="166" t="str">
        <f>IF(G157="","",IF(G157="primary crusher","LP-7 EU-1",IF(G157="screening","LP-7 EU-2",IF(G157="secondary crusher","LP-7 EU-3",IF(G157="tertiary crusher","LP-7 EU-4",IF(G157="fines crushing","LP-7 EU-5",IF(G157="fines screening","LP-7 EU-6",IF(G157="wet drilling: unfragmented stone","LP-7 EU-7",IF(G157="conveyor transfer points","LP-7 EU-8")))))))))</f>
        <v/>
      </c>
      <c r="G157" s="98"/>
      <c r="H157" s="167"/>
      <c r="I157" s="184"/>
      <c r="J157" s="81">
        <f>IF($C161="no",I157,0)</f>
        <v>0</v>
      </c>
      <c r="K157" s="81">
        <f>IF($C161="yes",I157,0)</f>
        <v>0</v>
      </c>
    </row>
    <row r="158" spans="2:11" ht="14.25" customHeight="1" x14ac:dyDescent="0.2">
      <c r="B158" s="94" t="str">
        <f>IF('Limestone Plant (LP-7)'!$E$4&gt;9,"County:","")</f>
        <v/>
      </c>
      <c r="C158" s="76"/>
      <c r="D158" s="55"/>
      <c r="E158" s="166" t="str">
        <f t="shared" ref="E158:E164" si="44">IF(G158="","","LP-7 EP-1")</f>
        <v/>
      </c>
      <c r="F158" s="166" t="str">
        <f t="shared" ref="F158:F164" si="45">IF(G158="","",IF(G158="primary crusher","LP-7 EU-1",IF(G158="screening","LP-7 EU-2",IF(G158="secondary crusher","LP-7 EU-3",IF(G158="tertiary crusher","LP-7 EU-4",IF(G158="fines crushing","LP-7 EU-5",IF(G158="fines screening","LP-7 EU-6",IF(G158="wet drilling: unfragmented stone","LP-7 EU-7",IF(G158="conveyor transfer points","LP-7 EU-8")))))))))</f>
        <v/>
      </c>
      <c r="G158" s="98"/>
      <c r="H158" s="167"/>
      <c r="I158" s="184"/>
      <c r="J158" s="81">
        <f t="shared" ref="J158:J164" si="46">IF($C162="no",I158,0)</f>
        <v>0</v>
      </c>
      <c r="K158" s="81">
        <f t="shared" ref="K158:K164" si="47">IF($C162="yes",I158,0)</f>
        <v>0</v>
      </c>
    </row>
    <row r="159" spans="2:11" ht="14.25" customHeight="1" x14ac:dyDescent="0.2">
      <c r="B159" s="94" t="str">
        <f>IF('Limestone Plant (LP-7)'!$E$4&gt;9,"Crushing Period (Dates):","")</f>
        <v/>
      </c>
      <c r="C159" s="76"/>
      <c r="D159" s="55"/>
      <c r="E159" s="166" t="str">
        <f t="shared" si="44"/>
        <v/>
      </c>
      <c r="F159" s="166" t="str">
        <f t="shared" si="45"/>
        <v/>
      </c>
      <c r="G159" s="98"/>
      <c r="H159" s="167"/>
      <c r="I159" s="184"/>
      <c r="J159" s="81">
        <f t="shared" si="46"/>
        <v>0</v>
      </c>
      <c r="K159" s="81">
        <f t="shared" si="47"/>
        <v>0</v>
      </c>
    </row>
    <row r="160" spans="2:11" ht="14.25" customHeight="1" x14ac:dyDescent="0.2">
      <c r="B160" s="281" t="str">
        <f>IF('Limestone Plant (LP-7)'!$E$4&gt;9,"Controlled with Dust Suppressant or","")</f>
        <v/>
      </c>
      <c r="D160" s="55"/>
      <c r="E160" s="166" t="str">
        <f t="shared" si="44"/>
        <v/>
      </c>
      <c r="F160" s="166" t="str">
        <f t="shared" si="45"/>
        <v/>
      </c>
      <c r="G160" s="98"/>
      <c r="H160" s="167"/>
      <c r="I160" s="184"/>
      <c r="J160" s="81">
        <f t="shared" si="46"/>
        <v>0</v>
      </c>
      <c r="K160" s="81">
        <f t="shared" si="47"/>
        <v>0</v>
      </c>
    </row>
    <row r="161" spans="2:11" ht="14.25" customHeight="1" x14ac:dyDescent="0.2">
      <c r="B161" s="282" t="str">
        <f>IF('Limestone Plant (LP-7)'!$E$4&gt;9,"Material Being Processed has","")</f>
        <v/>
      </c>
      <c r="C161" s="280"/>
      <c r="D161" s="55"/>
      <c r="E161" s="166" t="str">
        <f t="shared" si="44"/>
        <v/>
      </c>
      <c r="F161" s="166" t="str">
        <f t="shared" si="45"/>
        <v/>
      </c>
      <c r="G161" s="98"/>
      <c r="H161" s="167"/>
      <c r="I161" s="184"/>
      <c r="J161" s="81">
        <f t="shared" si="46"/>
        <v>0</v>
      </c>
      <c r="K161" s="81">
        <f t="shared" si="47"/>
        <v>0</v>
      </c>
    </row>
    <row r="162" spans="2:11" ht="14.25" customHeight="1" x14ac:dyDescent="0.2">
      <c r="B162" s="284" t="str">
        <f>IF('Limestone Plant (LP-7)'!$E$4&gt;9,"Moisture Content &gt; 1.5%?","")</f>
        <v/>
      </c>
      <c r="C162" s="55"/>
      <c r="D162" s="55"/>
      <c r="E162" s="166" t="str">
        <f t="shared" si="44"/>
        <v/>
      </c>
      <c r="F162" s="166" t="str">
        <f t="shared" si="45"/>
        <v/>
      </c>
      <c r="G162" s="98"/>
      <c r="H162" s="167"/>
      <c r="I162" s="184"/>
      <c r="J162" s="81">
        <f t="shared" si="46"/>
        <v>0</v>
      </c>
      <c r="K162" s="81">
        <f t="shared" si="47"/>
        <v>0</v>
      </c>
    </row>
    <row r="163" spans="2:11" ht="14.25" customHeight="1" x14ac:dyDescent="0.2">
      <c r="B163" s="87"/>
      <c r="D163" s="55"/>
      <c r="E163" s="166" t="str">
        <f t="shared" si="44"/>
        <v/>
      </c>
      <c r="F163" s="166" t="str">
        <f t="shared" si="45"/>
        <v/>
      </c>
      <c r="G163" s="98"/>
      <c r="H163" s="167"/>
      <c r="I163" s="184"/>
      <c r="J163" s="81">
        <f t="shared" si="46"/>
        <v>0</v>
      </c>
      <c r="K163" s="81">
        <f t="shared" si="47"/>
        <v>0</v>
      </c>
    </row>
    <row r="164" spans="2:11" ht="14.25" customHeight="1" x14ac:dyDescent="0.2">
      <c r="B164" s="55"/>
      <c r="C164" s="55"/>
      <c r="D164" s="55"/>
      <c r="E164" s="166" t="str">
        <f t="shared" si="44"/>
        <v/>
      </c>
      <c r="F164" s="166" t="str">
        <f t="shared" si="45"/>
        <v/>
      </c>
      <c r="G164" s="98"/>
      <c r="H164" s="167"/>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(LP-7)'!$E$4&gt;9,"Stock Pile Area","")</f>
        <v/>
      </c>
      <c r="F166" s="88"/>
      <c r="G166" s="89"/>
    </row>
    <row r="167" spans="2:11" ht="14.25" customHeight="1" x14ac:dyDescent="0.2">
      <c r="B167" s="55"/>
      <c r="D167" s="90"/>
      <c r="F167" s="60" t="str">
        <f>IF('Limestone Plant (LP-7)'!$E$4&gt;9,"Emission Unit #","")</f>
        <v/>
      </c>
      <c r="G167" s="95" t="str">
        <f>IF('Limestone Plant (LP-7)'!$E$4&gt;9,"Maximum Storage Area (acres)","")</f>
        <v/>
      </c>
      <c r="H167" s="96" t="str">
        <f>IF('Limestone Plant (LP-7)'!$E$4&gt;9,"Actual Storage Area (acres)","")</f>
        <v/>
      </c>
      <c r="I167" s="95" t="str">
        <f>IF('Limestone Plant (LP-7)'!$E$4&gt;9,"Actual Days in Existence (days)","")</f>
        <v/>
      </c>
    </row>
    <row r="168" spans="2:11" ht="14.25" customHeight="1" x14ac:dyDescent="0.2">
      <c r="F168" s="77"/>
      <c r="G168" s="126"/>
      <c r="H168" s="78"/>
      <c r="I168" s="126"/>
    </row>
  </sheetData>
  <sheetProtection algorithmName="SHA-512" hashValue="CXddkVoTrl5Z4IZU37FqLzLWhbsugc4+W9STYqerULb5TM4fV3RWxoq0UmSI6FKBMxA1ld6Twm5lmlguj0vhSw==" saltValue="hyDP93tgcCD46dyd1XCYaA==" spinCount="100000" sheet="1" objects="1" scenarios="1"/>
  <conditionalFormatting sqref="F46:I46 B157:B159 B142:B144 B127:B129 B112:B114 B97:B99 B82:B84 B67:B69 B52:B54 B36:B38">
    <cfRule type="notContainsBlanks" dxfId="308" priority="73" stopIfTrue="1">
      <formula>LEN(TRIM(B36))&gt;0</formula>
    </cfRule>
  </conditionalFormatting>
  <conditionalFormatting sqref="F46:I47 D35:I35 D46:D47 D44:I45 D36:D43 G36:I43 B43:C47 B42 C40:C41 B35:C38">
    <cfRule type="cellIs" dxfId="307" priority="70" stopIfTrue="1" operator="equal">
      <formula>$B$35="crusher plant"</formula>
    </cfRule>
  </conditionalFormatting>
  <conditionalFormatting sqref="C44 B35:C35">
    <cfRule type="notContainsBlanks" dxfId="306" priority="74" stopIfTrue="1">
      <formula>LEN(TRIM(B35))&gt;0</formula>
    </cfRule>
  </conditionalFormatting>
  <conditionalFormatting sqref="F62:I62">
    <cfRule type="notContainsBlanks" dxfId="305" priority="69" stopIfTrue="1">
      <formula>LEN(TRIM(F62))&gt;0</formula>
    </cfRule>
  </conditionalFormatting>
  <conditionalFormatting sqref="F62:I63 D51:I51 D62:D63 D60:I61 D52:D59 G52:I59 B59:C63 B58 C56:C57 B51:C54">
    <cfRule type="cellIs" dxfId="304" priority="66" stopIfTrue="1" operator="equal">
      <formula>$B$51="crusher plant"</formula>
    </cfRule>
  </conditionalFormatting>
  <conditionalFormatting sqref="C60 B51:C51">
    <cfRule type="notContainsBlanks" dxfId="303" priority="75" stopIfTrue="1">
      <formula>LEN(TRIM(B51))&gt;0</formula>
    </cfRule>
  </conditionalFormatting>
  <conditionalFormatting sqref="F77:I77">
    <cfRule type="notContainsBlanks" dxfId="302" priority="64" stopIfTrue="1">
      <formula>LEN(TRIM(F77))&gt;0</formula>
    </cfRule>
  </conditionalFormatting>
  <conditionalFormatting sqref="F77:I78 D66:I66 D77:D78 D75:I76 D67:D74 G67:I74 B74:C78 B73 C71:C72 B66:C69">
    <cfRule type="cellIs" dxfId="301" priority="61" stopIfTrue="1" operator="equal">
      <formula>$B$66="crusher plant"</formula>
    </cfRule>
  </conditionalFormatting>
  <conditionalFormatting sqref="C75 B66:C66">
    <cfRule type="notContainsBlanks" dxfId="300" priority="65" stopIfTrue="1">
      <formula>LEN(TRIM(B66))&gt;0</formula>
    </cfRule>
  </conditionalFormatting>
  <conditionalFormatting sqref="F92:I92">
    <cfRule type="notContainsBlanks" dxfId="299" priority="59" stopIfTrue="1">
      <formula>LEN(TRIM(F92))&gt;0</formula>
    </cfRule>
  </conditionalFormatting>
  <conditionalFormatting sqref="F92:I93 D81:I81 D92:D93 D90:I91 D82:D89 G82:I89 B89:C93 B88 C86:C87 B81:C84">
    <cfRule type="cellIs" dxfId="298" priority="56" stopIfTrue="1" operator="equal">
      <formula>$B$81="crusher plant"</formula>
    </cfRule>
  </conditionalFormatting>
  <conditionalFormatting sqref="C90 B81:C81">
    <cfRule type="notContainsBlanks" dxfId="297" priority="60" stopIfTrue="1">
      <formula>LEN(TRIM(B81))&gt;0</formula>
    </cfRule>
  </conditionalFormatting>
  <conditionalFormatting sqref="F107:I107">
    <cfRule type="notContainsBlanks" dxfId="296" priority="54" stopIfTrue="1">
      <formula>LEN(TRIM(F107))&gt;0</formula>
    </cfRule>
  </conditionalFormatting>
  <conditionalFormatting sqref="F107:I108 D96:I96 D107:D108 D105:I106 D97:D104 G97:I104 B104:C108 B103 C101:C102 B96:C99">
    <cfRule type="cellIs" dxfId="295" priority="51" stopIfTrue="1" operator="equal">
      <formula>$B$96="crusher plant"</formula>
    </cfRule>
  </conditionalFormatting>
  <conditionalFormatting sqref="C105 B96:C96">
    <cfRule type="notContainsBlanks" dxfId="294" priority="55" stopIfTrue="1">
      <formula>LEN(TRIM(B96))&gt;0</formula>
    </cfRule>
  </conditionalFormatting>
  <conditionalFormatting sqref="F122:I122">
    <cfRule type="notContainsBlanks" dxfId="293" priority="49" stopIfTrue="1">
      <formula>LEN(TRIM(F122))&gt;0</formula>
    </cfRule>
  </conditionalFormatting>
  <conditionalFormatting sqref="D120:I121 D112:D119 G112:I119 F123:I123 C112:C114 B119:C123 B118 C116:C117">
    <cfRule type="cellIs" dxfId="292" priority="46" stopIfTrue="1" operator="equal">
      <formula>$B$111="crusher plant"</formula>
    </cfRule>
  </conditionalFormatting>
  <conditionalFormatting sqref="C120 B111:C111">
    <cfRule type="notContainsBlanks" dxfId="291" priority="50" stopIfTrue="1">
      <formula>LEN(TRIM(B111))&gt;0</formula>
    </cfRule>
  </conditionalFormatting>
  <conditionalFormatting sqref="F137:I137">
    <cfRule type="notContainsBlanks" dxfId="290" priority="44" stopIfTrue="1">
      <formula>LEN(TRIM(F137))&gt;0</formula>
    </cfRule>
  </conditionalFormatting>
  <conditionalFormatting sqref="F137:I138 D126:I126 D137:D138 D135:I136 D127:D134 G127:I134 B134:C138 B133 C131:C132 B126:C129">
    <cfRule type="cellIs" dxfId="289" priority="41" stopIfTrue="1" operator="equal">
      <formula>$B$126="crusher plant"</formula>
    </cfRule>
  </conditionalFormatting>
  <conditionalFormatting sqref="C135 B126:C126">
    <cfRule type="notContainsBlanks" dxfId="288" priority="45" stopIfTrue="1">
      <formula>LEN(TRIM(B126))&gt;0</formula>
    </cfRule>
  </conditionalFormatting>
  <conditionalFormatting sqref="F152:I152">
    <cfRule type="notContainsBlanks" dxfId="287" priority="39" stopIfTrue="1">
      <formula>LEN(TRIM(F152))&gt;0</formula>
    </cfRule>
  </conditionalFormatting>
  <conditionalFormatting sqref="F152:I153 D141:I141 D152:D153 D150:I151 D142:D149 G142:I149 B149:C153 B148 C146:C147 B141:C144">
    <cfRule type="cellIs" dxfId="286" priority="36" stopIfTrue="1" operator="equal">
      <formula>$B$141="crusher plant"</formula>
    </cfRule>
  </conditionalFormatting>
  <conditionalFormatting sqref="C150 B141:C141">
    <cfRule type="notContainsBlanks" dxfId="285" priority="40" stopIfTrue="1">
      <formula>LEN(TRIM(B141))&gt;0</formula>
    </cfRule>
  </conditionalFormatting>
  <conditionalFormatting sqref="F167:I167">
    <cfRule type="notContainsBlanks" dxfId="284" priority="34" stopIfTrue="1">
      <formula>LEN(TRIM(F167))&gt;0</formula>
    </cfRule>
  </conditionalFormatting>
  <conditionalFormatting sqref="F167:I168 D156:I156 D167:D168 D165:I166 D157:D164 G157:I164 B164:C167 B163 C161:C162 B156:C159">
    <cfRule type="cellIs" dxfId="283" priority="31" stopIfTrue="1" operator="equal">
      <formula>$B$156="crusher plant"</formula>
    </cfRule>
  </conditionalFormatting>
  <conditionalFormatting sqref="C165 B156:C156">
    <cfRule type="notContainsBlanks" dxfId="282" priority="35" stopIfTrue="1">
      <formula>LEN(TRIM(B156))&gt;0</formula>
    </cfRule>
  </conditionalFormatting>
  <conditionalFormatting sqref="E36:E43">
    <cfRule type="expression" dxfId="281" priority="29">
      <formula>$B$35="crusher plant"</formula>
    </cfRule>
  </conditionalFormatting>
  <conditionalFormatting sqref="E52:E59">
    <cfRule type="expression" dxfId="280" priority="28">
      <formula>$B$51="crusher plant"</formula>
    </cfRule>
  </conditionalFormatting>
  <conditionalFormatting sqref="E67:E74">
    <cfRule type="expression" dxfId="279" priority="27">
      <formula>$B$66="crusher plant"</formula>
    </cfRule>
  </conditionalFormatting>
  <conditionalFormatting sqref="E82:E89">
    <cfRule type="expression" dxfId="278" priority="26">
      <formula>$B$81="crusher plant"</formula>
    </cfRule>
  </conditionalFormatting>
  <conditionalFormatting sqref="E97:E104">
    <cfRule type="expression" dxfId="277" priority="25">
      <formula>$B$96="crusher plant"</formula>
    </cfRule>
  </conditionalFormatting>
  <conditionalFormatting sqref="E112:E119">
    <cfRule type="expression" dxfId="276" priority="24">
      <formula>$B$111="crusher plant"</formula>
    </cfRule>
  </conditionalFormatting>
  <conditionalFormatting sqref="E127:E134">
    <cfRule type="expression" dxfId="275" priority="23">
      <formula>$B$126="crusher plant"</formula>
    </cfRule>
  </conditionalFormatting>
  <conditionalFormatting sqref="E142:E149">
    <cfRule type="expression" dxfId="274" priority="22">
      <formula>$B$141="crusher plant"</formula>
    </cfRule>
  </conditionalFormatting>
  <conditionalFormatting sqref="E157:E164">
    <cfRule type="expression" dxfId="273" priority="21">
      <formula>$B$156="crusher plant"</formula>
    </cfRule>
  </conditionalFormatting>
  <conditionalFormatting sqref="F21:F28">
    <cfRule type="notContainsBlanks" dxfId="272" priority="20">
      <formula>LEN(TRIM(F21))&gt;0</formula>
    </cfRule>
  </conditionalFormatting>
  <conditionalFormatting sqref="F36:F43">
    <cfRule type="expression" dxfId="271" priority="19">
      <formula>$B$35="crusher plant"</formula>
    </cfRule>
  </conditionalFormatting>
  <conditionalFormatting sqref="F52:F59">
    <cfRule type="expression" dxfId="270" priority="18">
      <formula>$B$51="crusher plant"</formula>
    </cfRule>
  </conditionalFormatting>
  <conditionalFormatting sqref="F67:F74">
    <cfRule type="expression" dxfId="269" priority="17">
      <formula>$B$66="crusher plant"</formula>
    </cfRule>
  </conditionalFormatting>
  <conditionalFormatting sqref="F82:F89">
    <cfRule type="expression" dxfId="268" priority="16">
      <formula>$B$81="crusher plant"</formula>
    </cfRule>
  </conditionalFormatting>
  <conditionalFormatting sqref="F97:F104">
    <cfRule type="expression" dxfId="267" priority="14">
      <formula>$B$96="crusher plant"</formula>
    </cfRule>
  </conditionalFormatting>
  <conditionalFormatting sqref="F112:F119">
    <cfRule type="expression" dxfId="266" priority="13">
      <formula>$B$111="crusher plant"</formula>
    </cfRule>
  </conditionalFormatting>
  <conditionalFormatting sqref="F127:F134">
    <cfRule type="expression" dxfId="265" priority="12">
      <formula>$B$126="crusher plant"</formula>
    </cfRule>
  </conditionalFormatting>
  <conditionalFormatting sqref="F142:F149">
    <cfRule type="expression" dxfId="264" priority="11">
      <formula>$B$141="crusher plant"</formula>
    </cfRule>
  </conditionalFormatting>
  <conditionalFormatting sqref="F157:F164">
    <cfRule type="expression" dxfId="263" priority="10">
      <formula>$B$156="crusher plant"</formula>
    </cfRule>
  </conditionalFormatting>
  <conditionalFormatting sqref="B39:B41">
    <cfRule type="cellIs" dxfId="262" priority="9" stopIfTrue="1" operator="equal">
      <formula>$B$35="crusher plant"</formula>
    </cfRule>
  </conditionalFormatting>
  <conditionalFormatting sqref="B55:B57">
    <cfRule type="cellIs" dxfId="261" priority="8" stopIfTrue="1" operator="equal">
      <formula>$B$35="crusher plant"</formula>
    </cfRule>
  </conditionalFormatting>
  <conditionalFormatting sqref="B70:B72">
    <cfRule type="cellIs" dxfId="260" priority="7" stopIfTrue="1" operator="equal">
      <formula>$B$35="crusher plant"</formula>
    </cfRule>
  </conditionalFormatting>
  <conditionalFormatting sqref="B85:B87">
    <cfRule type="cellIs" dxfId="259" priority="6" stopIfTrue="1" operator="equal">
      <formula>$B$35="crusher plant"</formula>
    </cfRule>
  </conditionalFormatting>
  <conditionalFormatting sqref="B100:B102">
    <cfRule type="cellIs" dxfId="258" priority="5" stopIfTrue="1" operator="equal">
      <formula>$B$35="crusher plant"</formula>
    </cfRule>
  </conditionalFormatting>
  <conditionalFormatting sqref="B115:B117">
    <cfRule type="cellIs" dxfId="257" priority="4" stopIfTrue="1" operator="equal">
      <formula>$B$35="crusher plant"</formula>
    </cfRule>
  </conditionalFormatting>
  <conditionalFormatting sqref="B130:B132">
    <cfRule type="cellIs" dxfId="256" priority="3" stopIfTrue="1" operator="equal">
      <formula>$B$35="crusher plant"</formula>
    </cfRule>
  </conditionalFormatting>
  <conditionalFormatting sqref="B145:B147">
    <cfRule type="cellIs" dxfId="255" priority="2" stopIfTrue="1" operator="equal">
      <formula>$B$35="crusher plant"</formula>
    </cfRule>
  </conditionalFormatting>
  <conditionalFormatting sqref="B160:B162">
    <cfRule type="cellIs" dxfId="254" priority="1" stopIfTrue="1" operator="equal">
      <formula>$B$35="crusher plant"</formula>
    </cfRule>
  </conditionalFormatting>
  <dataValidations count="3">
    <dataValidation type="whole" allowBlank="1" showInputMessage="1" showErrorMessage="1" sqref="C18 E4 D5" xr:uid="{00000000-0002-0000-0700-000000000000}">
      <formula1>0</formula1>
      <formula2>100</formula2>
    </dataValidation>
    <dataValidation type="list" allowBlank="1" showInputMessage="1" showErrorMessage="1" sqref="G21:G28 G36:G43 G52:G59 G67:G74 G82:G89 G97:G104 G112:G119 G127:G134 G142:G149 G157:G164" xr:uid="{00000000-0002-0000-0700-000001000000}">
      <formula1>process</formula1>
    </dataValidation>
    <dataValidation type="list" allowBlank="1" showInputMessage="1" showErrorMessage="1" sqref="C25 C40 C56 C71 C86 C101 C116 C131 C146 C161" xr:uid="{00000000-0002-0000-0700-000002000000}">
      <formula1>CHECK</formula1>
    </dataValidation>
  </dataValidations>
  <pageMargins left="0.7" right="0.7" top="0.75" bottom="0.75" header="0.3" footer="0.3"/>
  <pageSetup scale="70" fitToHeight="0" orientation="landscape"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S168"/>
  <sheetViews>
    <sheetView topLeftCell="B1" zoomScaleNormal="100" workbookViewId="0">
      <selection activeCell="B1" sqref="B1"/>
    </sheetView>
  </sheetViews>
  <sheetFormatPr defaultColWidth="8.85546875" defaultRowHeight="14.25" customHeight="1" x14ac:dyDescent="0.2"/>
  <cols>
    <col min="1" max="1" width="18.710937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8.85546875" style="80" customWidth="1"/>
    <col min="10" max="10" width="11.42578125" style="81" hidden="1" customWidth="1"/>
    <col min="11" max="11" width="14" style="81" hidden="1" customWidth="1"/>
    <col min="12" max="12" width="7" style="80" customWidth="1"/>
    <col min="13" max="13" width="26.85546875" style="80" customWidth="1"/>
    <col min="14" max="14" width="17.7109375" style="80" customWidth="1"/>
    <col min="15" max="15" width="20.42578125" style="80" customWidth="1"/>
    <col min="16" max="16" width="20.42578125" style="80" hidden="1" customWidth="1"/>
    <col min="17" max="18" width="16.42578125" style="80" hidden="1" customWidth="1"/>
    <col min="19" max="19" width="21" style="80" customWidth="1"/>
    <col min="20" max="16384" width="8.85546875" style="80"/>
  </cols>
  <sheetData>
    <row r="1" spans="2:19" ht="14.25" customHeight="1" x14ac:dyDescent="0.2">
      <c r="B1" s="277" t="s">
        <v>152</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$35,MATCH("Screening",$G$36:$G$43,0)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SUM(G32,G47,G63,G78,G93,G108,G123,G138,G153,G168)</f>
        <v>0</v>
      </c>
      <c r="O14" s="110">
        <f>SUM(H32*I32,H47*I47,H63*I63,H78*I78,H93*I93,H108*I108,H123*I123,H138*I138,H153*I153,H168*I168)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376" t="str">
        <f>('Facility Information'!G5&amp;" Annual Throughput (tons)")</f>
        <v xml:space="preserve"> Annual Throughput (tons)</v>
      </c>
      <c r="J20" s="81" t="s">
        <v>132</v>
      </c>
      <c r="K20" s="81" t="s">
        <v>133</v>
      </c>
      <c r="M20" s="109" t="s">
        <v>38</v>
      </c>
      <c r="N20" s="136">
        <f t="shared" ref="N20:N27" ca="1" si="0">N5</f>
        <v>0</v>
      </c>
      <c r="O20" s="145">
        <f ca="1">IF(N20=0,0,IF(OR($C$25="no",$C$40="no",$C$56="no",$C$71="no",$C$86="no",$C$101="no",$C$116="no",$C$131="no",$C$146="no",$C$161="no"),'Emission Factors'!D8,'Emission Factors'!D20))</f>
        <v>0</v>
      </c>
      <c r="P20" s="136" t="str">
        <f t="shared" ref="P20:P27" si="1">IF(OR($C$25="no",$C$40="no",$C$56="no",$C$71="no",$C$86="no",$C$101="no",$C$116="no",$C$131="no",$C$146="no",$C$161="no"),N20*O20,"")</f>
        <v/>
      </c>
      <c r="Q20" s="136">
        <f t="shared" ref="Q20:Q27" ca="1" si="2">IF($F$10&gt;0,$F$10,IF(OR($C$25="no",$C$40="no",$C$56="no",$C$71="no",$C$86="no",$C$101="no",$C$116="no",$C$131="no",$C$146="no",$C$161="no"),"",N20*O20))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IF(G21="","","LP-8 EP-1")</f>
        <v/>
      </c>
      <c r="F21" s="165" t="str">
        <f>IF(G21="","",IF(G21="primary crusher","LP-8 EU-1",IF(G21="screening","LP-8 EU-2",IF(G21="secondary crusher","LP-8 EU-3",IF(G21="tertiary crusher","LP-8 EU-4",IF(G21="fines crushing","LP-8 EU-5",IF(G21="fines screening","LP-8 EU-6",IF(G21="wet drilling: unfragmented stone","LP-8 EU-7",IF(G21="conveyor transfer points","LP-8 EU-8")))))))))</f>
        <v/>
      </c>
      <c r="G21" s="98"/>
      <c r="H21" s="71"/>
      <c r="I21" s="184"/>
      <c r="J21" s="81">
        <f>IF($C25="no",I21,0)</f>
        <v>0</v>
      </c>
      <c r="K21" s="81">
        <f t="shared" ref="K21:K28" si="3">IF($C$25="yes",I21,0)</f>
        <v>0</v>
      </c>
      <c r="M21" s="109" t="s">
        <v>36</v>
      </c>
      <c r="N21" s="136">
        <f t="shared" ca="1" si="0"/>
        <v>0</v>
      </c>
      <c r="O21" s="145">
        <f ca="1">IF(N21=0,0,IF(OR($C$25="no",$C$40="no",$C$56="no",$C$71="no",$C$86="no",$C$101="no",$C$116="no",$C$131="no",$C$146="no",$C$161="no"),'Emission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IF(G22="","","LP-8 EP-1")</f>
        <v/>
      </c>
      <c r="F22" s="165" t="str">
        <f t="shared" ref="F22:F28" si="6">IF(G22="","",IF(G22="primary crusher","LP-8 EU-1",IF(G22="screening","LP-8 EU-2",IF(G22="secondary crusher","LP-8 EU-3",IF(G22="tertiary crusher","LP-8 EU-4",IF(G22="fines crushing","LP-8 EU-5",IF(G22="fines screening","LP-8 EU-6",IF(G22="wet drilling: unfragmented stone","LP-8 EU-7",IF(G22="conveyor transfer points","LP-8 EU-8")))))))))</f>
        <v/>
      </c>
      <c r="G22" s="98"/>
      <c r="H22" s="71"/>
      <c r="I22" s="184"/>
      <c r="J22" s="81">
        <f t="shared" ref="J22:J28" si="7">IF($C$25="no",I22,0)</f>
        <v>0</v>
      </c>
      <c r="K22" s="81">
        <f t="shared" si="3"/>
        <v>0</v>
      </c>
      <c r="M22" s="109" t="s">
        <v>37</v>
      </c>
      <c r="N22" s="136">
        <f t="shared" ca="1" si="0"/>
        <v>0</v>
      </c>
      <c r="O22" s="145">
        <f ca="1">IF(N22=0,0,IF(OR($C$25="no",$C$40="no",$C$56="no",$C$71="no",$C$86="no",$C$101="no",$C$116="no",$C$131="no",$C$146="no",$C$161="no"),'Emission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71"/>
      <c r="I23" s="184"/>
      <c r="J23" s="81">
        <f t="shared" si="7"/>
        <v>0</v>
      </c>
      <c r="K23" s="81">
        <f t="shared" si="3"/>
        <v>0</v>
      </c>
      <c r="M23" s="109" t="s">
        <v>39</v>
      </c>
      <c r="N23" s="136">
        <f t="shared" ca="1" si="0"/>
        <v>0</v>
      </c>
      <c r="O23" s="145">
        <f ca="1">IF(N23=0,0,IF(OR(C25="no",C40="no",C56="no",C71="no",C86="no",C101="no",C116="no",C131="no",C146="no",C161="no"),'Emission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71"/>
      <c r="I24" s="184"/>
      <c r="J24" s="81">
        <f t="shared" si="7"/>
        <v>0</v>
      </c>
      <c r="K24" s="81">
        <f t="shared" si="3"/>
        <v>0</v>
      </c>
      <c r="M24" s="109" t="s">
        <v>40</v>
      </c>
      <c r="N24" s="136">
        <f t="shared" ca="1" si="0"/>
        <v>0</v>
      </c>
      <c r="O24" s="145">
        <f ca="1">IF(N24=0,0,IF(OR(C25="no",C40="no",C56="no",C71="no",C86="no",C101="no",C116="no",C131="no",C146="no",C161="no"),'Emission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71"/>
      <c r="I25" s="184"/>
      <c r="J25" s="81">
        <f t="shared" si="7"/>
        <v>0</v>
      </c>
      <c r="K25" s="81">
        <f t="shared" si="3"/>
        <v>0</v>
      </c>
      <c r="M25" s="109" t="s">
        <v>41</v>
      </c>
      <c r="N25" s="136">
        <f t="shared" ca="1" si="0"/>
        <v>0</v>
      </c>
      <c r="O25" s="145">
        <f ca="1">IF(N25=0,0,IF(OR($C$25="no",$C$40="no",$C$56="no",$C$71="no",$C$86="no",$C$101="no",$C$116="no",$C$131="no",$C$146="no",$C$161="no"),'Emission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71"/>
      <c r="I26" s="184"/>
      <c r="J26" s="81">
        <f t="shared" si="7"/>
        <v>0</v>
      </c>
      <c r="K26" s="81">
        <f t="shared" si="3"/>
        <v>0</v>
      </c>
      <c r="M26" s="109" t="s">
        <v>42</v>
      </c>
      <c r="N26" s="136">
        <f t="shared" ca="1" si="0"/>
        <v>0</v>
      </c>
      <c r="O26" s="145">
        <f ca="1">IF(N26=0,0,IF(OR(C25="no",C40="no",C56="no",C71="no",C86="no",C101="no",C116="no",C131="no",C146="no",C161="no"),'Emission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D27" s="55"/>
      <c r="E27" s="165" t="str">
        <f t="shared" si="5"/>
        <v/>
      </c>
      <c r="F27" s="165" t="str">
        <f t="shared" si="6"/>
        <v/>
      </c>
      <c r="G27" s="98"/>
      <c r="H27" s="71"/>
      <c r="I27" s="184"/>
      <c r="J27" s="81">
        <f t="shared" si="7"/>
        <v>0</v>
      </c>
      <c r="K27" s="81">
        <f t="shared" si="3"/>
        <v>0</v>
      </c>
      <c r="M27" s="109" t="s">
        <v>43</v>
      </c>
      <c r="N27" s="136">
        <f t="shared" ca="1" si="0"/>
        <v>0</v>
      </c>
      <c r="O27" s="145">
        <f ca="1">IF(N27=0,0,IF(OR(C25="no",C40="no",C56="no",C71="no",C86="no",C101="no",C116="no",C131="no",C146="no",C161="no"),'Emission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C28" s="55"/>
      <c r="D28" s="55"/>
      <c r="E28" s="165" t="str">
        <f t="shared" si="5"/>
        <v/>
      </c>
      <c r="F28" s="165" t="str">
        <f t="shared" si="6"/>
        <v/>
      </c>
      <c r="G28" s="98"/>
      <c r="H28" s="71"/>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IF(N29=0,0,IF(OR($C$25="no",$C$40="no",$C$56="no",$C$71="no",$C$86="no",$C$101="no",$C$116="no",$C$131="no",$C$146="no",$C$161="no"),'Emission Factors'!F8,'Emission Factors'!F20))</f>
        <v>0</v>
      </c>
      <c r="P29" s="136" t="str">
        <f t="shared" ref="P29:P36" si="8">IF(OR($C$25="no",$C$40="no",$C$56="no",$C$71="no",$C$86="no",$C$101="no",$C$116="no",$C$131="no",$C$146="no",$C$161="no"),N29*O29,"")</f>
        <v/>
      </c>
      <c r="Q29" s="136">
        <f t="shared" ref="Q29:Q36" ca="1" si="9">IF($F$11&gt;0,$F$11,IF(OR($C$25="no",$C$40="no",$C$56="no",$C$71="no",$C$86="no",$C$101="no",$C$116="no",$C$131="no",$C$146="no",$C$161="no"),"",N29*O29))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5" ca="1" si="10">N6</f>
        <v>0</v>
      </c>
      <c r="O30" s="145">
        <f ca="1">IF(N30=0,0,IF(OR($C$25="no",$C$40="no",$C$56="no",$C$71="no",$C$86="no",$C$101="no",$C$116="no",$C$131="no",$C$146="no",$C$161="no"),'Emission Factors'!F9,'Emission Factors'!F21))</f>
        <v>0</v>
      </c>
      <c r="P30" s="140" t="str">
        <f t="shared" si="8"/>
        <v/>
      </c>
      <c r="Q30" s="136">
        <f t="shared" ca="1" si="9"/>
        <v>0</v>
      </c>
      <c r="R30" s="136">
        <f t="shared" ref="R30:R35"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7" customHeight="1" x14ac:dyDescent="0.25">
      <c r="A35" s="80">
        <f>C36</f>
        <v>0</v>
      </c>
      <c r="B35" s="92" t="str">
        <f>IF('Limestone Plant (LP-8)'!$E$4&gt;1,"CRUSHER PLANT","")</f>
        <v/>
      </c>
      <c r="C35" s="84" t="str">
        <f>IF('Limestone Plant (LP-8)'!$E$4&gt;1,"Site 2","")</f>
        <v/>
      </c>
      <c r="E35" s="213" t="str">
        <f>IF('Limestone Plant (LP-8)'!$E$4&gt;1,"Emission Point #","")</f>
        <v/>
      </c>
      <c r="F35" s="213" t="str">
        <f>IF('Limestone Plant (LP-8)'!$E$4&gt;1,"Emission     Unit #","")</f>
        <v/>
      </c>
      <c r="G35" s="213" t="str">
        <f>IF('Limestone Plant (LP-8)'!$E$4&gt;1,"Processes","")</f>
        <v/>
      </c>
      <c r="H35" s="220" t="str">
        <f>IF('Limestone Plant (LP-8)'!$E$4&gt;1,"Combined Maximum Hourly Design Rate for all Like Processes (tons/hr)","")</f>
        <v/>
      </c>
      <c r="I35" s="213" t="str">
        <f>IF('Limestone Plant (LP-8)'!$E$4&gt;1,('Facility Information'!G5&amp;" Annual Throughput (tons)"),"")</f>
        <v/>
      </c>
      <c r="M35" s="109" t="s">
        <v>42</v>
      </c>
      <c r="N35" s="136">
        <f t="shared" ca="1" si="10"/>
        <v>0</v>
      </c>
      <c r="O35" s="145">
        <f ca="1">IF(N35=0,0,IF(OR(C25="no",C40="no",C56="no",C71="no",C86="no",C101="no",C116="no",C131="no",C146="no",C161="no"),'Emission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C67</f>
        <v>0</v>
      </c>
      <c r="B36" s="94" t="str">
        <f>IF('Limestone Plant (LP-8)'!$E$4&gt;1,"Site Name:","")</f>
        <v/>
      </c>
      <c r="C36" s="76"/>
      <c r="D36" s="55"/>
      <c r="E36" s="166" t="str">
        <f t="shared" ref="E36:E43" si="12">IF(G36="","","LP-8 EP-1")</f>
        <v/>
      </c>
      <c r="F36" s="166" t="str">
        <f>IF(G36="","",IF(G36="primary crusher","LP-8 EU-1",IF(G36="screening","LP-8 EU-2",IF(G36="secondary crusher","LP-8 EU-3",IF(G36="tertiary crusher","LP-1 EU-4",IF(G36="fines crushing","LP-8 EU-5",IF(G36="fines screening","LP-8 EU-6",IF(G36="wet drilling: unfragmented stone","LP-8 EU-7",IF(G36="conveyor transfer points","LP-8 EU-8")))))))))</f>
        <v/>
      </c>
      <c r="G36" s="98"/>
      <c r="H36" s="167"/>
      <c r="I36" s="184"/>
      <c r="J36" s="81">
        <f t="shared" ref="J36:J43" si="13">IF($C$40="no",I36,0)</f>
        <v>0</v>
      </c>
      <c r="K36" s="81">
        <f t="shared" ref="K36:K43" si="14">IF($C$40="yes",I36,0)</f>
        <v>0</v>
      </c>
      <c r="M36" s="109" t="s">
        <v>43</v>
      </c>
      <c r="N36" s="136">
        <f ca="1">N12</f>
        <v>0</v>
      </c>
      <c r="O36" s="145">
        <f ca="1">IF(N36=0,0,IF(OR(C25="no",C40="no",C56="no",C71="no",C86="no",C101="no",C116="no",C131="no",C146="no",C161="no"),'Emission Factors'!F5,'Emission Factors'!F17))</f>
        <v>0</v>
      </c>
      <c r="P36" s="136" t="str">
        <f t="shared" si="8"/>
        <v/>
      </c>
      <c r="Q36" s="136">
        <f t="shared" ca="1" si="9"/>
        <v>0</v>
      </c>
      <c r="R36" s="136">
        <f ca="1">IF($G$11&gt;0,"",IF($C$9&gt;0,$C$9*O36/2000,IF($C$10&gt;0,$C$10*365*O36/2000,IF($C$11&gt;0,$C$11*365*O36*N36/2000,IF(Q36="",P36*8760/2000,Q36*8760/2000)))))</f>
        <v>0</v>
      </c>
      <c r="S36" s="136">
        <f ca="1">(O12*'Emission Factors'!F5/2000)+('Emission Factors'!F17*S12/2000)</f>
        <v>0</v>
      </c>
    </row>
    <row r="37" spans="1:19" ht="14.25" customHeight="1" x14ac:dyDescent="0.2">
      <c r="A37" s="80">
        <f>C82</f>
        <v>0</v>
      </c>
      <c r="B37" s="94" t="str">
        <f>IF('Limestone Plant (LP-8)'!$E$4&gt;1,"County:","")</f>
        <v/>
      </c>
      <c r="C37" s="76"/>
      <c r="D37" s="55"/>
      <c r="E37" s="166" t="str">
        <f t="shared" si="12"/>
        <v/>
      </c>
      <c r="F37" s="166" t="str">
        <f t="shared" ref="F37:F43" si="15">IF(G37="","",IF(G37="primary crusher","LP-8 EU-1",IF(G37="screening","LP-8 EU-2",IF(G37="secondary crusher","LP-8 EU-3",IF(G37="tertiary crusher","LP-1 EU-4",IF(G37="fines crushing","LP-8 EU-5",IF(G37="fines screening","LP-8 EU-6",IF(G37="wet drilling: unfragmented stone","LP-8 EU-7",IF(G37="conveyor transfer points","LP-8 EU-8")))))))))</f>
        <v/>
      </c>
      <c r="G37" s="98"/>
      <c r="H37" s="167"/>
      <c r="I37" s="184"/>
      <c r="J37" s="81">
        <f t="shared" si="13"/>
        <v>0</v>
      </c>
      <c r="K37" s="81">
        <f t="shared" si="14"/>
        <v>0</v>
      </c>
      <c r="N37" s="216" t="s">
        <v>295</v>
      </c>
      <c r="O37" s="216" t="s">
        <v>13</v>
      </c>
      <c r="P37" s="345" t="s">
        <v>304</v>
      </c>
      <c r="Q37" s="216" t="s">
        <v>303</v>
      </c>
      <c r="R37" s="216" t="s">
        <v>289</v>
      </c>
      <c r="S37" s="216" t="s">
        <v>300</v>
      </c>
    </row>
    <row r="38" spans="1:19" ht="14.25" customHeight="1" x14ac:dyDescent="0.2">
      <c r="A38" s="80">
        <f>C97</f>
        <v>0</v>
      </c>
      <c r="B38" s="94" t="str">
        <f>IF('Limestone Plant (LP-8)'!$E$4&gt;1,"Crushing Period (Dates):","")</f>
        <v/>
      </c>
      <c r="C38" s="76"/>
      <c r="D38" s="55"/>
      <c r="E38" s="166" t="str">
        <f t="shared" si="12"/>
        <v/>
      </c>
      <c r="F38" s="166" t="str">
        <f t="shared" si="15"/>
        <v/>
      </c>
      <c r="G38" s="98"/>
      <c r="H38" s="167"/>
      <c r="I38" s="184"/>
      <c r="J38" s="81">
        <f t="shared" si="13"/>
        <v>0</v>
      </c>
      <c r="K38" s="81">
        <f t="shared" si="14"/>
        <v>0</v>
      </c>
      <c r="M38" s="81" t="s">
        <v>44</v>
      </c>
      <c r="N38" s="216" t="s">
        <v>296</v>
      </c>
      <c r="O38" s="221" t="s">
        <v>301</v>
      </c>
      <c r="P38" s="345" t="s">
        <v>249</v>
      </c>
      <c r="Q38" s="216" t="s">
        <v>249</v>
      </c>
      <c r="R38" s="216" t="s">
        <v>253</v>
      </c>
      <c r="S38" s="216" t="s">
        <v>253</v>
      </c>
    </row>
    <row r="39" spans="1:19" ht="14.25" customHeight="1" x14ac:dyDescent="0.2">
      <c r="A39" s="80">
        <f>C112</f>
        <v>0</v>
      </c>
      <c r="B39" s="281" t="str">
        <f>IF('Limestone Plant (LP-8)'!$E$4&gt;1,"Controlled with Dust Suppressant or","")</f>
        <v/>
      </c>
      <c r="D39" s="55"/>
      <c r="E39" s="166" t="str">
        <f t="shared" si="12"/>
        <v/>
      </c>
      <c r="F39" s="166" t="str">
        <f t="shared" si="15"/>
        <v/>
      </c>
      <c r="G39" s="98"/>
      <c r="H39" s="167"/>
      <c r="I39" s="184"/>
      <c r="J39" s="81">
        <f t="shared" si="13"/>
        <v>0</v>
      </c>
      <c r="K39" s="81">
        <f t="shared" si="14"/>
        <v>0</v>
      </c>
      <c r="M39" s="111" t="s">
        <v>143</v>
      </c>
      <c r="N39" s="110">
        <f>N14</f>
        <v>0</v>
      </c>
      <c r="O39" s="110">
        <v>3.64</v>
      </c>
      <c r="P39" s="110">
        <f>N39*O39*(1/24)</f>
        <v>0</v>
      </c>
      <c r="Q39" s="110"/>
      <c r="R39" s="110">
        <f>N39*O39*365/2000</f>
        <v>0</v>
      </c>
      <c r="S39" s="110">
        <f>O14*O39/2000</f>
        <v>0</v>
      </c>
    </row>
    <row r="40" spans="1:19" ht="14.25" customHeight="1" x14ac:dyDescent="0.2">
      <c r="A40" s="80">
        <f>C127</f>
        <v>0</v>
      </c>
      <c r="B40" s="282" t="str">
        <f>IF('Limestone Plant (LP-8)'!$E$4&gt;1,"Material Being Processed has","")</f>
        <v/>
      </c>
      <c r="C40" s="280"/>
      <c r="D40" s="55"/>
      <c r="E40" s="166" t="str">
        <f t="shared" si="12"/>
        <v/>
      </c>
      <c r="F40" s="166" t="str">
        <f t="shared" si="15"/>
        <v/>
      </c>
      <c r="G40" s="98"/>
      <c r="H40" s="167"/>
      <c r="I40" s="184"/>
      <c r="J40" s="81">
        <f t="shared" si="13"/>
        <v>0</v>
      </c>
      <c r="K40" s="81">
        <f t="shared" si="14"/>
        <v>0</v>
      </c>
    </row>
    <row r="41" spans="1:19" ht="14.25" customHeight="1" x14ac:dyDescent="0.2">
      <c r="A41" s="80">
        <f>C142</f>
        <v>0</v>
      </c>
      <c r="B41" s="284" t="str">
        <f>IF('Limestone Plant (LP-8)'!$E$4&gt;1,"Moisture Content &gt; 1.5%?","")</f>
        <v/>
      </c>
      <c r="C41" s="55"/>
      <c r="D41" s="55"/>
      <c r="E41" s="166" t="str">
        <f t="shared" si="12"/>
        <v/>
      </c>
      <c r="F41" s="166" t="str">
        <f t="shared" si="15"/>
        <v/>
      </c>
      <c r="G41" s="98"/>
      <c r="H41" s="167"/>
      <c r="I41" s="184"/>
      <c r="J41" s="81">
        <f t="shared" si="13"/>
        <v>0</v>
      </c>
      <c r="K41" s="81">
        <f t="shared" si="14"/>
        <v>0</v>
      </c>
      <c r="N41" s="81"/>
      <c r="O41" s="81"/>
      <c r="P41" s="81"/>
    </row>
    <row r="42" spans="1:19" ht="14.25" customHeight="1" x14ac:dyDescent="0.2">
      <c r="A42" s="80">
        <f>C157</f>
        <v>0</v>
      </c>
      <c r="B42" s="55"/>
      <c r="D42" s="55"/>
      <c r="E42" s="166" t="str">
        <f t="shared" si="12"/>
        <v/>
      </c>
      <c r="F42" s="166" t="str">
        <f t="shared" si="15"/>
        <v/>
      </c>
      <c r="G42" s="98"/>
      <c r="H42" s="167"/>
      <c r="I42" s="184"/>
      <c r="J42" s="81">
        <f t="shared" si="13"/>
        <v>0</v>
      </c>
      <c r="K42" s="81">
        <f t="shared" si="14"/>
        <v>0</v>
      </c>
      <c r="N42" s="81"/>
      <c r="O42" s="81"/>
      <c r="P42" s="81"/>
    </row>
    <row r="43" spans="1:19" ht="14.25" customHeight="1" x14ac:dyDescent="0.2">
      <c r="B43" s="55"/>
      <c r="C43" s="55"/>
      <c r="D43" s="55"/>
      <c r="E43" s="166" t="str">
        <f t="shared" si="12"/>
        <v/>
      </c>
      <c r="F43" s="166" t="str">
        <f t="shared" si="15"/>
        <v/>
      </c>
      <c r="G43" s="98"/>
      <c r="H43" s="167"/>
      <c r="I43" s="184"/>
      <c r="J43" s="81">
        <f t="shared" si="13"/>
        <v>0</v>
      </c>
      <c r="K43" s="81">
        <f t="shared" si="14"/>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(LP-8)'!$E$4&gt;1,"Stock Pile Area","")</f>
        <v/>
      </c>
      <c r="F45" s="88"/>
      <c r="G45" s="89"/>
      <c r="N45" s="81"/>
      <c r="O45" s="81"/>
      <c r="P45" s="81"/>
    </row>
    <row r="46" spans="1:19" ht="14.25" customHeight="1" x14ac:dyDescent="0.2">
      <c r="B46" s="55"/>
      <c r="D46" s="90"/>
      <c r="F46" s="60" t="str">
        <f>IF('Limestone Plant (LP-8)'!$E$4&gt;1,"Emission Unit #","")</f>
        <v/>
      </c>
      <c r="G46" s="95" t="str">
        <f>IF('Limestone Plant (LP-8)'!$E$4&gt;1,"Maximum Storage Area (acres)","")</f>
        <v/>
      </c>
      <c r="H46" s="96" t="str">
        <f>IF('Limestone Plant (LP-8)'!$E$4&gt;1,"Actual Storage Area (acres)","")</f>
        <v/>
      </c>
      <c r="I46" s="95" t="str">
        <f>IF('Limestone Plant (LP-8)'!$E$4&gt;1,"Actual Days in Existence (days)","")</f>
        <v/>
      </c>
      <c r="J46" s="97"/>
      <c r="K46" s="97"/>
      <c r="L46" s="90"/>
      <c r="N46" s="81"/>
      <c r="O46" s="81"/>
      <c r="P46" s="81"/>
    </row>
    <row r="47" spans="1:19" ht="14.25" customHeight="1" x14ac:dyDescent="0.2">
      <c r="B47" s="55"/>
      <c r="F47" s="77"/>
      <c r="G47" s="126"/>
      <c r="H47" s="78"/>
      <c r="I47" s="126"/>
      <c r="N47" s="81"/>
      <c r="O47" s="81"/>
      <c r="P47" s="81"/>
    </row>
    <row r="48" spans="1:19" ht="14.25" customHeight="1" x14ac:dyDescent="0.2">
      <c r="B48" s="84"/>
      <c r="C48" s="125"/>
      <c r="D48" s="374"/>
      <c r="E48" s="374"/>
      <c r="F48" s="163"/>
      <c r="G48" s="125"/>
      <c r="H48" s="125"/>
      <c r="N48" s="81"/>
      <c r="O48" s="81"/>
      <c r="P48" s="81"/>
    </row>
    <row r="49" spans="2:16" ht="14.25" customHeight="1" x14ac:dyDescent="0.2">
      <c r="B49" s="84"/>
      <c r="C49" s="218"/>
      <c r="D49" s="374"/>
      <c r="E49" s="374"/>
      <c r="F49" s="218"/>
      <c r="G49" s="218"/>
      <c r="H49" s="218"/>
      <c r="N49" s="81"/>
      <c r="O49" s="81"/>
      <c r="P49" s="81"/>
    </row>
    <row r="50" spans="2:16" ht="14.25" customHeight="1" x14ac:dyDescent="0.2">
      <c r="B50" s="84"/>
      <c r="C50" s="84"/>
      <c r="D50" s="84"/>
      <c r="E50" s="84"/>
      <c r="F50" s="84"/>
      <c r="G50" s="84"/>
      <c r="H50" s="84"/>
      <c r="N50" s="81"/>
      <c r="O50" s="81"/>
      <c r="P50" s="81"/>
    </row>
    <row r="51" spans="2:16" ht="27.75" customHeight="1" x14ac:dyDescent="0.25">
      <c r="B51" s="92" t="str">
        <f>IF('Limestone Plant (LP-8)'!$E$4&gt;2,"CRUSHER PLANT","")</f>
        <v/>
      </c>
      <c r="C51" s="84" t="str">
        <f>IF('Limestone Plant (LP-8)'!$E$4&gt;2,"Site 3","")</f>
        <v/>
      </c>
      <c r="E51" s="213" t="str">
        <f>IF('Limestone Plant (LP-8)'!$E$4&gt;2,"Emission Point #","")</f>
        <v/>
      </c>
      <c r="F51" s="213" t="str">
        <f>IF('Limestone Plant (LP-8)'!$E$4&gt;2,"Emission    Unit #","")</f>
        <v/>
      </c>
      <c r="G51" s="213" t="str">
        <f>IF('Limestone Plant (LP-8)'!$E$4&gt;2,"Processes","")</f>
        <v/>
      </c>
      <c r="H51" s="220" t="str">
        <f>IF('Limestone Plant (LP-8)'!$E$4&gt;2,"Combined Maximum Hourly Design Rate for all Like Processes (tons/hr)","")</f>
        <v/>
      </c>
      <c r="I51" s="213" t="str">
        <f>IF('Limestone Plant (LP-8)'!$E$4&gt;2,('Facility Information'!G5&amp;" Annual Throughput (tons)"),"")</f>
        <v/>
      </c>
      <c r="N51" s="81"/>
      <c r="O51" s="81"/>
      <c r="P51" s="81"/>
    </row>
    <row r="52" spans="2:16" ht="14.25" customHeight="1" x14ac:dyDescent="0.2">
      <c r="B52" s="94" t="str">
        <f>IF('Limestone Plant (LP-8)'!$E$4&gt;2,"Site Name:","")</f>
        <v/>
      </c>
      <c r="C52" s="76"/>
      <c r="D52" s="55"/>
      <c r="E52" s="166" t="str">
        <f>IF(G52="","","LP-8 EP-1")</f>
        <v/>
      </c>
      <c r="F52" s="166" t="str">
        <f>IF(G52="","",IF(G52="primary crusher","LP-8 EU-1",IF(G52="screening","LP-8 EU-2",IF(G52="secondary crusher","LP-8 EU-3",IF(G52="tertiary crusher","LP-1 EU-4",IF(G52="fines crushing","LP-8 EU-5",IF(G52="fines screening","LP-8 EU-6",IF(G52="wet drilling: unfragmented stone","LP-8 EU-7",IF(G52="conveyor transfer points","LP-8 EU-8")))))))))</f>
        <v/>
      </c>
      <c r="G52" s="98"/>
      <c r="H52" s="167"/>
      <c r="I52" s="184"/>
      <c r="J52" s="81">
        <f t="shared" ref="J52:J59" si="16">IF($C$56="no",I52,0)</f>
        <v>0</v>
      </c>
      <c r="K52" s="81">
        <f t="shared" ref="K52:K59" si="17">IF($C$56="yes",I52,0)</f>
        <v>0</v>
      </c>
    </row>
    <row r="53" spans="2:16" ht="14.25" customHeight="1" x14ac:dyDescent="0.2">
      <c r="B53" s="94" t="str">
        <f>IF('Limestone Plant (LP-8)'!$E$4&gt;2,"County:","")</f>
        <v/>
      </c>
      <c r="C53" s="76"/>
      <c r="D53" s="55"/>
      <c r="E53" s="166" t="str">
        <f t="shared" ref="E53:E59" si="18">IF(G53="","","LP-8 EP-1")</f>
        <v/>
      </c>
      <c r="F53" s="166" t="str">
        <f t="shared" ref="F53:F59" si="19">IF(G53="","",IF(G53="primary crusher","LP-8 EU-1",IF(G53="screening","LP-8 EU-2",IF(G53="secondary crusher","LP-8 EU-3",IF(G53="tertiary crusher","LP-1 EU-4",IF(G53="fines crushing","LP-8 EU-5",IF(G53="fines screening","LP-8 EU-6",IF(G53="wet drilling: unfragmented stone","LP-8 EU-7",IF(G53="conveyor transfer points","LP-8 EU-8")))))))))</f>
        <v/>
      </c>
      <c r="G53" s="98"/>
      <c r="H53" s="167"/>
      <c r="I53" s="184"/>
      <c r="J53" s="81">
        <f t="shared" si="16"/>
        <v>0</v>
      </c>
      <c r="K53" s="81">
        <f t="shared" si="17"/>
        <v>0</v>
      </c>
    </row>
    <row r="54" spans="2:16" ht="14.25" customHeight="1" x14ac:dyDescent="0.2">
      <c r="B54" s="94" t="str">
        <f>IF('Limestone Plant (LP-8)'!$E$4&gt;2,"Crushing Period (Dates):","")</f>
        <v/>
      </c>
      <c r="C54" s="76"/>
      <c r="D54" s="55"/>
      <c r="E54" s="166" t="str">
        <f t="shared" si="18"/>
        <v/>
      </c>
      <c r="F54" s="166" t="str">
        <f t="shared" si="19"/>
        <v/>
      </c>
      <c r="G54" s="98"/>
      <c r="H54" s="167"/>
      <c r="I54" s="184"/>
      <c r="J54" s="81">
        <f t="shared" si="16"/>
        <v>0</v>
      </c>
      <c r="K54" s="81">
        <f t="shared" si="17"/>
        <v>0</v>
      </c>
    </row>
    <row r="55" spans="2:16" ht="14.25" customHeight="1" x14ac:dyDescent="0.2">
      <c r="B55" s="281" t="str">
        <f>IF('Limestone Plant (LP-8)'!$E$4&gt;2,"Controlled with Dust Suppressant or","")</f>
        <v/>
      </c>
      <c r="D55" s="55"/>
      <c r="E55" s="166" t="str">
        <f t="shared" si="18"/>
        <v/>
      </c>
      <c r="F55" s="166" t="str">
        <f t="shared" si="19"/>
        <v/>
      </c>
      <c r="G55" s="98"/>
      <c r="H55" s="167"/>
      <c r="I55" s="184"/>
      <c r="J55" s="81">
        <f t="shared" si="16"/>
        <v>0</v>
      </c>
      <c r="K55" s="81">
        <f t="shared" si="17"/>
        <v>0</v>
      </c>
    </row>
    <row r="56" spans="2:16" ht="14.25" customHeight="1" x14ac:dyDescent="0.2">
      <c r="B56" s="282" t="str">
        <f>IF('Limestone Plant (LP-8)'!$E$4&gt;2,"Material Being Processed has","")</f>
        <v/>
      </c>
      <c r="C56" s="280"/>
      <c r="D56" s="55"/>
      <c r="E56" s="166" t="str">
        <f t="shared" si="18"/>
        <v/>
      </c>
      <c r="F56" s="166" t="str">
        <f t="shared" si="19"/>
        <v/>
      </c>
      <c r="G56" s="98"/>
      <c r="H56" s="167"/>
      <c r="I56" s="184"/>
      <c r="J56" s="81">
        <f t="shared" si="16"/>
        <v>0</v>
      </c>
      <c r="K56" s="81">
        <f t="shared" si="17"/>
        <v>0</v>
      </c>
    </row>
    <row r="57" spans="2:16" ht="14.25" customHeight="1" x14ac:dyDescent="0.2">
      <c r="B57" s="284" t="str">
        <f>IF('Limestone Plant (LP-8)'!$E$4&gt;2,"Moisture Content &gt; 1.5%?","")</f>
        <v/>
      </c>
      <c r="C57" s="55"/>
      <c r="D57" s="55"/>
      <c r="E57" s="166" t="str">
        <f t="shared" si="18"/>
        <v/>
      </c>
      <c r="F57" s="166" t="str">
        <f t="shared" si="19"/>
        <v/>
      </c>
      <c r="G57" s="98"/>
      <c r="H57" s="167"/>
      <c r="I57" s="184"/>
      <c r="J57" s="81">
        <f t="shared" si="16"/>
        <v>0</v>
      </c>
      <c r="K57" s="81">
        <f t="shared" si="17"/>
        <v>0</v>
      </c>
    </row>
    <row r="58" spans="2:16" ht="14.25" customHeight="1" x14ac:dyDescent="0.2">
      <c r="B58" s="55"/>
      <c r="D58" s="55"/>
      <c r="E58" s="166" t="str">
        <f t="shared" si="18"/>
        <v/>
      </c>
      <c r="F58" s="166" t="str">
        <f t="shared" si="19"/>
        <v/>
      </c>
      <c r="G58" s="98"/>
      <c r="H58" s="167"/>
      <c r="I58" s="184"/>
      <c r="J58" s="81">
        <f t="shared" si="16"/>
        <v>0</v>
      </c>
      <c r="K58" s="81">
        <f t="shared" si="17"/>
        <v>0</v>
      </c>
    </row>
    <row r="59" spans="2:16" ht="14.25" customHeight="1" x14ac:dyDescent="0.2">
      <c r="B59" s="55"/>
      <c r="C59" s="55"/>
      <c r="D59" s="55"/>
      <c r="E59" s="166" t="str">
        <f t="shared" si="18"/>
        <v/>
      </c>
      <c r="F59" s="166" t="str">
        <f t="shared" si="19"/>
        <v/>
      </c>
      <c r="G59" s="98"/>
      <c r="H59" s="167"/>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(LP-8)'!$E$4&gt;2,"Stock Pile Area","")</f>
        <v/>
      </c>
      <c r="F61" s="88"/>
      <c r="G61" s="89"/>
    </row>
    <row r="62" spans="2:16" ht="14.25" customHeight="1" x14ac:dyDescent="0.2">
      <c r="B62" s="55"/>
      <c r="D62" s="90"/>
      <c r="F62" s="60" t="str">
        <f>IF('Limestone Plant (LP-8)'!$E$4&gt;2,"Emission Unit #","")</f>
        <v/>
      </c>
      <c r="G62" s="95" t="str">
        <f>IF('Limestone Plant (LP-8)'!$E$4&gt;2,"Maximum Storage Area (acres)","")</f>
        <v/>
      </c>
      <c r="H62" s="96" t="str">
        <f>IF('Limestone Plant (LP-8)'!$E$4&gt;2,"Actual Storage Area (acres)","")</f>
        <v/>
      </c>
      <c r="I62" s="95" t="str">
        <f>IF('Limestone Plant (LP-8)'!$E$4&gt;2,"Actual Days in Existence (days)","")</f>
        <v/>
      </c>
    </row>
    <row r="63" spans="2:16" ht="14.25" customHeight="1" x14ac:dyDescent="0.2">
      <c r="B63" s="55"/>
      <c r="F63" s="77"/>
      <c r="G63" s="126"/>
      <c r="H63" s="78"/>
      <c r="I63" s="126"/>
    </row>
    <row r="64" spans="2:16" ht="23.25" customHeight="1" x14ac:dyDescent="0.2"/>
    <row r="66" spans="2:11" ht="28.5" customHeight="1" x14ac:dyDescent="0.25">
      <c r="B66" s="92" t="str">
        <f>IF('Limestone Plant (LP-8)'!$E$4&gt;3,"CRUSHER PLANT","")</f>
        <v/>
      </c>
      <c r="C66" s="84" t="str">
        <f>IF('Limestone Plant (LP-8)'!$E$4&gt;3,"Site 4","")</f>
        <v/>
      </c>
      <c r="E66" s="213" t="str">
        <f>IF('Limestone Plant (LP-8)'!$E$4&gt;3,"Emission Point #","")</f>
        <v/>
      </c>
      <c r="F66" s="213" t="str">
        <f>IF('Limestone Plant (LP-8)'!$E$4&gt;3,"Emission    Unit #","")</f>
        <v/>
      </c>
      <c r="G66" s="213" t="str">
        <f>IF('Limestone Plant (LP-8)'!$E$4&gt;3,"Processes","")</f>
        <v/>
      </c>
      <c r="H66" s="220" t="str">
        <f>IF('Limestone Plant (LP-8)'!$E$4&gt;3,"Combined Maximum Hourly Design Rate for all Like Processes (tons/hr)","")</f>
        <v/>
      </c>
      <c r="I66" s="213" t="str">
        <f>IF('Limestone Plant (LP-8)'!$E$4&gt;3,('Facility Information'!G5&amp;" Annual Throughput (tons)"),"")</f>
        <v/>
      </c>
    </row>
    <row r="67" spans="2:11" ht="14.25" customHeight="1" x14ac:dyDescent="0.2">
      <c r="B67" s="94" t="str">
        <f>IF('Limestone Plant (LP-8)'!$E$4&gt;3,"Site Name:","")</f>
        <v/>
      </c>
      <c r="C67" s="76"/>
      <c r="D67" s="55"/>
      <c r="E67" s="166" t="str">
        <f>IF(G67="","","LP-8 EP-1")</f>
        <v/>
      </c>
      <c r="F67" s="166" t="str">
        <f>IF(G67="","",IF(G67="primary crusher","LP-8 EU-1",IF(G67="screening","LP-8 EU-2",IF(G67="secondary crusher","LP-8 EU-3",IF(G67="tertiary crusher","LP-1 EU-4",IF(G67="fines crushing","LP-8 EU-5",IF(G67="fines screening","LP-8 EU-6",IF(G67="wet drilling: unfragmented stone","LP-8 EU-7",IF(G67="conveyor transfer points","LP-8 EU-8")))))))))</f>
        <v/>
      </c>
      <c r="G67" s="98"/>
      <c r="H67" s="167"/>
      <c r="I67" s="184"/>
      <c r="J67" s="81">
        <f t="shared" ref="J67:J74" si="20">IF($C$71="no",I67,0)</f>
        <v>0</v>
      </c>
      <c r="K67" s="81">
        <f t="shared" ref="K67:K74" si="21">IF($C$71="yes",I67,0)</f>
        <v>0</v>
      </c>
    </row>
    <row r="68" spans="2:11" ht="14.25" customHeight="1" x14ac:dyDescent="0.2">
      <c r="B68" s="94" t="str">
        <f>IF('Limestone Plant (LP-8)'!$E$4&gt;3,"County:","")</f>
        <v/>
      </c>
      <c r="C68" s="76"/>
      <c r="D68" s="55"/>
      <c r="E68" s="166" t="str">
        <f t="shared" ref="E68:E74" si="22">IF(G68="","","LP-8 EP-1")</f>
        <v/>
      </c>
      <c r="F68" s="166" t="str">
        <f t="shared" ref="F68:F74" si="23">IF(G68="","",IF(G68="primary crusher","LP-8 EU-1",IF(G68="screening","LP-8 EU-2",IF(G68="secondary crusher","LP-8 EU-3",IF(G68="tertiary crusher","LP-1 EU-4",IF(G68="fines crushing","LP-8 EU-5",IF(G68="fines screening","LP-8 EU-6",IF(G68="wet drilling: unfragmented stone","LP-8 EU-7",IF(G68="conveyor transfer points","LP-8 EU-8")))))))))</f>
        <v/>
      </c>
      <c r="G68" s="98"/>
      <c r="H68" s="167"/>
      <c r="I68" s="184"/>
      <c r="J68" s="81">
        <f t="shared" si="20"/>
        <v>0</v>
      </c>
      <c r="K68" s="81">
        <f t="shared" si="21"/>
        <v>0</v>
      </c>
    </row>
    <row r="69" spans="2:11" ht="14.25" customHeight="1" x14ac:dyDescent="0.2">
      <c r="B69" s="94" t="str">
        <f>IF('Limestone Plant (LP-8)'!$E$4&gt;3,"Crushing Period (Dates):","")</f>
        <v/>
      </c>
      <c r="C69" s="76"/>
      <c r="D69" s="55"/>
      <c r="E69" s="166" t="str">
        <f t="shared" si="22"/>
        <v/>
      </c>
      <c r="F69" s="166" t="str">
        <f t="shared" si="23"/>
        <v/>
      </c>
      <c r="G69" s="98"/>
      <c r="H69" s="167"/>
      <c r="I69" s="184"/>
      <c r="J69" s="81">
        <f t="shared" si="20"/>
        <v>0</v>
      </c>
      <c r="K69" s="81">
        <f t="shared" si="21"/>
        <v>0</v>
      </c>
    </row>
    <row r="70" spans="2:11" ht="14.25" customHeight="1" x14ac:dyDescent="0.2">
      <c r="B70" s="281" t="str">
        <f>IF('Limestone Plant (LP-8)'!$E$4&gt;3,"Controlled with Dust Suppressant or","")</f>
        <v/>
      </c>
      <c r="D70" s="55"/>
      <c r="E70" s="166" t="str">
        <f t="shared" si="22"/>
        <v/>
      </c>
      <c r="F70" s="166" t="str">
        <f t="shared" si="23"/>
        <v/>
      </c>
      <c r="G70" s="98"/>
      <c r="H70" s="167"/>
      <c r="I70" s="184"/>
      <c r="J70" s="81">
        <f t="shared" si="20"/>
        <v>0</v>
      </c>
      <c r="K70" s="81">
        <f t="shared" si="21"/>
        <v>0</v>
      </c>
    </row>
    <row r="71" spans="2:11" ht="14.25" customHeight="1" x14ac:dyDescent="0.2">
      <c r="B71" s="282" t="str">
        <f>IF('Limestone Plant (LP-8)'!$E$4&gt;3,"Material Being Processed has","")</f>
        <v/>
      </c>
      <c r="C71" s="280"/>
      <c r="D71" s="55"/>
      <c r="E71" s="166" t="str">
        <f t="shared" si="22"/>
        <v/>
      </c>
      <c r="F71" s="166" t="str">
        <f t="shared" si="23"/>
        <v/>
      </c>
      <c r="G71" s="98"/>
      <c r="H71" s="167"/>
      <c r="I71" s="184"/>
      <c r="J71" s="81">
        <f t="shared" si="20"/>
        <v>0</v>
      </c>
      <c r="K71" s="81">
        <f t="shared" si="21"/>
        <v>0</v>
      </c>
    </row>
    <row r="72" spans="2:11" ht="14.25" customHeight="1" x14ac:dyDescent="0.2">
      <c r="B72" s="284" t="str">
        <f>IF('Limestone Plant (LP-8)'!$E$4&gt;3,"Moisture Content &gt; 1.5%?","")</f>
        <v/>
      </c>
      <c r="C72" s="55"/>
      <c r="D72" s="55"/>
      <c r="E72" s="166" t="str">
        <f t="shared" si="22"/>
        <v/>
      </c>
      <c r="F72" s="166" t="str">
        <f t="shared" si="23"/>
        <v/>
      </c>
      <c r="G72" s="98"/>
      <c r="H72" s="167"/>
      <c r="I72" s="184"/>
      <c r="J72" s="81">
        <f t="shared" si="20"/>
        <v>0</v>
      </c>
      <c r="K72" s="81">
        <f t="shared" si="21"/>
        <v>0</v>
      </c>
    </row>
    <row r="73" spans="2:11" ht="14.25" customHeight="1" x14ac:dyDescent="0.2">
      <c r="B73" s="55"/>
      <c r="D73" s="55"/>
      <c r="E73" s="166" t="str">
        <f t="shared" si="22"/>
        <v/>
      </c>
      <c r="F73" s="166" t="str">
        <f t="shared" si="23"/>
        <v/>
      </c>
      <c r="G73" s="98"/>
      <c r="H73" s="167"/>
      <c r="I73" s="184"/>
      <c r="J73" s="81">
        <f t="shared" si="20"/>
        <v>0</v>
      </c>
      <c r="K73" s="81">
        <f t="shared" si="21"/>
        <v>0</v>
      </c>
    </row>
    <row r="74" spans="2:11" ht="14.25" customHeight="1" x14ac:dyDescent="0.2">
      <c r="B74" s="55"/>
      <c r="C74" s="55"/>
      <c r="D74" s="55"/>
      <c r="E74" s="166" t="str">
        <f t="shared" si="22"/>
        <v/>
      </c>
      <c r="F74" s="166" t="str">
        <f t="shared" si="23"/>
        <v/>
      </c>
      <c r="G74" s="98"/>
      <c r="H74" s="167"/>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(LP-8)'!$E$4&gt;3,"Stock Pile Area","")</f>
        <v/>
      </c>
      <c r="F76" s="88"/>
      <c r="G76" s="89"/>
    </row>
    <row r="77" spans="2:11" ht="14.25" customHeight="1" x14ac:dyDescent="0.2">
      <c r="B77" s="55"/>
      <c r="D77" s="90"/>
      <c r="F77" s="60" t="str">
        <f>IF('Limestone Plant (LP-8)'!$E$4&gt;3,"Emission Unit #","")</f>
        <v/>
      </c>
      <c r="G77" s="95" t="str">
        <f>IF('Limestone Plant (LP-8)'!$E$4&gt;3,"Maximum Storage Area (acres)","")</f>
        <v/>
      </c>
      <c r="H77" s="96" t="str">
        <f>IF('Limestone Plant (LP-8)'!$E$4&gt;3,"Actual Storage Area (acres)","")</f>
        <v/>
      </c>
      <c r="I77" s="95" t="str">
        <f>IF('Limestone Plant (LP-8)'!$E$4&gt;3,"Actual Days in Existence (days)","")</f>
        <v/>
      </c>
    </row>
    <row r="78" spans="2:11" ht="14.25" customHeight="1" x14ac:dyDescent="0.2">
      <c r="B78" s="55"/>
      <c r="F78" s="77"/>
      <c r="G78" s="126"/>
      <c r="H78" s="78"/>
      <c r="I78" s="126"/>
    </row>
    <row r="79" spans="2:11" ht="27" customHeight="1" x14ac:dyDescent="0.2"/>
    <row r="81" spans="2:11" ht="29.25" customHeight="1" x14ac:dyDescent="0.25">
      <c r="B81" s="92" t="str">
        <f>IF('Limestone Plant (LP-8)'!$E$4&gt;4,"CRUSHER PLANT","")</f>
        <v/>
      </c>
      <c r="C81" s="84" t="str">
        <f>IF('Limestone Plant (LP-8)'!$E$4&gt;4,"Site 5","")</f>
        <v/>
      </c>
      <c r="E81" s="213" t="str">
        <f>IF('Limestone Plant (LP-8)'!$E$4&gt;4,"Emission Point #","")</f>
        <v/>
      </c>
      <c r="F81" s="213" t="str">
        <f>IF('Limestone Plant (LP-8)'!$E$4&gt;4,"Emission    Unit #","")</f>
        <v/>
      </c>
      <c r="G81" s="213" t="str">
        <f>IF('Limestone Plant (LP-8)'!$E$4&gt;4,"Processes","")</f>
        <v/>
      </c>
      <c r="H81" s="220" t="str">
        <f>IF('Limestone Plant (LP-8)'!$E$4&gt;4,"Combined Maximum Hourly Design Rate for all Like Processes (tons/hr)","")</f>
        <v/>
      </c>
      <c r="I81" s="213" t="str">
        <f>IF('Limestone Plant (LP-8)'!$E$4&gt;4,('Facility Information'!G5&amp;" Annual Throughput (tons)"),"")</f>
        <v/>
      </c>
    </row>
    <row r="82" spans="2:11" ht="14.25" customHeight="1" x14ac:dyDescent="0.2">
      <c r="B82" s="94" t="str">
        <f>IF('Limestone Plant (LP-8)'!$E$4&gt;4,"Site Name:","")</f>
        <v/>
      </c>
      <c r="C82" s="76"/>
      <c r="D82" s="55"/>
      <c r="E82" s="166" t="str">
        <f>IF(G82="","","LP-8 EP-1")</f>
        <v/>
      </c>
      <c r="F82" s="166" t="str">
        <f>IF(G82="","",IF(G82="primary crusher","LP-8 EU-1",IF(G82="screening","LP-8 EU-2",IF(G82="secondary crusher","LP-8 EU-3",IF(G82="tertiary crusher","LP-1 EU-4",IF(G82="fines crushing","LP-8 EU-5",IF(G82="fines screening","LP-8 EU-6",IF(G82="wet drilling: unfragmented stone","LP-8 EU-7",IF(G82="conveyor transfer points","LP-8 EU-8")))))))))</f>
        <v/>
      </c>
      <c r="G82" s="98"/>
      <c r="H82" s="167"/>
      <c r="I82" s="184"/>
      <c r="J82" s="81">
        <f t="shared" ref="J82:J89" si="24">IF($C$86="no",I82,0)</f>
        <v>0</v>
      </c>
      <c r="K82" s="81">
        <f t="shared" ref="K82:K89" si="25">IF($C$86="yes",I82,0)</f>
        <v>0</v>
      </c>
    </row>
    <row r="83" spans="2:11" ht="14.25" customHeight="1" x14ac:dyDescent="0.2">
      <c r="B83" s="94" t="str">
        <f>IF('Limestone Plant (LP-8)'!$E$4&gt;4,"County:","")</f>
        <v/>
      </c>
      <c r="C83" s="76"/>
      <c r="D83" s="55"/>
      <c r="E83" s="166" t="str">
        <f t="shared" ref="E83:E89" si="26">IF(G83="","","LP-8 EP-1")</f>
        <v/>
      </c>
      <c r="F83" s="166" t="str">
        <f t="shared" ref="F83:F89" si="27">IF(G83="","",IF(G83="primary crusher","LP-8 EU-1",IF(G83="screening","LP-8 EU-2",IF(G83="secondary crusher","LP-8 EU-3",IF(G83="tertiary crusher","LP-1 EU-4",IF(G83="fines crushing","LP-8 EU-5",IF(G83="fines screening","LP-8 EU-6",IF(G83="wet drilling: unfragmented stone","LP-8 EU-7",IF(G83="conveyor transfer points","LP-8 EU-8")))))))))</f>
        <v/>
      </c>
      <c r="G83" s="98"/>
      <c r="H83" s="167"/>
      <c r="I83" s="184"/>
      <c r="J83" s="81">
        <f t="shared" si="24"/>
        <v>0</v>
      </c>
      <c r="K83" s="81">
        <f t="shared" si="25"/>
        <v>0</v>
      </c>
    </row>
    <row r="84" spans="2:11" ht="14.25" customHeight="1" x14ac:dyDescent="0.2">
      <c r="B84" s="94" t="str">
        <f>IF('Limestone Plant (LP-8)'!$E$4&gt;4,"Crushing Period (Dates):","")</f>
        <v/>
      </c>
      <c r="C84" s="76"/>
      <c r="D84" s="55"/>
      <c r="E84" s="166" t="str">
        <f t="shared" si="26"/>
        <v/>
      </c>
      <c r="F84" s="166" t="str">
        <f t="shared" si="27"/>
        <v/>
      </c>
      <c r="G84" s="98"/>
      <c r="H84" s="167"/>
      <c r="I84" s="184"/>
      <c r="J84" s="81">
        <f t="shared" si="24"/>
        <v>0</v>
      </c>
      <c r="K84" s="81">
        <f t="shared" si="25"/>
        <v>0</v>
      </c>
    </row>
    <row r="85" spans="2:11" ht="14.25" customHeight="1" x14ac:dyDescent="0.2">
      <c r="B85" s="281" t="str">
        <f>IF('Limestone Plant (LP-8)'!$E$4&gt;4,"Controlled with Dust Suppressant or","")</f>
        <v/>
      </c>
      <c r="D85" s="55"/>
      <c r="E85" s="166" t="str">
        <f t="shared" si="26"/>
        <v/>
      </c>
      <c r="F85" s="166" t="str">
        <f t="shared" si="27"/>
        <v/>
      </c>
      <c r="G85" s="98"/>
      <c r="H85" s="167"/>
      <c r="I85" s="184"/>
      <c r="J85" s="81">
        <f t="shared" si="24"/>
        <v>0</v>
      </c>
      <c r="K85" s="81">
        <f t="shared" si="25"/>
        <v>0</v>
      </c>
    </row>
    <row r="86" spans="2:11" ht="14.25" customHeight="1" x14ac:dyDescent="0.2">
      <c r="B86" s="282" t="str">
        <f>IF('Limestone Plant (LP-8)'!$E$4&gt;4,"Material Being Processed has","")</f>
        <v/>
      </c>
      <c r="C86" s="280"/>
      <c r="D86" s="55"/>
      <c r="E86" s="166" t="str">
        <f t="shared" si="26"/>
        <v/>
      </c>
      <c r="F86" s="166" t="str">
        <f t="shared" si="27"/>
        <v/>
      </c>
      <c r="G86" s="98"/>
      <c r="H86" s="167"/>
      <c r="I86" s="184"/>
      <c r="J86" s="81">
        <f t="shared" si="24"/>
        <v>0</v>
      </c>
      <c r="K86" s="81">
        <f t="shared" si="25"/>
        <v>0</v>
      </c>
    </row>
    <row r="87" spans="2:11" ht="14.25" customHeight="1" x14ac:dyDescent="0.2">
      <c r="B87" s="284" t="str">
        <f>IF('Limestone Plant (LP-8)'!$E$4&gt;4,"Moisture Content &gt; 1.5%?","")</f>
        <v/>
      </c>
      <c r="C87" s="55"/>
      <c r="D87" s="55"/>
      <c r="E87" s="166" t="str">
        <f t="shared" si="26"/>
        <v/>
      </c>
      <c r="F87" s="166" t="str">
        <f t="shared" si="27"/>
        <v/>
      </c>
      <c r="G87" s="98"/>
      <c r="H87" s="167"/>
      <c r="I87" s="184"/>
      <c r="J87" s="81">
        <f t="shared" si="24"/>
        <v>0</v>
      </c>
      <c r="K87" s="81">
        <f t="shared" si="25"/>
        <v>0</v>
      </c>
    </row>
    <row r="88" spans="2:11" ht="14.25" customHeight="1" x14ac:dyDescent="0.2">
      <c r="B88" s="55"/>
      <c r="D88" s="55"/>
      <c r="E88" s="166" t="str">
        <f t="shared" si="26"/>
        <v/>
      </c>
      <c r="F88" s="166" t="str">
        <f t="shared" si="27"/>
        <v/>
      </c>
      <c r="G88" s="98"/>
      <c r="H88" s="167"/>
      <c r="I88" s="184"/>
      <c r="J88" s="81">
        <f t="shared" si="24"/>
        <v>0</v>
      </c>
      <c r="K88" s="81">
        <f t="shared" si="25"/>
        <v>0</v>
      </c>
    </row>
    <row r="89" spans="2:11" ht="14.25" customHeight="1" x14ac:dyDescent="0.2">
      <c r="B89" s="55"/>
      <c r="C89" s="55"/>
      <c r="D89" s="55"/>
      <c r="E89" s="166" t="str">
        <f t="shared" si="26"/>
        <v/>
      </c>
      <c r="F89" s="166" t="str">
        <f t="shared" si="27"/>
        <v/>
      </c>
      <c r="G89" s="98"/>
      <c r="H89" s="167"/>
      <c r="I89" s="184"/>
      <c r="J89" s="81">
        <f t="shared" si="24"/>
        <v>0</v>
      </c>
      <c r="K89" s="81">
        <f t="shared" si="25"/>
        <v>0</v>
      </c>
    </row>
    <row r="90" spans="2:11" ht="14.25" customHeight="1" x14ac:dyDescent="0.2">
      <c r="B90" s="55"/>
      <c r="D90" s="55"/>
      <c r="E90" s="55"/>
      <c r="F90" s="55"/>
      <c r="G90" s="90"/>
    </row>
    <row r="91" spans="2:11" ht="14.25" customHeight="1" x14ac:dyDescent="0.2">
      <c r="B91" s="55"/>
      <c r="E91" s="88" t="str">
        <f>IF('Limestone Plant (LP-8)'!$E$4&gt;4,"Stock Pile Area","")</f>
        <v/>
      </c>
      <c r="F91" s="88"/>
      <c r="G91" s="89"/>
    </row>
    <row r="92" spans="2:11" ht="14.25" customHeight="1" x14ac:dyDescent="0.2">
      <c r="B92" s="55"/>
      <c r="D92" s="90"/>
      <c r="F92" s="60" t="str">
        <f>IF('Limestone Plant (LP-8)'!$E$4&gt;4,"Emission Unit #","")</f>
        <v/>
      </c>
      <c r="G92" s="95" t="str">
        <f>IF('Limestone Plant (LP-8)'!$E$4&gt;4,"Maximum Storage Area (acres)","")</f>
        <v/>
      </c>
      <c r="H92" s="96" t="str">
        <f>IF('Limestone Plant (LP-8)'!$E$4&gt;4,"Actual Storage Area (acres)","")</f>
        <v/>
      </c>
      <c r="I92" s="95" t="str">
        <f>IF('Limestone Plant (LP-8)'!$E$4&gt;4,"Actual Days in Existence (days)","")</f>
        <v/>
      </c>
    </row>
    <row r="93" spans="2:11" ht="14.25" customHeight="1" x14ac:dyDescent="0.2">
      <c r="B93" s="55"/>
      <c r="F93" s="72"/>
      <c r="G93" s="126"/>
      <c r="H93" s="78"/>
      <c r="I93" s="126"/>
    </row>
    <row r="94" spans="2:11" ht="21.75" customHeight="1" x14ac:dyDescent="0.2"/>
    <row r="96" spans="2:11" ht="29.25" customHeight="1" x14ac:dyDescent="0.25">
      <c r="B96" s="92" t="str">
        <f>IF('Limestone Plant (LP-8)'!$E$4&gt;5,"CRUSHER PLANT","")</f>
        <v/>
      </c>
      <c r="C96" s="84" t="str">
        <f>IF('Limestone Plant (LP-8)'!$E$4&gt;5,"Site 6","")</f>
        <v/>
      </c>
      <c r="E96" s="213" t="str">
        <f>IF('Limestone Plant (LP-8)'!$E$4&gt;5,"Emission Point #","")</f>
        <v/>
      </c>
      <c r="F96" s="213" t="str">
        <f>IF('Limestone Plant (LP-8)'!$E$4&gt;5,"Emission    Unit #","")</f>
        <v/>
      </c>
      <c r="G96" s="213" t="str">
        <f>IF('Limestone Plant (LP-8)'!$E$4&gt;5,"Processes","")</f>
        <v/>
      </c>
      <c r="H96" s="220" t="str">
        <f>IF('Limestone Plant (LP-8)'!$E$4&gt;5,"Combined Maximum Hourly Design Rate for all Like Processes (tons/hr)","")</f>
        <v/>
      </c>
      <c r="I96" s="213" t="str">
        <f>IF('Limestone Plant (LP-8)'!$E$4&gt;5,('Facility Information'!G5&amp;" Annual Throughput (tons)"),"")</f>
        <v/>
      </c>
    </row>
    <row r="97" spans="2:11" ht="14.25" customHeight="1" x14ac:dyDescent="0.2">
      <c r="B97" s="94" t="str">
        <f>IF('Limestone Plant (LP-8)'!$E$4&gt;5,"Site Name:","")</f>
        <v/>
      </c>
      <c r="C97" s="76"/>
      <c r="D97" s="55"/>
      <c r="E97" s="166" t="str">
        <f>IF(G97="","","LP-8 EP-1")</f>
        <v/>
      </c>
      <c r="F97" s="166" t="str">
        <f>IF(G97="","",IF(G97="primary crusher","LP-8 EU-1",IF(G97="screening","LP-8 EU-2",IF(G97="secondary crusher","LP-8 EU-3",IF(G97="tertiary crusher","LP-1 EU-4",IF(G97="fines crushing","LP-8 EU-5",IF(G97="fines screening","LP-8 EU-6",IF(G97="wet drilling: unfragmented stone","LP-8 EU-7",IF(G97="conveyor transfer points","LP-8 EU-8")))))))))</f>
        <v/>
      </c>
      <c r="G97" s="98"/>
      <c r="H97" s="167"/>
      <c r="I97" s="184"/>
      <c r="J97" s="81">
        <f t="shared" ref="J97:J104" si="28">IF($C$101="no",I97,0)</f>
        <v>0</v>
      </c>
      <c r="K97" s="81">
        <f t="shared" ref="K97:K104" si="29">IF($C$101="yes",I97,0)</f>
        <v>0</v>
      </c>
    </row>
    <row r="98" spans="2:11" ht="14.25" customHeight="1" x14ac:dyDescent="0.2">
      <c r="B98" s="94" t="str">
        <f>IF('Limestone Plant (LP-8)'!$E$4&gt;5,"County:","")</f>
        <v/>
      </c>
      <c r="C98" s="76"/>
      <c r="D98" s="55"/>
      <c r="E98" s="166" t="str">
        <f t="shared" ref="E98:E104" si="30">IF(G98="","","LP-8 EP-1")</f>
        <v/>
      </c>
      <c r="F98" s="166" t="str">
        <f t="shared" ref="F98:F104" si="31">IF(G98="","",IF(G98="primary crusher","LP-8 EU-1",IF(G98="screening","LP-8 EU-2",IF(G98="secondary crusher","LP-8 EU-3",IF(G98="tertiary crusher","LP-1 EU-4",IF(G98="fines crushing","LP-8 EU-5",IF(G98="fines screening","LP-8 EU-6",IF(G98="wet drilling: unfragmented stone","LP-8 EU-7",IF(G98="conveyor transfer points","LP-8 EU-8")))))))))</f>
        <v/>
      </c>
      <c r="G98" s="98"/>
      <c r="H98" s="167"/>
      <c r="I98" s="184"/>
      <c r="J98" s="81">
        <f t="shared" si="28"/>
        <v>0</v>
      </c>
      <c r="K98" s="81">
        <f t="shared" si="29"/>
        <v>0</v>
      </c>
    </row>
    <row r="99" spans="2:11" ht="14.25" customHeight="1" x14ac:dyDescent="0.2">
      <c r="B99" s="94" t="str">
        <f>IF('Limestone Plant (LP-8)'!$E$4&gt;5,"Crushing Period (Dates):","")</f>
        <v/>
      </c>
      <c r="C99" s="76"/>
      <c r="D99" s="55"/>
      <c r="E99" s="166" t="str">
        <f t="shared" si="30"/>
        <v/>
      </c>
      <c r="F99" s="166" t="str">
        <f t="shared" si="31"/>
        <v/>
      </c>
      <c r="G99" s="98"/>
      <c r="H99" s="167"/>
      <c r="I99" s="184"/>
      <c r="J99" s="81">
        <f t="shared" si="28"/>
        <v>0</v>
      </c>
      <c r="K99" s="81">
        <f t="shared" si="29"/>
        <v>0</v>
      </c>
    </row>
    <row r="100" spans="2:11" ht="14.25" customHeight="1" x14ac:dyDescent="0.2">
      <c r="B100" s="281" t="str">
        <f>IF('Limestone Plant (LP-8)'!$E$4&gt;5,"Controlled with Dust Suppressant or","")</f>
        <v/>
      </c>
      <c r="D100" s="55"/>
      <c r="E100" s="166" t="str">
        <f t="shared" si="30"/>
        <v/>
      </c>
      <c r="F100" s="166" t="str">
        <f t="shared" si="31"/>
        <v/>
      </c>
      <c r="G100" s="98"/>
      <c r="H100" s="167"/>
      <c r="I100" s="184"/>
      <c r="J100" s="81">
        <f t="shared" si="28"/>
        <v>0</v>
      </c>
      <c r="K100" s="81">
        <f t="shared" si="29"/>
        <v>0</v>
      </c>
    </row>
    <row r="101" spans="2:11" ht="14.25" customHeight="1" x14ac:dyDescent="0.2">
      <c r="B101" s="282" t="str">
        <f>IF('Limestone Plant (LP-8)'!$E$4&gt;5,"Material Being Processed has","")</f>
        <v/>
      </c>
      <c r="C101" s="280"/>
      <c r="D101" s="55"/>
      <c r="E101" s="166" t="str">
        <f t="shared" si="30"/>
        <v/>
      </c>
      <c r="F101" s="166" t="str">
        <f t="shared" si="31"/>
        <v/>
      </c>
      <c r="G101" s="98"/>
      <c r="H101" s="167"/>
      <c r="I101" s="184"/>
      <c r="J101" s="81">
        <f t="shared" si="28"/>
        <v>0</v>
      </c>
      <c r="K101" s="81">
        <f t="shared" si="29"/>
        <v>0</v>
      </c>
    </row>
    <row r="102" spans="2:11" ht="14.25" customHeight="1" x14ac:dyDescent="0.2">
      <c r="B102" s="284" t="str">
        <f>IF('Limestone Plant (LP-8)'!$E$4&gt;5,"Moisture Content &gt; 1.5%?","")</f>
        <v/>
      </c>
      <c r="C102" s="55"/>
      <c r="D102" s="55"/>
      <c r="E102" s="166" t="str">
        <f t="shared" si="30"/>
        <v/>
      </c>
      <c r="F102" s="166" t="str">
        <f t="shared" si="31"/>
        <v/>
      </c>
      <c r="G102" s="98"/>
      <c r="H102" s="167"/>
      <c r="I102" s="184"/>
      <c r="J102" s="81">
        <f t="shared" si="28"/>
        <v>0</v>
      </c>
      <c r="K102" s="81">
        <f t="shared" si="29"/>
        <v>0</v>
      </c>
    </row>
    <row r="103" spans="2:11" ht="14.25" customHeight="1" x14ac:dyDescent="0.2">
      <c r="B103" s="55"/>
      <c r="D103" s="55"/>
      <c r="E103" s="166" t="str">
        <f t="shared" si="30"/>
        <v/>
      </c>
      <c r="F103" s="166" t="str">
        <f t="shared" si="31"/>
        <v/>
      </c>
      <c r="G103" s="98"/>
      <c r="H103" s="167"/>
      <c r="I103" s="184"/>
      <c r="J103" s="81">
        <f t="shared" si="28"/>
        <v>0</v>
      </c>
      <c r="K103" s="81">
        <f t="shared" si="29"/>
        <v>0</v>
      </c>
    </row>
    <row r="104" spans="2:11" ht="14.25" customHeight="1" x14ac:dyDescent="0.2">
      <c r="B104" s="55"/>
      <c r="C104" s="55"/>
      <c r="D104" s="55"/>
      <c r="E104" s="166" t="str">
        <f t="shared" si="30"/>
        <v/>
      </c>
      <c r="F104" s="166" t="str">
        <f t="shared" si="31"/>
        <v/>
      </c>
      <c r="G104" s="98"/>
      <c r="H104" s="167"/>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(LP-8)'!$E$4&gt;5,"Stock Pile Area","")</f>
        <v/>
      </c>
      <c r="F106" s="88"/>
      <c r="G106" s="89"/>
    </row>
    <row r="107" spans="2:11" ht="14.25" customHeight="1" x14ac:dyDescent="0.2">
      <c r="B107" s="55"/>
      <c r="D107" s="90"/>
      <c r="F107" s="60" t="str">
        <f>IF('Limestone Plant (LP-8)'!$E$4&gt;5,"Emission Unit #","")</f>
        <v/>
      </c>
      <c r="G107" s="95" t="str">
        <f>IF('Limestone Plant (LP-8)'!$E$4&gt;5,"Maximum Storage Area (acres)","")</f>
        <v/>
      </c>
      <c r="H107" s="96" t="str">
        <f>IF('Limestone Plant (LP-8)'!$E$4&gt;5,"Actual Storage Area (acres)","")</f>
        <v/>
      </c>
      <c r="I107" s="95" t="str">
        <f>IF('Limestone Plant (LP-8)'!$E$4&gt;5,"Actual Days in Existence (days)","")</f>
        <v/>
      </c>
    </row>
    <row r="108" spans="2:11" ht="14.25" customHeight="1" x14ac:dyDescent="0.2">
      <c r="B108" s="55"/>
      <c r="F108" s="77"/>
      <c r="G108" s="126"/>
      <c r="H108" s="78"/>
      <c r="I108" s="126"/>
    </row>
    <row r="109" spans="2:11" ht="24.75" customHeight="1" x14ac:dyDescent="0.2"/>
    <row r="111" spans="2:11" ht="28.5" customHeight="1" x14ac:dyDescent="0.25">
      <c r="B111" s="92" t="str">
        <f>IF('Limestone Plant (LP-8)'!$E$4&gt;6,"CRUSHER PLANT","")</f>
        <v/>
      </c>
      <c r="C111" s="84" t="str">
        <f>IF('Limestone Plant (LP-8)'!$E$4&gt;6,"Site 7","")</f>
        <v/>
      </c>
      <c r="E111" s="213" t="str">
        <f>IF('Limestone Plant (LP-8)'!$E$4&gt;6,"Emission Point #","")</f>
        <v/>
      </c>
      <c r="F111" s="213" t="str">
        <f>IF('Limestone Plant (LP-8)'!$E$4&gt;6,"Emission    Unit #","")</f>
        <v/>
      </c>
      <c r="G111" s="213" t="str">
        <f>IF('Limestone Plant (LP-8)'!$E$4&gt;6,"Processes","")</f>
        <v/>
      </c>
      <c r="H111" s="220" t="str">
        <f>IF('Limestone Plant (LP-8)'!$E$4&gt;6,"Combined Maximum Hourly Design Rate for all Like Processes (tons/hr)","")</f>
        <v/>
      </c>
      <c r="I111" s="213" t="str">
        <f>IF('Limestone Plant (LP-8)'!$E$4&gt;6,('Facility Information'!G5&amp;" Annual Throughput (tons)"),"")</f>
        <v/>
      </c>
    </row>
    <row r="112" spans="2:11" ht="14.25" customHeight="1" x14ac:dyDescent="0.2">
      <c r="B112" s="94" t="str">
        <f>IF('Limestone Plant (LP-8)'!$E$4&gt;6,"Site Name:","")</f>
        <v/>
      </c>
      <c r="C112" s="76"/>
      <c r="D112" s="55"/>
      <c r="E112" s="166" t="str">
        <f>IF(G112="","","LP-8 EP-1")</f>
        <v/>
      </c>
      <c r="F112" s="166" t="str">
        <f>IF(G112="","",IF(G112="primary crusher","LP-8 EU-1",IF(G112="screening","LP-8 EU-2",IF(G112="secondary crusher","LP-8 EU-3",IF(G112="tertiary crusher","LP-1 EU-4",IF(G112="fines crushing","LP-8 EU-5",IF(G112="fines screening","LP-8 EU-6",IF(G112="wet drilling: unfragmented stone","LP-8 EU-7",IF(G112="conveyor transfer points","LP-8 EU-8")))))))))</f>
        <v/>
      </c>
      <c r="G112" s="98"/>
      <c r="H112" s="167"/>
      <c r="I112" s="184"/>
      <c r="J112" s="81">
        <f t="shared" ref="J112:J119" si="32">IF($C$116="no",I112,0)</f>
        <v>0</v>
      </c>
      <c r="K112" s="81">
        <f t="shared" ref="K112:K119" si="33">IF($C$116="yes",I112,0)</f>
        <v>0</v>
      </c>
    </row>
    <row r="113" spans="2:11" ht="14.25" customHeight="1" x14ac:dyDescent="0.2">
      <c r="B113" s="94" t="str">
        <f>IF('Limestone Plant (LP-8)'!$E$4&gt;6,"County:","")</f>
        <v/>
      </c>
      <c r="C113" s="76"/>
      <c r="D113" s="55"/>
      <c r="E113" s="166" t="str">
        <f t="shared" ref="E113:E119" si="34">IF(G113="","","LP-8 EP-1")</f>
        <v/>
      </c>
      <c r="F113" s="166" t="str">
        <f t="shared" ref="F113:F119" si="35">IF(G113="","",IF(G113="primary crusher","LP-8 EU-1",IF(G113="screening","LP-8 EU-2",IF(G113="secondary crusher","LP-8 EU-3",IF(G113="tertiary crusher","LP-1 EU-4",IF(G113="fines crushing","LP-8 EU-5",IF(G113="fines screening","LP-8 EU-6",IF(G113="wet drilling: unfragmented stone","LP-8 EU-7",IF(G113="conveyor transfer points","LP-8 EU-8")))))))))</f>
        <v/>
      </c>
      <c r="G113" s="98"/>
      <c r="H113" s="167"/>
      <c r="I113" s="184"/>
      <c r="J113" s="81">
        <f t="shared" si="32"/>
        <v>0</v>
      </c>
      <c r="K113" s="81">
        <f t="shared" si="33"/>
        <v>0</v>
      </c>
    </row>
    <row r="114" spans="2:11" ht="14.25" customHeight="1" x14ac:dyDescent="0.2">
      <c r="B114" s="94" t="str">
        <f>IF('Limestone Plant (LP-8)'!$E$4&gt;6,"Crushing Period (Dates):","")</f>
        <v/>
      </c>
      <c r="C114" s="76"/>
      <c r="D114" s="55"/>
      <c r="E114" s="166" t="str">
        <f t="shared" si="34"/>
        <v/>
      </c>
      <c r="F114" s="166" t="str">
        <f t="shared" si="35"/>
        <v/>
      </c>
      <c r="G114" s="98"/>
      <c r="H114" s="167"/>
      <c r="I114" s="184"/>
      <c r="J114" s="81">
        <f t="shared" si="32"/>
        <v>0</v>
      </c>
      <c r="K114" s="81">
        <f t="shared" si="33"/>
        <v>0</v>
      </c>
    </row>
    <row r="115" spans="2:11" ht="14.25" customHeight="1" x14ac:dyDescent="0.2">
      <c r="B115" s="281" t="str">
        <f>IF('Limestone Plant (LP-8)'!$E$4&gt;6,"Controlled with Dust Suppressant or","")</f>
        <v/>
      </c>
      <c r="D115" s="55"/>
      <c r="E115" s="166" t="str">
        <f t="shared" si="34"/>
        <v/>
      </c>
      <c r="F115" s="166" t="str">
        <f t="shared" si="35"/>
        <v/>
      </c>
      <c r="G115" s="98"/>
      <c r="H115" s="167"/>
      <c r="I115" s="184"/>
      <c r="J115" s="81">
        <f t="shared" si="32"/>
        <v>0</v>
      </c>
      <c r="K115" s="81">
        <f t="shared" si="33"/>
        <v>0</v>
      </c>
    </row>
    <row r="116" spans="2:11" ht="14.25" customHeight="1" x14ac:dyDescent="0.2">
      <c r="B116" s="282" t="str">
        <f>IF('Limestone Plant (LP-8)'!$E$4&gt;6,"Material Being Processed has","")</f>
        <v/>
      </c>
      <c r="C116" s="280"/>
      <c r="D116" s="55"/>
      <c r="E116" s="166" t="str">
        <f t="shared" si="34"/>
        <v/>
      </c>
      <c r="F116" s="166" t="str">
        <f t="shared" si="35"/>
        <v/>
      </c>
      <c r="G116" s="98"/>
      <c r="H116" s="167"/>
      <c r="I116" s="184"/>
      <c r="J116" s="81">
        <f t="shared" si="32"/>
        <v>0</v>
      </c>
      <c r="K116" s="81">
        <f t="shared" si="33"/>
        <v>0</v>
      </c>
    </row>
    <row r="117" spans="2:11" ht="14.25" customHeight="1" x14ac:dyDescent="0.2">
      <c r="B117" s="284" t="str">
        <f>IF('Limestone Plant (LP-8)'!$E$4&gt;6,"Moisture Content &gt; 1.5%?","")</f>
        <v/>
      </c>
      <c r="C117" s="55"/>
      <c r="D117" s="55"/>
      <c r="E117" s="166" t="str">
        <f t="shared" si="34"/>
        <v/>
      </c>
      <c r="F117" s="166" t="str">
        <f t="shared" si="35"/>
        <v/>
      </c>
      <c r="G117" s="98"/>
      <c r="H117" s="167"/>
      <c r="I117" s="184"/>
      <c r="J117" s="81">
        <f t="shared" si="32"/>
        <v>0</v>
      </c>
      <c r="K117" s="81">
        <f t="shared" si="33"/>
        <v>0</v>
      </c>
    </row>
    <row r="118" spans="2:11" ht="14.25" customHeight="1" x14ac:dyDescent="0.2">
      <c r="B118" s="55"/>
      <c r="D118" s="55"/>
      <c r="E118" s="166" t="str">
        <f t="shared" si="34"/>
        <v/>
      </c>
      <c r="F118" s="166" t="str">
        <f t="shared" si="35"/>
        <v/>
      </c>
      <c r="G118" s="98"/>
      <c r="H118" s="167"/>
      <c r="I118" s="184"/>
      <c r="J118" s="81">
        <f t="shared" si="32"/>
        <v>0</v>
      </c>
      <c r="K118" s="81">
        <f t="shared" si="33"/>
        <v>0</v>
      </c>
    </row>
    <row r="119" spans="2:11" ht="14.25" customHeight="1" x14ac:dyDescent="0.2">
      <c r="B119" s="55"/>
      <c r="C119" s="55"/>
      <c r="D119" s="55"/>
      <c r="E119" s="166" t="str">
        <f t="shared" si="34"/>
        <v/>
      </c>
      <c r="F119" s="166" t="str">
        <f t="shared" si="35"/>
        <v/>
      </c>
      <c r="G119" s="98"/>
      <c r="H119" s="167"/>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(LP-8)'!$E$4&gt;6,"Stock Pile Area","")</f>
        <v/>
      </c>
      <c r="F121" s="88"/>
      <c r="G121" s="89"/>
    </row>
    <row r="122" spans="2:11" ht="14.25" customHeight="1" x14ac:dyDescent="0.2">
      <c r="B122" s="55"/>
      <c r="D122" s="90"/>
      <c r="F122" s="60" t="str">
        <f>IF('Limestone Plant (LP-8)'!$E$4&gt;6,"Emission Unit #","")</f>
        <v/>
      </c>
      <c r="G122" s="95" t="str">
        <f>IF('Limestone Plant (LP-8)'!$E$4&gt;6,"Maximum Storage Area (acres)","")</f>
        <v/>
      </c>
      <c r="H122" s="96" t="str">
        <f>IF('Limestone Plant (LP-8)'!$E$4&gt;6,"Actual Storage Area (acres)","")</f>
        <v/>
      </c>
      <c r="I122" s="95" t="str">
        <f>IF('Limestone Plant (LP-8)'!$E$4&gt;6,"Actual Days in Existence (days)","")</f>
        <v/>
      </c>
    </row>
    <row r="123" spans="2:11" ht="14.25" customHeight="1" x14ac:dyDescent="0.2">
      <c r="B123" s="55"/>
      <c r="F123" s="77"/>
      <c r="G123" s="126"/>
      <c r="H123" s="78"/>
      <c r="I123" s="126"/>
    </row>
    <row r="124" spans="2:11" ht="24" customHeight="1" x14ac:dyDescent="0.2"/>
    <row r="126" spans="2:11" ht="27.75" customHeight="1" x14ac:dyDescent="0.25">
      <c r="B126" s="92" t="str">
        <f>IF('Limestone Plant (LP-8)'!$E$4&gt;7,"CRUSHER PLANT","")</f>
        <v/>
      </c>
      <c r="C126" s="84" t="str">
        <f>IF('Limestone Plant (LP-8)'!$E$4&gt;7,"Site 8","")</f>
        <v/>
      </c>
      <c r="E126" s="213" t="str">
        <f>IF('Limestone Plant (LP-8)'!$E$4&gt;7,"Emission Point #","")</f>
        <v/>
      </c>
      <c r="F126" s="213" t="str">
        <f>IF('Limestone Plant (LP-8)'!$E$4&gt;7,"Emission    Unit #","")</f>
        <v/>
      </c>
      <c r="G126" s="213" t="str">
        <f>IF('Limestone Plant (LP-8)'!$E$4&gt;7,"Processes","")</f>
        <v/>
      </c>
      <c r="H126" s="220" t="str">
        <f>IF('Limestone Plant (LP-8)'!$E$4&gt;7,"Combined Maximum Hourly Design Rate for all Like Processes (tons/hr)","")</f>
        <v/>
      </c>
      <c r="I126" s="213" t="str">
        <f>IF('Limestone Plant (LP-8)'!$E$4&gt;7,('Facility Information'!G5&amp;" Annual Throughput (tons)"),"")</f>
        <v/>
      </c>
    </row>
    <row r="127" spans="2:11" ht="14.25" customHeight="1" x14ac:dyDescent="0.2">
      <c r="B127" s="94" t="str">
        <f>IF('Limestone Plant (LP-8)'!$E$4&gt;7,"Site Name:","")</f>
        <v/>
      </c>
      <c r="C127" s="76"/>
      <c r="D127" s="55"/>
      <c r="E127" s="166" t="str">
        <f>IF(G127="","","LP-8 EP-1")</f>
        <v/>
      </c>
      <c r="F127" s="166" t="str">
        <f>IF(G127="","",IF(G127="primary crusher","LP-8 EU-1",IF(G127="screening","LP-8 EU-2",IF(G127="secondary crusher","LP-8 EU-3",IF(G127="tertiary crusher","LP-1 EU-4",IF(G127="fines crushing","LP-8 EU-5",IF(G127="fines screening","LP-8 EU-6",IF(G127="wet drilling: unfragmented stone","LP-8 EU-7",IF(G127="conveyor transfer points","LP-8 EU-8")))))))))</f>
        <v/>
      </c>
      <c r="G127" s="98"/>
      <c r="H127" s="167"/>
      <c r="I127" s="184"/>
      <c r="J127" s="81">
        <f t="shared" ref="J127:J134" si="36">IF($C$131="no",I127,0)</f>
        <v>0</v>
      </c>
      <c r="K127" s="81">
        <f t="shared" ref="K127:K134" si="37">IF($C$131="yes",I127,0)</f>
        <v>0</v>
      </c>
    </row>
    <row r="128" spans="2:11" ht="14.25" customHeight="1" x14ac:dyDescent="0.2">
      <c r="B128" s="94" t="str">
        <f>IF('Limestone Plant (LP-8)'!$E$4&gt;7,"County:","")</f>
        <v/>
      </c>
      <c r="C128" s="76"/>
      <c r="D128" s="55"/>
      <c r="E128" s="166" t="str">
        <f t="shared" ref="E128:E134" si="38">IF(G128="","","LP-8 EP-1")</f>
        <v/>
      </c>
      <c r="F128" s="166" t="str">
        <f t="shared" ref="F128:F134" si="39">IF(G128="","",IF(G128="primary crusher","LP-8 EU-1",IF(G128="screening","LP-8 EU-2",IF(G128="secondary crusher","LP-8 EU-3",IF(G128="tertiary crusher","LP-1 EU-4",IF(G128="fines crushing","LP-8 EU-5",IF(G128="fines screening","LP-8 EU-6",IF(G128="wet drilling: unfragmented stone","LP-8 EU-7",IF(G128="conveyor transfer points","LP-8 EU-8")))))))))</f>
        <v/>
      </c>
      <c r="G128" s="98"/>
      <c r="H128" s="167"/>
      <c r="I128" s="184"/>
      <c r="J128" s="81">
        <f t="shared" si="36"/>
        <v>0</v>
      </c>
      <c r="K128" s="81">
        <f t="shared" si="37"/>
        <v>0</v>
      </c>
    </row>
    <row r="129" spans="2:11" ht="14.25" customHeight="1" x14ac:dyDescent="0.2">
      <c r="B129" s="94" t="str">
        <f>IF('Limestone Plant (LP-8)'!$E$4&gt;7,"Crushing Period (Dates):","")</f>
        <v/>
      </c>
      <c r="C129" s="76"/>
      <c r="D129" s="55"/>
      <c r="E129" s="166" t="str">
        <f t="shared" si="38"/>
        <v/>
      </c>
      <c r="F129" s="166" t="str">
        <f t="shared" si="39"/>
        <v/>
      </c>
      <c r="G129" s="98"/>
      <c r="H129" s="167"/>
      <c r="I129" s="184"/>
      <c r="J129" s="81">
        <f t="shared" si="36"/>
        <v>0</v>
      </c>
      <c r="K129" s="81">
        <f t="shared" si="37"/>
        <v>0</v>
      </c>
    </row>
    <row r="130" spans="2:11" ht="14.25" customHeight="1" x14ac:dyDescent="0.2">
      <c r="B130" s="281" t="str">
        <f>IF('Limestone Plant (LP-8)'!$E$4&gt;7,"Controlled with Dust Suppressant or","")</f>
        <v/>
      </c>
      <c r="D130" s="55"/>
      <c r="E130" s="166" t="str">
        <f t="shared" si="38"/>
        <v/>
      </c>
      <c r="F130" s="166" t="str">
        <f t="shared" si="39"/>
        <v/>
      </c>
      <c r="G130" s="98"/>
      <c r="H130" s="167"/>
      <c r="I130" s="184"/>
      <c r="J130" s="81">
        <f t="shared" si="36"/>
        <v>0</v>
      </c>
      <c r="K130" s="81">
        <f t="shared" si="37"/>
        <v>0</v>
      </c>
    </row>
    <row r="131" spans="2:11" ht="14.25" customHeight="1" x14ac:dyDescent="0.2">
      <c r="B131" s="282" t="str">
        <f>IF('Limestone Plant (LP-8)'!$E$4&gt;7,"Material Being Processed has","")</f>
        <v/>
      </c>
      <c r="C131" s="280"/>
      <c r="D131" s="55"/>
      <c r="E131" s="166" t="str">
        <f t="shared" si="38"/>
        <v/>
      </c>
      <c r="F131" s="166" t="str">
        <f t="shared" si="39"/>
        <v/>
      </c>
      <c r="G131" s="98"/>
      <c r="H131" s="167"/>
      <c r="I131" s="184"/>
      <c r="J131" s="81">
        <f t="shared" si="36"/>
        <v>0</v>
      </c>
      <c r="K131" s="81">
        <f t="shared" si="37"/>
        <v>0</v>
      </c>
    </row>
    <row r="132" spans="2:11" ht="14.25" customHeight="1" x14ac:dyDescent="0.2">
      <c r="B132" s="284" t="str">
        <f>IF('Limestone Plant (LP-8)'!$E$4&gt;7,"Moisture Content &gt; 1.5%?","")</f>
        <v/>
      </c>
      <c r="C132" s="55"/>
      <c r="D132" s="55"/>
      <c r="E132" s="166" t="str">
        <f t="shared" si="38"/>
        <v/>
      </c>
      <c r="F132" s="166" t="str">
        <f t="shared" si="39"/>
        <v/>
      </c>
      <c r="G132" s="98"/>
      <c r="H132" s="167"/>
      <c r="I132" s="184"/>
      <c r="J132" s="81">
        <f t="shared" si="36"/>
        <v>0</v>
      </c>
      <c r="K132" s="81">
        <f t="shared" si="37"/>
        <v>0</v>
      </c>
    </row>
    <row r="133" spans="2:11" ht="14.25" customHeight="1" x14ac:dyDescent="0.2">
      <c r="B133" s="55"/>
      <c r="D133" s="55"/>
      <c r="E133" s="166" t="str">
        <f t="shared" si="38"/>
        <v/>
      </c>
      <c r="F133" s="166" t="str">
        <f t="shared" si="39"/>
        <v/>
      </c>
      <c r="G133" s="98"/>
      <c r="H133" s="167"/>
      <c r="I133" s="184"/>
      <c r="J133" s="81">
        <f t="shared" si="36"/>
        <v>0</v>
      </c>
      <c r="K133" s="81">
        <f t="shared" si="37"/>
        <v>0</v>
      </c>
    </row>
    <row r="134" spans="2:11" ht="14.25" customHeight="1" x14ac:dyDescent="0.2">
      <c r="B134" s="55"/>
      <c r="C134" s="55"/>
      <c r="D134" s="55"/>
      <c r="E134" s="166" t="str">
        <f t="shared" si="38"/>
        <v/>
      </c>
      <c r="F134" s="166" t="str">
        <f t="shared" si="39"/>
        <v/>
      </c>
      <c r="G134" s="98"/>
      <c r="H134" s="167"/>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(LP-8)'!$E$4&gt;7,"Stock Pile Area","")</f>
        <v/>
      </c>
      <c r="F136" s="88"/>
      <c r="G136" s="89"/>
    </row>
    <row r="137" spans="2:11" ht="14.25" customHeight="1" x14ac:dyDescent="0.2">
      <c r="B137" s="55"/>
      <c r="D137" s="90"/>
      <c r="F137" s="60" t="str">
        <f>IF('Limestone Plant (LP-8)'!$E$4&gt;7,"Emission Unit #","")</f>
        <v/>
      </c>
      <c r="G137" s="95" t="str">
        <f>IF('Limestone Plant (LP-8)'!$E$4&gt;7,"Maximum Storage Area (acres)","")</f>
        <v/>
      </c>
      <c r="H137" s="96" t="str">
        <f>IF('Limestone Plant (LP-8)'!$E$4&gt;7,"Actual Storage Area (acres)","")</f>
        <v/>
      </c>
      <c r="I137" s="95" t="str">
        <f>IF('Limestone Plant (LP-8)'!$E$4&gt;7,"Actual Days in Existence (days)","")</f>
        <v/>
      </c>
    </row>
    <row r="138" spans="2:11" ht="14.25" customHeight="1" x14ac:dyDescent="0.2">
      <c r="B138" s="55"/>
      <c r="F138" s="77"/>
      <c r="G138" s="126"/>
      <c r="H138" s="78"/>
      <c r="I138" s="126"/>
    </row>
    <row r="139" spans="2:11" ht="25.5" customHeight="1" x14ac:dyDescent="0.2"/>
    <row r="141" spans="2:11" ht="27" customHeight="1" x14ac:dyDescent="0.25">
      <c r="B141" s="92" t="str">
        <f>IF('Limestone Plant (LP-8)'!$E$4&gt;8,"CRUSHER PLANT","")</f>
        <v/>
      </c>
      <c r="C141" s="84" t="str">
        <f>IF('Limestone Plant (LP-8)'!$E$4&gt;8,"Site 9","")</f>
        <v/>
      </c>
      <c r="E141" s="213" t="str">
        <f>IF('Limestone Plant (LP-8)'!$E$4&gt;8,"Emission Point #","")</f>
        <v/>
      </c>
      <c r="F141" s="213" t="str">
        <f>IF('Limestone Plant (LP-8)'!$E$4&gt;8,"Emission    Unit #","")</f>
        <v/>
      </c>
      <c r="G141" s="213" t="str">
        <f>IF('Limestone Plant (LP-8)'!$E$4&gt;8,"Processes","")</f>
        <v/>
      </c>
      <c r="H141" s="220" t="str">
        <f>IF('Limestone Plant (LP-8)'!$E$4&gt;8,"Combined Maximum Hourly Design Rate for all Like Processes (tons/hr)","")</f>
        <v/>
      </c>
      <c r="I141" s="213" t="str">
        <f>IF('Limestone Plant (LP-8)'!$E$4&gt;8,('Facility Information'!G5&amp;" Annual Throughput (tons)"),"")</f>
        <v/>
      </c>
    </row>
    <row r="142" spans="2:11" ht="14.25" customHeight="1" x14ac:dyDescent="0.2">
      <c r="B142" s="94" t="str">
        <f>IF('Limestone Plant (LP-8)'!$E$4&gt;8,"Site Name:","")</f>
        <v/>
      </c>
      <c r="C142" s="76"/>
      <c r="D142" s="55"/>
      <c r="E142" s="166" t="str">
        <f>IF(G142="","","LP-8 EP-1")</f>
        <v/>
      </c>
      <c r="F142" s="166" t="str">
        <f>IF(G142="","",IF(G142="primary crusher","LP-8 EU-1",IF(G142="screening","LP-8 EU-2",IF(G142="secondary crusher","LP-8 EU-3",IF(G142="tertiary crusher","LP-1 EU-4",IF(G142="fines crushing","LP-8 EU-5",IF(G142="fines screening","LP-8 EU-6",IF(G142="wet drilling: unfragmented stone","LP-8 EU-7",IF(G142="conveyor transfer points","LP-8 EU-8")))))))))</f>
        <v/>
      </c>
      <c r="G142" s="98"/>
      <c r="H142" s="167"/>
      <c r="I142" s="184"/>
      <c r="J142" s="81">
        <f t="shared" ref="J142:J149" si="40">IF($C$146="no",I142,0)</f>
        <v>0</v>
      </c>
      <c r="K142" s="81">
        <f t="shared" ref="K142:K149" si="41">IF($C$146="yes",I142,0)</f>
        <v>0</v>
      </c>
    </row>
    <row r="143" spans="2:11" ht="14.25" customHeight="1" x14ac:dyDescent="0.2">
      <c r="B143" s="94" t="str">
        <f>IF('Limestone Plant (LP-8)'!$E$4&gt;8,"County:","")</f>
        <v/>
      </c>
      <c r="C143" s="76"/>
      <c r="D143" s="55"/>
      <c r="E143" s="166" t="str">
        <f t="shared" ref="E143:E149" si="42">IF(G143="","","LP-8 EP-1")</f>
        <v/>
      </c>
      <c r="F143" s="166" t="str">
        <f t="shared" ref="F143:F149" si="43">IF(G143="","",IF(G143="primary crusher","LP-8 EU-1",IF(G143="screening","LP-8 EU-2",IF(G143="secondary crusher","LP-8 EU-3",IF(G143="tertiary crusher","LP-1 EU-4",IF(G143="fines crushing","LP-8 EU-5",IF(G143="fines screening","LP-8 EU-6",IF(G143="wet drilling: unfragmented stone","LP-8 EU-7",IF(G143="conveyor transfer points","LP-8 EU-8")))))))))</f>
        <v/>
      </c>
      <c r="G143" s="98"/>
      <c r="H143" s="167"/>
      <c r="I143" s="184"/>
      <c r="J143" s="81">
        <f t="shared" si="40"/>
        <v>0</v>
      </c>
      <c r="K143" s="81">
        <f t="shared" si="41"/>
        <v>0</v>
      </c>
    </row>
    <row r="144" spans="2:11" ht="14.25" customHeight="1" x14ac:dyDescent="0.2">
      <c r="B144" s="94" t="str">
        <f>IF('Limestone Plant (LP-8)'!$E$4&gt;8,"Crushing Period (Dates):","")</f>
        <v/>
      </c>
      <c r="C144" s="76"/>
      <c r="D144" s="55"/>
      <c r="E144" s="166" t="str">
        <f t="shared" si="42"/>
        <v/>
      </c>
      <c r="F144" s="166" t="str">
        <f t="shared" si="43"/>
        <v/>
      </c>
      <c r="G144" s="98"/>
      <c r="H144" s="167"/>
      <c r="I144" s="184"/>
      <c r="J144" s="81">
        <f t="shared" si="40"/>
        <v>0</v>
      </c>
      <c r="K144" s="81">
        <f t="shared" si="41"/>
        <v>0</v>
      </c>
    </row>
    <row r="145" spans="2:11" ht="14.25" customHeight="1" x14ac:dyDescent="0.2">
      <c r="B145" s="281" t="str">
        <f>IF('Limestone Plant (LP-8)'!$E$4&gt;8,"Controlled with Dust Suppressant or","")</f>
        <v/>
      </c>
      <c r="D145" s="55"/>
      <c r="E145" s="166" t="str">
        <f t="shared" si="42"/>
        <v/>
      </c>
      <c r="F145" s="166" t="str">
        <f t="shared" si="43"/>
        <v/>
      </c>
      <c r="G145" s="98"/>
      <c r="H145" s="167"/>
      <c r="I145" s="184"/>
      <c r="J145" s="81">
        <f t="shared" si="40"/>
        <v>0</v>
      </c>
      <c r="K145" s="81">
        <f t="shared" si="41"/>
        <v>0</v>
      </c>
    </row>
    <row r="146" spans="2:11" ht="14.25" customHeight="1" x14ac:dyDescent="0.2">
      <c r="B146" s="282" t="str">
        <f>IF('Limestone Plant (LP-8)'!$E$4&gt;8,"Material Being Processed has","")</f>
        <v/>
      </c>
      <c r="C146" s="280"/>
      <c r="D146" s="55"/>
      <c r="E146" s="166" t="str">
        <f t="shared" si="42"/>
        <v/>
      </c>
      <c r="F146" s="166" t="str">
        <f t="shared" si="43"/>
        <v/>
      </c>
      <c r="G146" s="98"/>
      <c r="H146" s="167"/>
      <c r="I146" s="184"/>
      <c r="J146" s="81">
        <f t="shared" si="40"/>
        <v>0</v>
      </c>
      <c r="K146" s="81">
        <f t="shared" si="41"/>
        <v>0</v>
      </c>
    </row>
    <row r="147" spans="2:11" ht="14.25" customHeight="1" x14ac:dyDescent="0.2">
      <c r="B147" s="284" t="str">
        <f>IF('Limestone Plant (LP-8)'!$E$4&gt;8,"Moisture Content &gt; 1.5%?","")</f>
        <v/>
      </c>
      <c r="C147" s="55"/>
      <c r="D147" s="55"/>
      <c r="E147" s="166" t="str">
        <f t="shared" si="42"/>
        <v/>
      </c>
      <c r="F147" s="166" t="str">
        <f t="shared" si="43"/>
        <v/>
      </c>
      <c r="G147" s="98"/>
      <c r="H147" s="167"/>
      <c r="I147" s="184"/>
      <c r="J147" s="81">
        <f t="shared" si="40"/>
        <v>0</v>
      </c>
      <c r="K147" s="81">
        <f t="shared" si="41"/>
        <v>0</v>
      </c>
    </row>
    <row r="148" spans="2:11" ht="14.25" customHeight="1" x14ac:dyDescent="0.2">
      <c r="B148" s="55"/>
      <c r="D148" s="55"/>
      <c r="E148" s="166" t="str">
        <f t="shared" si="42"/>
        <v/>
      </c>
      <c r="F148" s="166" t="str">
        <f t="shared" si="43"/>
        <v/>
      </c>
      <c r="G148" s="98"/>
      <c r="H148" s="167"/>
      <c r="I148" s="184"/>
      <c r="J148" s="81">
        <f t="shared" si="40"/>
        <v>0</v>
      </c>
      <c r="K148" s="81">
        <f t="shared" si="41"/>
        <v>0</v>
      </c>
    </row>
    <row r="149" spans="2:11" ht="14.25" customHeight="1" x14ac:dyDescent="0.2">
      <c r="B149" s="55"/>
      <c r="C149" s="55"/>
      <c r="D149" s="55"/>
      <c r="E149" s="166" t="str">
        <f t="shared" si="42"/>
        <v/>
      </c>
      <c r="F149" s="166" t="str">
        <f t="shared" si="43"/>
        <v/>
      </c>
      <c r="G149" s="98"/>
      <c r="H149" s="167"/>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(LP-8)'!$E$4&gt;8,"Stock Pile Area","")</f>
        <v/>
      </c>
      <c r="F151" s="88"/>
      <c r="G151" s="89"/>
    </row>
    <row r="152" spans="2:11" ht="14.25" customHeight="1" x14ac:dyDescent="0.2">
      <c r="B152" s="55"/>
      <c r="D152" s="90"/>
      <c r="F152" s="60" t="str">
        <f>IF('Limestone Plant (LP-8)'!$E$4&gt;8,"Emission Unit #","")</f>
        <v/>
      </c>
      <c r="G152" s="95" t="str">
        <f>IF('Limestone Plant (LP-8)'!$E$4&gt;8,"Maximum Storage Area (acres)","")</f>
        <v/>
      </c>
      <c r="H152" s="96" t="str">
        <f>IF('Limestone Plant (LP-8)'!$E$4&gt;8,"Actual Storage Area (acres)","")</f>
        <v/>
      </c>
      <c r="I152" s="95" t="str">
        <f>IF('Limestone Plant (LP-8)'!$E$4&gt;8,"Actual Days in Existence (days)","")</f>
        <v/>
      </c>
    </row>
    <row r="153" spans="2:11" ht="14.25" customHeight="1" x14ac:dyDescent="0.2">
      <c r="B153" s="55"/>
      <c r="F153" s="77"/>
      <c r="G153" s="126"/>
      <c r="H153" s="78"/>
      <c r="I153" s="126"/>
    </row>
    <row r="156" spans="2:11" ht="31.5" customHeight="1" x14ac:dyDescent="0.25">
      <c r="B156" s="92" t="str">
        <f>IF('Limestone Plant (LP-8)'!$E$4&gt;9,"CRUSHER PLANT","")</f>
        <v/>
      </c>
      <c r="C156" s="84" t="str">
        <f>IF('Limestone Plant (LP-8)'!$E$4&gt;9,"Site 10","")</f>
        <v/>
      </c>
      <c r="E156" s="213" t="str">
        <f>IF('Limestone Plant (LP-8)'!$E$4&gt;9,"Emission Point #","")</f>
        <v/>
      </c>
      <c r="F156" s="213" t="str">
        <f>IF('Limestone Plant (LP-8)'!$E$4&gt;9,"Emission    Unit #","")</f>
        <v/>
      </c>
      <c r="G156" s="213" t="str">
        <f>IF('Limestone Plant (LP-8)'!$E$4&gt;9,"Processes","")</f>
        <v/>
      </c>
      <c r="H156" s="220" t="str">
        <f>IF('Limestone Plant (LP-8)'!$E$4&gt;9,"Combined Maximum Hourly Design Rate for all Like Processes (tons/hr)","")</f>
        <v/>
      </c>
      <c r="I156" s="213" t="str">
        <f>IF('Limestone Plant (LP-8)'!$E$4&gt;9,('Facility Information'!G5&amp;" Annual Throughput (tons)"),"")</f>
        <v/>
      </c>
    </row>
    <row r="157" spans="2:11" ht="14.25" customHeight="1" x14ac:dyDescent="0.2">
      <c r="B157" s="94" t="str">
        <f>IF('Limestone Plant (LP-8)'!$E$4&gt;9,"Site Name:","")</f>
        <v/>
      </c>
      <c r="C157" s="76"/>
      <c r="D157" s="55"/>
      <c r="E157" s="166" t="str">
        <f>IF(G157="","","LP-8 EP-1")</f>
        <v/>
      </c>
      <c r="F157" s="166" t="str">
        <f>IF(G157="","",IF(G157="primary crusher","LP-8 EU-1",IF(G157="screening","LP-8 EU-2",IF(G157="secondary crusher","LP-8 EU-3",IF(G157="tertiary crusher","LP-1 EU-4",IF(G157="fines crushing","LP-8 EU-5",IF(G157="fines screening","LP-8 EU-6",IF(G157="wet drilling: unfragmented stone","LP-8 EU-7",IF(G157="conveyor transfer points","LP-8 EU-8")))))))))</f>
        <v/>
      </c>
      <c r="G157" s="98"/>
      <c r="H157" s="167"/>
      <c r="I157" s="184"/>
      <c r="J157" s="81">
        <f>IF($C161="no",I157,0)</f>
        <v>0</v>
      </c>
      <c r="K157" s="81">
        <f>IF($C161="yes",I157,0)</f>
        <v>0</v>
      </c>
    </row>
    <row r="158" spans="2:11" ht="14.25" customHeight="1" x14ac:dyDescent="0.2">
      <c r="B158" s="94" t="str">
        <f>IF('Limestone Plant (LP-8)'!$E$4&gt;9,"County:","")</f>
        <v/>
      </c>
      <c r="C158" s="76"/>
      <c r="D158" s="55"/>
      <c r="E158" s="166" t="str">
        <f t="shared" ref="E158:E164" si="44">IF(G158="","","LP-8 EP-1")</f>
        <v/>
      </c>
      <c r="F158" s="166" t="str">
        <f t="shared" ref="F158:F164" si="45">IF(G158="","",IF(G158="primary crusher","LP-8 EU-1",IF(G158="screening","LP-8 EU-2",IF(G158="secondary crusher","LP-8 EU-3",IF(G158="tertiary crusher","LP-1 EU-4",IF(G158="fines crushing","LP-8 EU-5",IF(G158="fines screening","LP-8 EU-6",IF(G158="wet drilling: unfragmented stone","LP-8 EU-7",IF(G158="conveyor transfer points","LP-8 EU-8")))))))))</f>
        <v/>
      </c>
      <c r="G158" s="98"/>
      <c r="H158" s="167"/>
      <c r="I158" s="184"/>
      <c r="J158" s="81">
        <f t="shared" ref="J158:J164" si="46">IF($C162="no",I158,0)</f>
        <v>0</v>
      </c>
      <c r="K158" s="81">
        <f t="shared" ref="K158:K164" si="47">IF($C162="yes",I158,0)</f>
        <v>0</v>
      </c>
    </row>
    <row r="159" spans="2:11" ht="14.25" customHeight="1" x14ac:dyDescent="0.2">
      <c r="B159" s="94" t="str">
        <f>IF('Limestone Plant (LP-8)'!$E$4&gt;9,"Crushing Period (Dates):","")</f>
        <v/>
      </c>
      <c r="C159" s="76"/>
      <c r="D159" s="55"/>
      <c r="E159" s="166" t="str">
        <f t="shared" si="44"/>
        <v/>
      </c>
      <c r="F159" s="166" t="str">
        <f t="shared" si="45"/>
        <v/>
      </c>
      <c r="G159" s="98"/>
      <c r="H159" s="167"/>
      <c r="I159" s="184"/>
      <c r="J159" s="81">
        <f t="shared" si="46"/>
        <v>0</v>
      </c>
      <c r="K159" s="81">
        <f t="shared" si="47"/>
        <v>0</v>
      </c>
    </row>
    <row r="160" spans="2:11" ht="14.25" customHeight="1" x14ac:dyDescent="0.2">
      <c r="B160" s="281" t="str">
        <f>IF('Limestone Plant (LP-8)'!$E$4&gt;9,"Controlled with Dust Suppressant or","")</f>
        <v/>
      </c>
      <c r="D160" s="55"/>
      <c r="E160" s="166" t="str">
        <f t="shared" si="44"/>
        <v/>
      </c>
      <c r="F160" s="166" t="str">
        <f t="shared" si="45"/>
        <v/>
      </c>
      <c r="G160" s="98"/>
      <c r="H160" s="167"/>
      <c r="I160" s="184"/>
      <c r="J160" s="81">
        <f t="shared" si="46"/>
        <v>0</v>
      </c>
      <c r="K160" s="81">
        <f t="shared" si="47"/>
        <v>0</v>
      </c>
    </row>
    <row r="161" spans="2:11" ht="14.25" customHeight="1" x14ac:dyDescent="0.2">
      <c r="B161" s="282" t="str">
        <f>IF('Limestone Plant (LP-8)'!$E$4&gt;9,"Material Being Processed has","")</f>
        <v/>
      </c>
      <c r="C161" s="280"/>
      <c r="D161" s="55"/>
      <c r="E161" s="166" t="str">
        <f t="shared" si="44"/>
        <v/>
      </c>
      <c r="F161" s="166" t="str">
        <f t="shared" si="45"/>
        <v/>
      </c>
      <c r="G161" s="98"/>
      <c r="H161" s="167"/>
      <c r="I161" s="184"/>
      <c r="J161" s="81">
        <f t="shared" si="46"/>
        <v>0</v>
      </c>
      <c r="K161" s="81">
        <f t="shared" si="47"/>
        <v>0</v>
      </c>
    </row>
    <row r="162" spans="2:11" ht="14.25" customHeight="1" x14ac:dyDescent="0.2">
      <c r="B162" s="284" t="str">
        <f>IF('Limestone Plant (LP-8)'!$E$4&gt;9,"Moisture Content &gt; 1.5%?","")</f>
        <v/>
      </c>
      <c r="C162" s="55"/>
      <c r="D162" s="55"/>
      <c r="E162" s="166" t="str">
        <f t="shared" si="44"/>
        <v/>
      </c>
      <c r="F162" s="166" t="str">
        <f t="shared" si="45"/>
        <v/>
      </c>
      <c r="G162" s="98"/>
      <c r="H162" s="167"/>
      <c r="I162" s="184"/>
      <c r="J162" s="81">
        <f t="shared" si="46"/>
        <v>0</v>
      </c>
      <c r="K162" s="81">
        <f t="shared" si="47"/>
        <v>0</v>
      </c>
    </row>
    <row r="163" spans="2:11" ht="14.25" customHeight="1" x14ac:dyDescent="0.2">
      <c r="B163" s="55"/>
      <c r="D163" s="55"/>
      <c r="E163" s="166" t="str">
        <f t="shared" si="44"/>
        <v/>
      </c>
      <c r="F163" s="166" t="str">
        <f t="shared" si="45"/>
        <v/>
      </c>
      <c r="G163" s="98"/>
      <c r="H163" s="167"/>
      <c r="I163" s="184"/>
      <c r="J163" s="81">
        <f t="shared" si="46"/>
        <v>0</v>
      </c>
      <c r="K163" s="81">
        <f t="shared" si="47"/>
        <v>0</v>
      </c>
    </row>
    <row r="164" spans="2:11" ht="14.25" customHeight="1" x14ac:dyDescent="0.2">
      <c r="B164" s="55"/>
      <c r="C164" s="55"/>
      <c r="D164" s="55"/>
      <c r="E164" s="166" t="str">
        <f t="shared" si="44"/>
        <v/>
      </c>
      <c r="F164" s="166" t="str">
        <f t="shared" si="45"/>
        <v/>
      </c>
      <c r="G164" s="98"/>
      <c r="H164" s="167"/>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(LP-8)'!$E$4&gt;9,"Stock Pile Area","")</f>
        <v/>
      </c>
      <c r="F166" s="88"/>
      <c r="G166" s="89"/>
    </row>
    <row r="167" spans="2:11" ht="14.25" customHeight="1" x14ac:dyDescent="0.2">
      <c r="B167" s="55"/>
      <c r="D167" s="90"/>
      <c r="F167" s="60" t="str">
        <f>IF('Limestone Plant (LP-8)'!$E$4&gt;9,"Emission Unit #","")</f>
        <v/>
      </c>
      <c r="G167" s="95" t="str">
        <f>IF('Limestone Plant (LP-8)'!$E$4&gt;9,"Maximum Storage Area (acres)","")</f>
        <v/>
      </c>
      <c r="H167" s="96" t="str">
        <f>IF('Limestone Plant (LP-8)'!$E$4&gt;9,"Actual Storage Area (acres)","")</f>
        <v/>
      </c>
      <c r="I167" s="95" t="str">
        <f>IF('Limestone Plant (LP-8)'!$E$4&gt;9,"Actual Days in Existence (days)","")</f>
        <v/>
      </c>
    </row>
    <row r="168" spans="2:11" ht="14.25" customHeight="1" x14ac:dyDescent="0.2">
      <c r="F168" s="77"/>
      <c r="G168" s="126"/>
      <c r="H168" s="78"/>
      <c r="I168" s="126"/>
    </row>
  </sheetData>
  <sheetProtection algorithmName="SHA-512" hashValue="4rbB7OYFVO6dPqo9K1DIOrdOiyObXEibrCqTSQO876Cb7g36fkrDHHNZppIw7ECW/20zk52yilBwDOSHdX9jJw==" saltValue="ezBsKt8Ooa1WESbppgwxOQ==" spinCount="100000" sheet="1" objects="1" scenarios="1"/>
  <conditionalFormatting sqref="F46:I46 B157:B159 B142:B144 B127:B129 B112:B114 B97:B99 B82:B84 B67:B69 B52:B54 B36:B38">
    <cfRule type="notContainsBlanks" dxfId="253" priority="72" stopIfTrue="1">
      <formula>LEN(TRIM(B36))&gt;0</formula>
    </cfRule>
  </conditionalFormatting>
  <conditionalFormatting sqref="F46:I47 D35:I35 G36:I43 D46:D47 D44:I45 D36:D43 B43:C47 B42 C40:C41 B35:C38">
    <cfRule type="cellIs" dxfId="252" priority="69" stopIfTrue="1" operator="equal">
      <formula>$B$35="crusher plant"</formula>
    </cfRule>
  </conditionalFormatting>
  <conditionalFormatting sqref="C44 B35:C35">
    <cfRule type="notContainsBlanks" dxfId="251" priority="73" stopIfTrue="1">
      <formula>LEN(TRIM(B35))&gt;0</formula>
    </cfRule>
  </conditionalFormatting>
  <conditionalFormatting sqref="F62:I62">
    <cfRule type="notContainsBlanks" dxfId="250" priority="68" stopIfTrue="1">
      <formula>LEN(TRIM(F62))&gt;0</formula>
    </cfRule>
  </conditionalFormatting>
  <conditionalFormatting sqref="F62:I63 D51:I51 G52:I59 D62:D63 D60:I61 D52:D59 B59:C63 B58 C56:C57 B51:C54">
    <cfRule type="cellIs" dxfId="249" priority="65" stopIfTrue="1" operator="equal">
      <formula>$B$51="crusher plant"</formula>
    </cfRule>
  </conditionalFormatting>
  <conditionalFormatting sqref="C60 B51:C51">
    <cfRule type="notContainsBlanks" dxfId="248" priority="74" stopIfTrue="1">
      <formula>LEN(TRIM(B51))&gt;0</formula>
    </cfRule>
  </conditionalFormatting>
  <conditionalFormatting sqref="F77:I77">
    <cfRule type="notContainsBlanks" dxfId="247" priority="63" stopIfTrue="1">
      <formula>LEN(TRIM(F77))&gt;0</formula>
    </cfRule>
  </conditionalFormatting>
  <conditionalFormatting sqref="F77:I78 D66:I66 G67:I74 D77:D78 D75:I76 D67:D74 B74:C78 B73 C71:C72 B66:C69">
    <cfRule type="cellIs" dxfId="246" priority="60" stopIfTrue="1" operator="equal">
      <formula>$B$66="crusher plant"</formula>
    </cfRule>
  </conditionalFormatting>
  <conditionalFormatting sqref="C75 B66:C66">
    <cfRule type="notContainsBlanks" dxfId="245" priority="64" stopIfTrue="1">
      <formula>LEN(TRIM(B66))&gt;0</formula>
    </cfRule>
  </conditionalFormatting>
  <conditionalFormatting sqref="F92:I92">
    <cfRule type="notContainsBlanks" dxfId="244" priority="58" stopIfTrue="1">
      <formula>LEN(TRIM(F92))&gt;0</formula>
    </cfRule>
  </conditionalFormatting>
  <conditionalFormatting sqref="F92:I93 D81:I81 G82:I89 D92:D93 D90:I91 D82:D89 B89:C93 B88 C86:C87 B81:C84">
    <cfRule type="cellIs" dxfId="243" priority="55" stopIfTrue="1" operator="equal">
      <formula>$B$81="crusher plant"</formula>
    </cfRule>
  </conditionalFormatting>
  <conditionalFormatting sqref="C90 B81:C81">
    <cfRule type="notContainsBlanks" dxfId="242" priority="59" stopIfTrue="1">
      <formula>LEN(TRIM(B81))&gt;0</formula>
    </cfRule>
  </conditionalFormatting>
  <conditionalFormatting sqref="F107:I107">
    <cfRule type="notContainsBlanks" dxfId="241" priority="53" stopIfTrue="1">
      <formula>LEN(TRIM(F107))&gt;0</formula>
    </cfRule>
  </conditionalFormatting>
  <conditionalFormatting sqref="F107:I108 D96:I96 G97:I104 D107:D108 D105:I106 D97:D104 B104:C108 B103 C101:C102 B96:C99">
    <cfRule type="cellIs" dxfId="240" priority="50" stopIfTrue="1" operator="equal">
      <formula>$B$96="crusher plant"</formula>
    </cfRule>
  </conditionalFormatting>
  <conditionalFormatting sqref="C105 B96:C96">
    <cfRule type="notContainsBlanks" dxfId="239" priority="54" stopIfTrue="1">
      <formula>LEN(TRIM(B96))&gt;0</formula>
    </cfRule>
  </conditionalFormatting>
  <conditionalFormatting sqref="F122:I122">
    <cfRule type="notContainsBlanks" dxfId="238" priority="48" stopIfTrue="1">
      <formula>LEN(TRIM(F122))&gt;0</formula>
    </cfRule>
  </conditionalFormatting>
  <conditionalFormatting sqref="F122:I123 D111:I111 G112:I119 D122:D123 D120:I121 D112:D119 B119:C123 B118 C116:C117 B111:C114">
    <cfRule type="cellIs" dxfId="237" priority="45" stopIfTrue="1" operator="equal">
      <formula>$B$111="crusher plant"</formula>
    </cfRule>
  </conditionalFormatting>
  <conditionalFormatting sqref="C120 B111:C111">
    <cfRule type="notContainsBlanks" dxfId="236" priority="49" stopIfTrue="1">
      <formula>LEN(TRIM(B111))&gt;0</formula>
    </cfRule>
  </conditionalFormatting>
  <conditionalFormatting sqref="F137:I137">
    <cfRule type="notContainsBlanks" dxfId="235" priority="43" stopIfTrue="1">
      <formula>LEN(TRIM(F137))&gt;0</formula>
    </cfRule>
  </conditionalFormatting>
  <conditionalFormatting sqref="F137:I138 D126:I126 G127:I134 D137:D138 D135:I136 D127:D134 B134:C138 B133 C131:C132 B126:C129">
    <cfRule type="cellIs" dxfId="234" priority="40" stopIfTrue="1" operator="equal">
      <formula>$B$126="crusher plant"</formula>
    </cfRule>
  </conditionalFormatting>
  <conditionalFormatting sqref="C135 B126:C126">
    <cfRule type="notContainsBlanks" dxfId="233" priority="44" stopIfTrue="1">
      <formula>LEN(TRIM(B126))&gt;0</formula>
    </cfRule>
  </conditionalFormatting>
  <conditionalFormatting sqref="F152:I152">
    <cfRule type="notContainsBlanks" dxfId="232" priority="38" stopIfTrue="1">
      <formula>LEN(TRIM(F152))&gt;0</formula>
    </cfRule>
  </conditionalFormatting>
  <conditionalFormatting sqref="F152:I153 D141:I141 G142:I149 D152:D153 D150:I151 D142:D149 B149:C153 B148 C146:C147 B141:C144">
    <cfRule type="cellIs" dxfId="231" priority="35" stopIfTrue="1" operator="equal">
      <formula>$B$141="crusher plant"</formula>
    </cfRule>
  </conditionalFormatting>
  <conditionalFormatting sqref="C150 B141:C141">
    <cfRule type="notContainsBlanks" dxfId="230" priority="39" stopIfTrue="1">
      <formula>LEN(TRIM(B141))&gt;0</formula>
    </cfRule>
  </conditionalFormatting>
  <conditionalFormatting sqref="F167:I167">
    <cfRule type="notContainsBlanks" dxfId="229" priority="33" stopIfTrue="1">
      <formula>LEN(TRIM(F167))&gt;0</formula>
    </cfRule>
  </conditionalFormatting>
  <conditionalFormatting sqref="F167:I168 D156:I156 G157:I164 D167:D168 D165:I166 D157:D164 B164:C167 B163 C161:C162 B156:C159">
    <cfRule type="cellIs" dxfId="228" priority="30" stopIfTrue="1" operator="equal">
      <formula>$B$156="crusher plant"</formula>
    </cfRule>
  </conditionalFormatting>
  <conditionalFormatting sqref="C165 B156:C156">
    <cfRule type="notContainsBlanks" dxfId="227" priority="34" stopIfTrue="1">
      <formula>LEN(TRIM(B156))&gt;0</formula>
    </cfRule>
  </conditionalFormatting>
  <conditionalFormatting sqref="E36:E43">
    <cfRule type="expression" dxfId="226" priority="28">
      <formula>$B$35="crusher plant"</formula>
    </cfRule>
  </conditionalFormatting>
  <conditionalFormatting sqref="E52:E59">
    <cfRule type="expression" dxfId="225" priority="27">
      <formula>$B$51="crusher plant"</formula>
    </cfRule>
  </conditionalFormatting>
  <conditionalFormatting sqref="E67:E74">
    <cfRule type="expression" dxfId="224" priority="26">
      <formula>$B$66="crusher plant"</formula>
    </cfRule>
  </conditionalFormatting>
  <conditionalFormatting sqref="E82:E89">
    <cfRule type="expression" dxfId="223" priority="25">
      <formula>$B$81="crusher plant"</formula>
    </cfRule>
  </conditionalFormatting>
  <conditionalFormatting sqref="E97:E104">
    <cfRule type="expression" dxfId="222" priority="24">
      <formula>$B$96="crusher plant"</formula>
    </cfRule>
  </conditionalFormatting>
  <conditionalFormatting sqref="E112:E119">
    <cfRule type="expression" dxfId="221" priority="23">
      <formula>$B$111="crusher plant"</formula>
    </cfRule>
  </conditionalFormatting>
  <conditionalFormatting sqref="E127:E134">
    <cfRule type="expression" dxfId="220" priority="22">
      <formula>$B$126="crusher plant"</formula>
    </cfRule>
  </conditionalFormatting>
  <conditionalFormatting sqref="E142:E149">
    <cfRule type="expression" dxfId="219" priority="21">
      <formula>$B$141="crusher plant"</formula>
    </cfRule>
  </conditionalFormatting>
  <conditionalFormatting sqref="E157:E164">
    <cfRule type="expression" dxfId="218" priority="20">
      <formula>$B$156="crusher plant"</formula>
    </cfRule>
  </conditionalFormatting>
  <conditionalFormatting sqref="F21:F28">
    <cfRule type="notContainsBlanks" dxfId="217" priority="19">
      <formula>LEN(TRIM(F21))&gt;0</formula>
    </cfRule>
  </conditionalFormatting>
  <conditionalFormatting sqref="F36:F43">
    <cfRule type="expression" dxfId="216" priority="18">
      <formula>$B$35="crusher plant"</formula>
    </cfRule>
  </conditionalFormatting>
  <conditionalFormatting sqref="F52:F59">
    <cfRule type="expression" dxfId="215" priority="17">
      <formula>$B$51="crusher plant"</formula>
    </cfRule>
  </conditionalFormatting>
  <conditionalFormatting sqref="F67:F74">
    <cfRule type="expression" dxfId="214" priority="16">
      <formula>$B$66="crusher plant"</formula>
    </cfRule>
  </conditionalFormatting>
  <conditionalFormatting sqref="F82:F89">
    <cfRule type="expression" dxfId="213" priority="15">
      <formula>$B$81="crusher plant"</formula>
    </cfRule>
  </conditionalFormatting>
  <conditionalFormatting sqref="F97:F104">
    <cfRule type="expression" dxfId="212" priority="14">
      <formula>$B$96="crusher plant"</formula>
    </cfRule>
  </conditionalFormatting>
  <conditionalFormatting sqref="F112:F119">
    <cfRule type="expression" dxfId="211" priority="13">
      <formula>$B$111="crusher plant"</formula>
    </cfRule>
  </conditionalFormatting>
  <conditionalFormatting sqref="F127:F134">
    <cfRule type="expression" dxfId="210" priority="12">
      <formula>$B$126="crusher plant"</formula>
    </cfRule>
  </conditionalFormatting>
  <conditionalFormatting sqref="F142:F149">
    <cfRule type="expression" dxfId="209" priority="11">
      <formula>$B$141="crusher plant"</formula>
    </cfRule>
  </conditionalFormatting>
  <conditionalFormatting sqref="F157:F164">
    <cfRule type="expression" dxfId="208" priority="10">
      <formula>$B$156="crusher plant"</formula>
    </cfRule>
  </conditionalFormatting>
  <conditionalFormatting sqref="B39:B41">
    <cfRule type="cellIs" dxfId="207" priority="9" stopIfTrue="1" operator="equal">
      <formula>$B$35="crusher plant"</formula>
    </cfRule>
  </conditionalFormatting>
  <conditionalFormatting sqref="B55:B57">
    <cfRule type="cellIs" dxfId="206" priority="8" stopIfTrue="1" operator="equal">
      <formula>$B$35="crusher plant"</formula>
    </cfRule>
  </conditionalFormatting>
  <conditionalFormatting sqref="B70:B72">
    <cfRule type="cellIs" dxfId="205" priority="7" stopIfTrue="1" operator="equal">
      <formula>$B$35="crusher plant"</formula>
    </cfRule>
  </conditionalFormatting>
  <conditionalFormatting sqref="B85:B87">
    <cfRule type="cellIs" dxfId="204" priority="6" stopIfTrue="1" operator="equal">
      <formula>$B$35="crusher plant"</formula>
    </cfRule>
  </conditionalFormatting>
  <conditionalFormatting sqref="B100:B102">
    <cfRule type="cellIs" dxfId="203" priority="5" stopIfTrue="1" operator="equal">
      <formula>$B$35="crusher plant"</formula>
    </cfRule>
  </conditionalFormatting>
  <conditionalFormatting sqref="B115:B117">
    <cfRule type="cellIs" dxfId="202" priority="4" stopIfTrue="1" operator="equal">
      <formula>$B$35="crusher plant"</formula>
    </cfRule>
  </conditionalFormatting>
  <conditionalFormatting sqref="B130:B132">
    <cfRule type="cellIs" dxfId="201" priority="3" stopIfTrue="1" operator="equal">
      <formula>$B$35="crusher plant"</formula>
    </cfRule>
  </conditionalFormatting>
  <conditionalFormatting sqref="B145:B147">
    <cfRule type="cellIs" dxfId="200" priority="2" stopIfTrue="1" operator="equal">
      <formula>$B$35="crusher plant"</formula>
    </cfRule>
  </conditionalFormatting>
  <conditionalFormatting sqref="B160:B162">
    <cfRule type="cellIs" dxfId="199" priority="1" stopIfTrue="1" operator="equal">
      <formula>$B$35="crusher plant"</formula>
    </cfRule>
  </conditionalFormatting>
  <dataValidations count="3">
    <dataValidation type="whole" allowBlank="1" showInputMessage="1" showErrorMessage="1" sqref="C18 E4 D5" xr:uid="{00000000-0002-0000-0800-000000000000}">
      <formula1>0</formula1>
      <formula2>100</formula2>
    </dataValidation>
    <dataValidation type="list" allowBlank="1" showInputMessage="1" showErrorMessage="1" sqref="G21:G28 G36:G43 G52:G59 G67:G74 G82:G89 G97:G104 G112:G119 G127:G134 G142:G149 G157:G164" xr:uid="{00000000-0002-0000-0800-000001000000}">
      <formula1>process</formula1>
    </dataValidation>
    <dataValidation type="list" allowBlank="1" showInputMessage="1" showErrorMessage="1" sqref="C25 C40 C56 C71 C86 C101 C116 C131 C146 C161" xr:uid="{00000000-0002-0000-0800-000002000000}">
      <formula1>CHECK</formula1>
    </dataValidation>
  </dataValidations>
  <pageMargins left="0.7" right="0.7" top="0.75" bottom="0.75" header="0.3" footer="0.3"/>
  <pageSetup scale="70" fitToHeight="0" orientation="landscape"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S168"/>
  <sheetViews>
    <sheetView topLeftCell="B1" zoomScaleNormal="100" workbookViewId="0">
      <selection activeCell="B1" sqref="B1"/>
    </sheetView>
  </sheetViews>
  <sheetFormatPr defaultColWidth="8.85546875" defaultRowHeight="14.25" customHeight="1" x14ac:dyDescent="0.2"/>
  <cols>
    <col min="1" max="1" width="25.42578125"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9" style="80" customWidth="1"/>
    <col min="10" max="10" width="11.42578125" style="81" hidden="1" customWidth="1"/>
    <col min="11" max="11" width="14" style="81" hidden="1" customWidth="1"/>
    <col min="12" max="12" width="7" style="80" customWidth="1"/>
    <col min="13" max="13" width="26.85546875" style="80" customWidth="1"/>
    <col min="14" max="14" width="18.5703125" style="80" customWidth="1"/>
    <col min="15" max="15" width="20.42578125" style="80" customWidth="1"/>
    <col min="16" max="16" width="20.42578125" style="80" hidden="1" customWidth="1"/>
    <col min="17" max="18" width="16.42578125" style="80" hidden="1" customWidth="1"/>
    <col min="19" max="19" width="18" style="80" customWidth="1"/>
    <col min="20" max="16384" width="8.85546875" style="80"/>
  </cols>
  <sheetData>
    <row r="1" spans="2:19" ht="14.25" customHeight="1" x14ac:dyDescent="0.2">
      <c r="B1" s="277" t="s">
        <v>153</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crusher",$G$36:$G$43,0),1)),0))),((IFERROR((OFFSET(G51,MATCH("primary crusher",$G$52:$G$59,0),1)),0))),((IFERROR((OFFSET(G66,MATCH("primary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crusher",$G$36:$G$43,0),3)),0))),((IFERROR((OFFSET(G51,MATCH("primary crusher",$G$52:$G$59,0),3)),0))),((IFERROR((OFFSET(G66,MATCH("primary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crusher",$G$36:$G$43,0),4)),0))),((IFERROR((OFFSET(G51,MATCH("primary crusher",$G$52:$G$59,0),4)),0))),((IFERROR((OFFSET(G66,MATCH("primary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$35,MATCH("Screening",$G$36:$G$43,0),1)),0))),((IFERROR((OFFSET(G51,MATCH("Screening",$G$52:$G$59,0)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51,MATCH("Screening",$G$52:$G$59,0)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51,MATCH("Screening",$G$52:$G$59,0)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Crusher",$G$36:$G$43,0),1)),0))),((IFERROR((OFFSET(G51,MATCH("Secondary Crusher",$G$52:$G$59,0),1)),0))),((IFERROR((OFFSET(G66,MATCH("Secondary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Crusher",$G$36:$G$43,0),3)),0))),((IFERROR((OFFSET(G51,MATCH("Secondary Crusher",$G$52:$G$59,0),3)),0))),((IFERROR((OFFSET(G66,MATCH("Secondary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Crusher",$G$36:$G$43,0),4)),0))),((IFERROR((OFFSET(G51,MATCH("Secondary Crusher",$G$52:$G$59,0),4)),0))),((IFERROR((OFFSET(G66,MATCH("Secondary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Crusher",$G$36:$G$43,0),1)),0))),((IFERROR((OFFSET(G51,MATCH("Tertiary Crusher",$G$52:$G$59,0),1)),0))),((IFERROR((OFFSET(G66,MATCH("Tertiary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Crusher",$G$36:$G$43,0),3)),0))),((IFERROR((OFFSET(G51,MATCH("Tertiary Crusher",$G$52:$G$59,0),3)),0))),((IFERROR((OFFSET(G66,MATCH("Tertiary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Crusher",$G$36:$G$43,0),4)),0))),((IFERROR((OFFSET(G51,MATCH("Tertiary Crusher",$G$52:$G$59,0),4)),0))),((IFERROR((OFFSET(G66,MATCH("Tertiary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Crushing",$G$36:$G$43,0),1)),0))),((IFERROR((OFFSET(G51,MATCH("Fines Crushing",$G$52:$G$59,0),1)),0))),((IFERROR((OFFSET(G66,MATCH("Fines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Crushing",$G$36:$G$43,0),3)),0))),((IFERROR((OFFSET(G51,MATCH("Fines Crushing",$G$52:$G$59,0),3)),0))),((IFERROR((OFFSET(G66,MATCH("Fines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Crushing",$G$36:$G$43,0),4)),0))),((IFERROR((OFFSET(G51,MATCH("Fines Crushing",$G$52:$G$59,0),4)),0))),((IFERROR((OFFSET(G66,MATCH("Fines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Screening",$G$36:$G$43,0),1)),0))),((IFERROR((OFFSET(G51,MATCH("Fines Screening",$G$52:$G$59,0),1)),0))),((IFERROR((OFFSET(G66,MATCH("Fines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Screening",$G$36:$G$43,0),3)),0))),((IFERROR((OFFSET(G51,MATCH("Fines Screening",$G$52:$G$59,0),3)),0))),((IFERROR((OFFSET(G66,MATCH("Fines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Screening",$G$36:$G$43,0),4)),0))),((IFERROR((OFFSET(G51,MATCH("Fines Screening",$G$52:$G$59,0),4)),0))),((IFERROR((OFFSET(G66,MATCH("Fines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Stone",$G$36:$G$43,0),1)),0))),((IFERROR((OFFSET(G51,MATCH("Wet Drilling: Unfragmented Stone",$G$52:$G$59,0),1)),0))),((IFERROR((OFFSET(G66,MATCH("Wet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Stone",$G$36:$G$43,0),3)),0))),((IFERROR((OFFSET(G51,MATCH("Wet Drilling: Unfragmented Stone",$G$52:$G$59,0),3)),0))),((IFERROR((OFFSET(G66,MATCH("Wet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Stone",$G$36:$G$43,0),4)),0))),((IFERROR((OFFSET(G51,MATCH("Wet Drilling: Unfragmented Stone",$G$52:$G$59,0),4)),0))),((IFERROR((OFFSET(G66,MATCH("Wet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Points",$G$36:$G$43,0),1)),0))),((IFERROR((OFFSET(G51,MATCH("Conveyor Transfer Points",$G$52:$G$59,0),1)),0))),((IFERROR((OFFSET(G66,MATCH("Conveyor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Points",$G$36:$G$43,0),3)),0))),((IFERROR((OFFSET(G51,MATCH("Conveyor Transfer Points",$G$52:$G$59,0),3)),0))),((IFERROR((OFFSET(G66,MATCH("Conveyor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Points",$G$36:$G$43,0),4)),0))),((IFERROR((OFFSET(G51,MATCH("Conveyor Transfer Points",$G$52:$G$59,0),4)),0))),((IFERROR((OFFSET(G66,MATCH("Conveyor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SUM(G32,G47,G63,G78,G93,G108,G123,G138,G153,G168)</f>
        <v>0</v>
      </c>
      <c r="O14" s="110">
        <f>SUM(H32*I32,H47*I47,H63*I63,H78*I78,H93*I93,H108*I108,H123*I123,H138*I138,H153*I153,H168*I168)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213" t="str">
        <f>('Facility Information'!G5&amp;" Annual Throughput (tons)")</f>
        <v xml:space="preserve"> Annual Throughput (tons)</v>
      </c>
      <c r="J20" s="81" t="s">
        <v>132</v>
      </c>
      <c r="K20" s="81" t="s">
        <v>133</v>
      </c>
      <c r="M20" s="109" t="s">
        <v>38</v>
      </c>
      <c r="N20" s="136">
        <f t="shared" ref="N20:N27" ca="1" si="0">N5</f>
        <v>0</v>
      </c>
      <c r="O20" s="145">
        <f ca="1">IF(N20=0,0,IF(OR($C$25="no",$C$40="no",$C$56="no",$C$71="no",$C$86="no",$C$101="no",$C$116="no",$C$131="no",$C$146="no",$C$161="no"),'Emission Factors'!D8,'Emission Factors'!D20))</f>
        <v>0</v>
      </c>
      <c r="P20" s="136" t="str">
        <f t="shared" ref="P20:P27" si="1">IF(OR($C$25="no",$C$40="no",$C$56="no",$C$71="no",$C$86="no",$C$101="no",$C$116="no",$C$131="no",$C$146="no",$C$161="no"),N20*O20,"")</f>
        <v/>
      </c>
      <c r="Q20" s="136">
        <f t="shared" ref="Q20:Q27" ca="1" si="2">IF($F$10&gt;0,$F$10,IF(OR($C$25="no",$C$40="no",$C$56="no",$C$71="no",$C$86="no",$C$101="no",$C$116="no",$C$131="no",$C$146="no",$C$161="no"),"",N20*O20))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IF(G21="","","LP-9 EP-1")</f>
        <v/>
      </c>
      <c r="F21" s="165" t="str">
        <f>IF(G21="","",IF(G21="primary crusher","LP-9 EU-1",IF(G21="screening","LP-9 EU-2",IF(G21="secondary crusher","LP-9 EU-3",IF(G21="tertiary crusher","LP-9 EU-4",IF(G21="fines crushing","LP-9 EU-5",IF(G21="fines screening","LP-9 EU-6",IF(G21="wet drilling: unfragmented stone","LP-9 EU-7",IF(G21="conveyor transfer points","LP-9 EU-8")))))))))</f>
        <v/>
      </c>
      <c r="G21" s="98"/>
      <c r="H21" s="167"/>
      <c r="I21" s="184"/>
      <c r="J21" s="81">
        <f>IF($C25="no",I21,0)</f>
        <v>0</v>
      </c>
      <c r="K21" s="81">
        <f t="shared" ref="K21:K28" si="3">IF($C$25="yes",I21,0)</f>
        <v>0</v>
      </c>
      <c r="M21" s="109" t="s">
        <v>36</v>
      </c>
      <c r="N21" s="136">
        <f t="shared" ca="1" si="0"/>
        <v>0</v>
      </c>
      <c r="O21" s="145">
        <f ca="1">IF(N21=0,0,IF(OR($C$25="no",$C$40="no",$C$56="no",$C$71="no",$C$86="no",$C$101="no",$C$116="no",$C$131="no",$C$146="no",$C$161="no"),'Emission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IF(G22="","","LP-9 EP-1")</f>
        <v/>
      </c>
      <c r="F22" s="165" t="str">
        <f t="shared" ref="F22:F28" si="6">IF(G22="","",IF(G22="primary crusher","LP-9 EU-1",IF(G22="screening","LP-9 EU-2",IF(G22="secondary crusher","LP-9 EU-3",IF(G22="tertiary crusher","LP-9 EU-4",IF(G22="fines crushing","LP-9 EU-5",IF(G22="fines screening","LP-9 EU-6",IF(G22="wet drilling: unfragmented stone","LP-9 EU-7",IF(G22="conveyor transfer points","LP-9 EU-8")))))))))</f>
        <v/>
      </c>
      <c r="G22" s="98"/>
      <c r="H22" s="167"/>
      <c r="I22" s="184"/>
      <c r="J22" s="81">
        <f t="shared" ref="J22:J28" si="7">IF($C$25="no",I22,0)</f>
        <v>0</v>
      </c>
      <c r="K22" s="81">
        <f t="shared" si="3"/>
        <v>0</v>
      </c>
      <c r="M22" s="109" t="s">
        <v>37</v>
      </c>
      <c r="N22" s="136">
        <f t="shared" ca="1" si="0"/>
        <v>0</v>
      </c>
      <c r="O22" s="145">
        <f ca="1">IF(N22=0,0,IF(OR($C$25="no",$C$40="no",$C$56="no",$C$71="no",$C$86="no",$C$101="no",$C$116="no",$C$131="no",$C$146="no",$C$161="no"),'Emission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167"/>
      <c r="I23" s="184"/>
      <c r="J23" s="81">
        <f t="shared" si="7"/>
        <v>0</v>
      </c>
      <c r="K23" s="81">
        <f t="shared" si="3"/>
        <v>0</v>
      </c>
      <c r="M23" s="109" t="s">
        <v>39</v>
      </c>
      <c r="N23" s="136">
        <f t="shared" ca="1" si="0"/>
        <v>0</v>
      </c>
      <c r="O23" s="145">
        <f ca="1">IF(N23=0,0,IF(OR(C25="no",C40="no",C56="no",C71="no",C86="no",C101="no",C116="no",C131="no",C146="no",C161="no"),'Emission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167"/>
      <c r="I24" s="184"/>
      <c r="J24" s="81">
        <f t="shared" si="7"/>
        <v>0</v>
      </c>
      <c r="K24" s="81">
        <f t="shared" si="3"/>
        <v>0</v>
      </c>
      <c r="M24" s="109" t="s">
        <v>40</v>
      </c>
      <c r="N24" s="136">
        <f t="shared" ca="1" si="0"/>
        <v>0</v>
      </c>
      <c r="O24" s="145">
        <f ca="1">IF(N24=0,0,IF(OR($C$25="no",$C$40="no",$C$56="no",$C$71="no",$C$86="no",$C$101="no",$C$116="no",$C$131="no",$C$146="no",$C$161="no"),'Emission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167"/>
      <c r="I25" s="184"/>
      <c r="J25" s="81">
        <f t="shared" si="7"/>
        <v>0</v>
      </c>
      <c r="K25" s="81">
        <f t="shared" si="3"/>
        <v>0</v>
      </c>
      <c r="M25" s="109" t="s">
        <v>41</v>
      </c>
      <c r="N25" s="136">
        <f t="shared" ca="1" si="0"/>
        <v>0</v>
      </c>
      <c r="O25" s="145">
        <f ca="1">IF(N25=0,0,IF(OR($C$25="no",$C$40="no",$C$56="no",$C$71="no",$C$86="no",$C$101="no",$C$116="no",$C$131="no",$C$146="no",$C$161="no"),'Emission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167"/>
      <c r="I26" s="184"/>
      <c r="J26" s="81">
        <f t="shared" si="7"/>
        <v>0</v>
      </c>
      <c r="K26" s="81">
        <f t="shared" si="3"/>
        <v>0</v>
      </c>
      <c r="M26" s="109" t="s">
        <v>42</v>
      </c>
      <c r="N26" s="136">
        <f t="shared" ca="1" si="0"/>
        <v>0</v>
      </c>
      <c r="O26" s="145">
        <f ca="1">IF(N26=0,0,IF(OR(C25="no",C40="no",C56="no",C71="no",C86="no",C101="no",C116="no",C131="no",C146="no",C161="no"),'Emission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D27" s="55"/>
      <c r="E27" s="165" t="str">
        <f t="shared" si="5"/>
        <v/>
      </c>
      <c r="F27" s="165" t="str">
        <f t="shared" si="6"/>
        <v/>
      </c>
      <c r="G27" s="98"/>
      <c r="H27" s="167"/>
      <c r="I27" s="184"/>
      <c r="J27" s="81">
        <f t="shared" si="7"/>
        <v>0</v>
      </c>
      <c r="K27" s="81">
        <f t="shared" si="3"/>
        <v>0</v>
      </c>
      <c r="M27" s="109" t="s">
        <v>43</v>
      </c>
      <c r="N27" s="136">
        <f t="shared" ca="1" si="0"/>
        <v>0</v>
      </c>
      <c r="O27" s="145">
        <f ca="1">IF(N27=0,0,IF(OR(C25="no",C40="no",C56="no",C71="no",C86="no",C101="no",C116="no",C131="no",C146="no",C161="no"),'Emission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C28" s="55"/>
      <c r="D28" s="55"/>
      <c r="E28" s="165" t="str">
        <f t="shared" si="5"/>
        <v/>
      </c>
      <c r="F28" s="165" t="str">
        <f t="shared" si="6"/>
        <v/>
      </c>
      <c r="G28" s="98"/>
      <c r="H28" s="167"/>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IF(N29=0,0,IF(OR($C$25="no",$C$40="no",$C$56="no",$C$71="no",$C$86="no",$C$101="no",$C$116="no",$C$131="no",$C$146="no",$C$161="no"),'Emission Factors'!F8,'Emission Factors'!F20))</f>
        <v>0</v>
      </c>
      <c r="P29" s="136" t="str">
        <f t="shared" ref="P29:P36" si="8">IF(OR($C$25="no",$C$40="no",$C$56="no",$C$71="no",$C$86="no",$C$101="no",$C$116="no",$C$131="no",$C$146="no",$C$161="no"),N29*O29,"")</f>
        <v/>
      </c>
      <c r="Q29" s="136">
        <f t="shared" ref="Q29:Q36" ca="1" si="9">IF($F$11&gt;0,$F$11,IF(OR($C$25="no",$C$40="no",$C$56="no",$C$71="no",$C$86="no",$C$101="no",$C$116="no",$C$131="no",$C$146="no",$C$161="no"),"",N29*O29))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5" ca="1" si="10">N6</f>
        <v>0</v>
      </c>
      <c r="O30" s="145">
        <f ca="1">IF(N30=0,0,IF(OR($C$25="no",$C$40="no",$C$56="no",$C$71="no",$C$86="no",$C$101="no",$C$116="no",$C$131="no",$C$146="no",$C$161="no"),'Emission Factors'!F9,'Emission Factors'!F21))</f>
        <v>0</v>
      </c>
      <c r="P30" s="140" t="str">
        <f t="shared" si="8"/>
        <v/>
      </c>
      <c r="Q30" s="136">
        <f t="shared" ca="1" si="9"/>
        <v>0</v>
      </c>
      <c r="R30" s="136">
        <f t="shared" ref="R30:R35"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IF(N31=0,0,IF(OR($C$25="no",$C$40="no",$C$56="no",$C$71="no",$C$86="no",$C$101="no",$C$116="no",$C$131="no",$C$146="no",$C$161="no"),'Emission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IF(N32=0,0,IF(OR(C25="no",C40="no",C56="no",C71="no",C86="no",C101="no",C116="no",C131="no",C146="no",C161="no"),'Emission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IF(N33=0,0,IF(OR(C25="no",C40="no",C56="no",C71="no",C86="no",C101="no",C116="no",C131="no",C146="no",C161="no"),'Emission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IF(N34=0,0,IF(OR(C25="no",C40="no",C56="no",C71="no",C86="no",C101="no",C116="no",C131="no",C146="no",C161="no"),'Emission Factors'!F7,'Emission Factors'!F19))</f>
        <v>0</v>
      </c>
      <c r="P34" s="136" t="str">
        <f t="shared" si="8"/>
        <v/>
      </c>
      <c r="Q34" s="136">
        <f t="shared" ca="1" si="9"/>
        <v>0</v>
      </c>
      <c r="R34" s="136">
        <f t="shared" ca="1" si="11"/>
        <v>0</v>
      </c>
      <c r="S34" s="136">
        <f ca="1">(O10*'Emission Factors'!F7/2000)+('Emission Factors'!F19*S10/2000)</f>
        <v>0</v>
      </c>
    </row>
    <row r="35" spans="1:19" ht="28.5" customHeight="1" x14ac:dyDescent="0.25">
      <c r="A35" s="80">
        <f>C36</f>
        <v>0</v>
      </c>
      <c r="B35" s="92" t="str">
        <f>IF('Limestone Plant (LP-9)'!$E$4&gt;1,"CRUSHER PLANT","")</f>
        <v/>
      </c>
      <c r="C35" s="84" t="str">
        <f>IF('Limestone Plant (LP-9)'!$E$4&gt;1,"Site 2","")</f>
        <v/>
      </c>
      <c r="E35" s="213" t="str">
        <f>IF('Limestone Plant (LP-9)'!$E$4&gt;1,"Emission Point #","")</f>
        <v/>
      </c>
      <c r="F35" s="213" t="str">
        <f>IF('Limestone Plant (LP-9)'!$E$4&gt;1,"Emission     Unit #","")</f>
        <v/>
      </c>
      <c r="G35" s="213" t="str">
        <f>IF('Limestone Plant (LP-9)'!$E$4&gt;1,"Processes","")</f>
        <v/>
      </c>
      <c r="H35" s="220" t="str">
        <f>IF('Limestone Plant (LP-9)'!$E$4&gt;1,"Combined Maximum Hourly Design Rate for all Like Processes (tons/hr)","")</f>
        <v/>
      </c>
      <c r="I35" s="213" t="str">
        <f>IF('Limestone Plant (LP-9)'!$E$4&gt;1,('Facility Information'!G5&amp;" Annual Throughput (tons)"),"")</f>
        <v/>
      </c>
      <c r="M35" s="109" t="s">
        <v>42</v>
      </c>
      <c r="N35" s="136">
        <f t="shared" ca="1" si="10"/>
        <v>0</v>
      </c>
      <c r="O35" s="145">
        <f ca="1">IF(N35=0,0,IF(OR(C25="no",C40="no",C56="no",C71="no",C86="no",C101="no",C116="no",C131="no",C146="no",C161="no"),'Emission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C67</f>
        <v>0</v>
      </c>
      <c r="B36" s="94" t="str">
        <f>IF('Limestone Plant (LP-9)'!$E$4&gt;1,"Site Name:","")</f>
        <v/>
      </c>
      <c r="C36" s="76"/>
      <c r="D36" s="55"/>
      <c r="E36" s="166" t="str">
        <f>IF(G36="","","LP-9 EP-1")</f>
        <v/>
      </c>
      <c r="F36" s="166" t="str">
        <f>IF(G36="","",IF(G36="primary crusher","LP-9 EU-1",IF(G36="screening","LP-9 EU-2",IF(G36="secondary crusher","LP-9 EU-3",IF(G36="tertiary crusher","LP-9 EU-4",IF(G36="fines crushing","LP-9 EU-5",IF(G36="fines screening","LP-9 EU-6",IF(G36="wet drilling: unfragmented stone","LP-9 EU-7",IF(G36="conveyor transfer points","LP-9 EU-8")))))))))</f>
        <v/>
      </c>
      <c r="G36" s="98"/>
      <c r="H36" s="167"/>
      <c r="I36" s="184"/>
      <c r="J36" s="81">
        <f t="shared" ref="J36:J43" si="12">IF($C$40="no",I36,0)</f>
        <v>0</v>
      </c>
      <c r="K36" s="81">
        <f t="shared" ref="K36:K43" si="13">IF($C$40="yes",I36,0)</f>
        <v>0</v>
      </c>
      <c r="M36" s="109" t="s">
        <v>43</v>
      </c>
      <c r="N36" s="136">
        <f ca="1">N12</f>
        <v>0</v>
      </c>
      <c r="O36" s="145">
        <f ca="1">IF(N36=0,0,IF(OR(C25="no",C40="no",C56="no",C71="no",C86="no",C101="no",C116="no",C131="no",C146="no",C161="no"),'Emission Factors'!F5,'Emission Factors'!F17))</f>
        <v>0</v>
      </c>
      <c r="P36" s="136" t="str">
        <f t="shared" si="8"/>
        <v/>
      </c>
      <c r="Q36" s="136">
        <f t="shared" ca="1" si="9"/>
        <v>0</v>
      </c>
      <c r="R36" s="136">
        <f ca="1">IF($G$11&gt;0,"",IF($C$9&gt;0,$C$9*O36/2000,IF($C$10&gt;0,$C$10*365*O36/2000,IF($C$11&gt;0,$C$11*365*O36*N36/2000,IF(Q36="",P36*8760/2000,Q36*8760/2000)))))</f>
        <v>0</v>
      </c>
      <c r="S36" s="136">
        <f ca="1">(O12*'Emission Factors'!F5/2000)+('Emission Factors'!F17*S12/2000)</f>
        <v>0</v>
      </c>
    </row>
    <row r="37" spans="1:19" ht="14.25" customHeight="1" x14ac:dyDescent="0.2">
      <c r="A37" s="80">
        <f>C82</f>
        <v>0</v>
      </c>
      <c r="B37" s="94" t="str">
        <f>IF('Limestone Plant (LP-9)'!$E$4&gt;1,"County:","")</f>
        <v/>
      </c>
      <c r="C37" s="76"/>
      <c r="D37" s="55"/>
      <c r="E37" s="166" t="str">
        <f t="shared" ref="E37:E43" si="14">IF(G37="","","LP-9 EP-1")</f>
        <v/>
      </c>
      <c r="F37" s="166" t="str">
        <f t="shared" ref="F37:F43" si="15">IF(G37="","",IF(G37="primary crusher","LP-9 EU-1",IF(G37="screening","LP-9 EU-2",IF(G37="secondary crusher","LP-9 EU-3",IF(G37="tertiary crusher","LP-9 EU-4",IF(G37="fines crushing","LP-9 EU-5",IF(G37="fines screening","LP-9 EU-6",IF(G37="wet drilling: unfragmented stone","LP-9 EU-7",IF(G37="conveyor transfer points","LP-9 EU-8")))))))))</f>
        <v/>
      </c>
      <c r="G37" s="98"/>
      <c r="H37" s="167"/>
      <c r="I37" s="184"/>
      <c r="J37" s="81">
        <f t="shared" si="12"/>
        <v>0</v>
      </c>
      <c r="K37" s="81">
        <f t="shared" si="13"/>
        <v>0</v>
      </c>
      <c r="N37" s="216" t="s">
        <v>295</v>
      </c>
      <c r="O37" s="216" t="s">
        <v>13</v>
      </c>
      <c r="P37" s="345" t="s">
        <v>304</v>
      </c>
      <c r="Q37" s="216" t="s">
        <v>303</v>
      </c>
      <c r="R37" s="216" t="s">
        <v>289</v>
      </c>
      <c r="S37" s="216" t="s">
        <v>300</v>
      </c>
    </row>
    <row r="38" spans="1:19" ht="14.25" customHeight="1" x14ac:dyDescent="0.2">
      <c r="A38" s="80">
        <f>C97</f>
        <v>0</v>
      </c>
      <c r="B38" s="94" t="str">
        <f>IF('Limestone Plant (LP-9)'!$E$4&gt;1,"Crushing Period (Dates):","")</f>
        <v/>
      </c>
      <c r="C38" s="76"/>
      <c r="D38" s="55"/>
      <c r="E38" s="166" t="str">
        <f t="shared" si="14"/>
        <v/>
      </c>
      <c r="F38" s="166" t="str">
        <f t="shared" si="15"/>
        <v/>
      </c>
      <c r="G38" s="98"/>
      <c r="H38" s="167"/>
      <c r="I38" s="184"/>
      <c r="J38" s="81">
        <f t="shared" si="12"/>
        <v>0</v>
      </c>
      <c r="K38" s="81">
        <f t="shared" si="13"/>
        <v>0</v>
      </c>
      <c r="M38" s="81" t="s">
        <v>44</v>
      </c>
      <c r="N38" s="216" t="s">
        <v>296</v>
      </c>
      <c r="O38" s="221" t="s">
        <v>301</v>
      </c>
      <c r="P38" s="345" t="s">
        <v>249</v>
      </c>
      <c r="Q38" s="216" t="s">
        <v>249</v>
      </c>
      <c r="R38" s="216" t="s">
        <v>253</v>
      </c>
      <c r="S38" s="216" t="s">
        <v>253</v>
      </c>
    </row>
    <row r="39" spans="1:19" ht="14.25" customHeight="1" x14ac:dyDescent="0.2">
      <c r="A39" s="80">
        <f>C112</f>
        <v>0</v>
      </c>
      <c r="B39" s="281" t="str">
        <f>IF('Limestone Plant (LP-9)'!$E$4&gt;1,"Controlled with Dust Suppressant or","")</f>
        <v/>
      </c>
      <c r="D39" s="55"/>
      <c r="E39" s="166" t="str">
        <f t="shared" si="14"/>
        <v/>
      </c>
      <c r="F39" s="166" t="str">
        <f t="shared" si="15"/>
        <v/>
      </c>
      <c r="G39" s="98"/>
      <c r="H39" s="167"/>
      <c r="I39" s="184"/>
      <c r="J39" s="81">
        <f t="shared" si="12"/>
        <v>0</v>
      </c>
      <c r="K39" s="81">
        <f t="shared" si="13"/>
        <v>0</v>
      </c>
      <c r="M39" s="111" t="s">
        <v>143</v>
      </c>
      <c r="N39" s="110">
        <f>N14</f>
        <v>0</v>
      </c>
      <c r="O39" s="110">
        <v>3.64</v>
      </c>
      <c r="P39" s="110">
        <f>N39*O39*(1/24)</f>
        <v>0</v>
      </c>
      <c r="Q39" s="110"/>
      <c r="R39" s="110">
        <f>N39*O39*365/2000</f>
        <v>0</v>
      </c>
      <c r="S39" s="110">
        <f>O14*O39/2000</f>
        <v>0</v>
      </c>
    </row>
    <row r="40" spans="1:19" ht="14.25" customHeight="1" x14ac:dyDescent="0.2">
      <c r="A40" s="80">
        <f>C127</f>
        <v>0</v>
      </c>
      <c r="B40" s="282" t="str">
        <f>IF('Limestone Plant (LP-9)'!$E$4&gt;1,"Material Being Processed has","")</f>
        <v/>
      </c>
      <c r="C40" s="280"/>
      <c r="D40" s="55"/>
      <c r="E40" s="166" t="str">
        <f t="shared" si="14"/>
        <v/>
      </c>
      <c r="F40" s="166" t="str">
        <f t="shared" si="15"/>
        <v/>
      </c>
      <c r="G40" s="98"/>
      <c r="H40" s="167"/>
      <c r="I40" s="184"/>
      <c r="J40" s="81">
        <f t="shared" si="12"/>
        <v>0</v>
      </c>
      <c r="K40" s="81">
        <f t="shared" si="13"/>
        <v>0</v>
      </c>
    </row>
    <row r="41" spans="1:19" ht="14.25" customHeight="1" x14ac:dyDescent="0.2">
      <c r="A41" s="80">
        <f>C142</f>
        <v>0</v>
      </c>
      <c r="B41" s="284" t="str">
        <f>IF('Limestone Plant (LP-9)'!$E$4&gt;1,"Moisture Content &gt; 1.5%?","")</f>
        <v/>
      </c>
      <c r="C41" s="55"/>
      <c r="D41" s="55"/>
      <c r="E41" s="166" t="str">
        <f t="shared" si="14"/>
        <v/>
      </c>
      <c r="F41" s="166" t="str">
        <f t="shared" si="15"/>
        <v/>
      </c>
      <c r="G41" s="98"/>
      <c r="H41" s="167"/>
      <c r="I41" s="184"/>
      <c r="J41" s="81">
        <f t="shared" si="12"/>
        <v>0</v>
      </c>
      <c r="K41" s="81">
        <f t="shared" si="13"/>
        <v>0</v>
      </c>
      <c r="N41" s="81"/>
      <c r="O41" s="81"/>
      <c r="P41" s="81"/>
    </row>
    <row r="42" spans="1:19" ht="14.25" customHeight="1" x14ac:dyDescent="0.2">
      <c r="A42" s="80">
        <f>C157</f>
        <v>0</v>
      </c>
      <c r="B42" s="55"/>
      <c r="D42" s="55"/>
      <c r="E42" s="166" t="str">
        <f t="shared" si="14"/>
        <v/>
      </c>
      <c r="F42" s="166" t="str">
        <f t="shared" si="15"/>
        <v/>
      </c>
      <c r="G42" s="98"/>
      <c r="H42" s="167"/>
      <c r="I42" s="184"/>
      <c r="J42" s="81">
        <f t="shared" si="12"/>
        <v>0</v>
      </c>
      <c r="K42" s="81">
        <f t="shared" si="13"/>
        <v>0</v>
      </c>
      <c r="N42" s="81"/>
      <c r="O42" s="81"/>
      <c r="P42" s="81"/>
    </row>
    <row r="43" spans="1:19" ht="14.25" customHeight="1" x14ac:dyDescent="0.2">
      <c r="B43" s="55"/>
      <c r="C43" s="55"/>
      <c r="D43" s="55"/>
      <c r="E43" s="166" t="str">
        <f t="shared" si="14"/>
        <v/>
      </c>
      <c r="F43" s="166" t="str">
        <f t="shared" si="15"/>
        <v/>
      </c>
      <c r="G43" s="98"/>
      <c r="H43" s="167"/>
      <c r="I43" s="184"/>
      <c r="J43" s="81">
        <f t="shared" si="12"/>
        <v>0</v>
      </c>
      <c r="K43" s="81">
        <f t="shared" si="13"/>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(LP-9)'!$E$4&gt;1,"Stock Pile Area","")</f>
        <v/>
      </c>
      <c r="F45" s="88"/>
      <c r="G45" s="89"/>
      <c r="N45" s="81"/>
      <c r="O45" s="81"/>
      <c r="P45" s="81"/>
    </row>
    <row r="46" spans="1:19" ht="14.25" customHeight="1" x14ac:dyDescent="0.2">
      <c r="B46" s="55"/>
      <c r="D46" s="90"/>
      <c r="F46" s="60" t="str">
        <f>IF('Limestone Plant (LP-9)'!$E$4&gt;1,"Emission Unit #","")</f>
        <v/>
      </c>
      <c r="G46" s="95" t="str">
        <f>IF('Limestone Plant (LP-9)'!$E$4&gt;1,"Maximum Storage Area (acres)","")</f>
        <v/>
      </c>
      <c r="H46" s="96" t="str">
        <f>IF('Limestone Plant (LP-9)'!$E$4&gt;1,"Actual Storage Area (acres)","")</f>
        <v/>
      </c>
      <c r="I46" s="95" t="str">
        <f>IF('Limestone Plant (LP-9)'!$E$4&gt;1,"Actual Days in Existence (days)","")</f>
        <v/>
      </c>
      <c r="J46" s="97"/>
      <c r="K46" s="97"/>
      <c r="L46" s="90"/>
      <c r="N46" s="81"/>
      <c r="O46" s="81"/>
      <c r="P46" s="81"/>
    </row>
    <row r="47" spans="1:19" ht="14.25" customHeight="1" x14ac:dyDescent="0.2">
      <c r="B47" s="55"/>
      <c r="F47" s="77"/>
      <c r="G47" s="126"/>
      <c r="H47" s="78"/>
      <c r="I47" s="126"/>
      <c r="N47" s="81"/>
      <c r="O47" s="81"/>
      <c r="P47" s="81"/>
    </row>
    <row r="48" spans="1:19" ht="14.25" customHeight="1" x14ac:dyDescent="0.2">
      <c r="B48" s="84"/>
      <c r="C48" s="125"/>
      <c r="D48" s="374"/>
      <c r="E48" s="374"/>
      <c r="F48" s="163"/>
      <c r="G48" s="125"/>
      <c r="H48" s="125"/>
      <c r="N48" s="81"/>
      <c r="O48" s="81"/>
      <c r="P48" s="81"/>
    </row>
    <row r="49" spans="2:16" ht="14.25" customHeight="1" x14ac:dyDescent="0.2">
      <c r="B49" s="84"/>
      <c r="C49" s="218"/>
      <c r="D49" s="374"/>
      <c r="E49" s="374"/>
      <c r="F49" s="218"/>
      <c r="G49" s="218"/>
      <c r="H49" s="218"/>
      <c r="N49" s="81"/>
      <c r="O49" s="81"/>
      <c r="P49" s="81"/>
    </row>
    <row r="50" spans="2:16" ht="14.25" customHeight="1" x14ac:dyDescent="0.2">
      <c r="B50" s="84"/>
      <c r="C50" s="84"/>
      <c r="D50" s="84"/>
      <c r="E50" s="84"/>
      <c r="F50" s="84"/>
      <c r="G50" s="84"/>
      <c r="H50" s="84"/>
      <c r="N50" s="81"/>
      <c r="O50" s="81"/>
      <c r="P50" s="81"/>
    </row>
    <row r="51" spans="2:16" ht="29.25" customHeight="1" x14ac:dyDescent="0.25">
      <c r="B51" s="92" t="str">
        <f>IF('Limestone Plant (LP-9)'!$E$4&gt;2,"CRUSHER PLANT","")</f>
        <v/>
      </c>
      <c r="C51" s="84" t="str">
        <f>IF('Limestone Plant (LP-9)'!$E$4&gt;2,"Site 3","")</f>
        <v/>
      </c>
      <c r="E51" s="213" t="str">
        <f>IF('Limestone Plant (LP-9)'!$E$4&gt;2,"Emission Point #","")</f>
        <v/>
      </c>
      <c r="F51" s="213" t="str">
        <f>IF('Limestone Plant (LP-9)'!$E$4&gt;2,"Emission     Unit #","")</f>
        <v/>
      </c>
      <c r="G51" s="213" t="str">
        <f>IF('Limestone Plant (LP-9)'!$E$4&gt;2,"Processes","")</f>
        <v/>
      </c>
      <c r="H51" s="220" t="str">
        <f>IF('Limestone Plant (LP-9)'!$E$4&gt;2,"Combined Maximum Hourly Design Rate for all Like Processes (tons/hr)","")</f>
        <v/>
      </c>
      <c r="I51" s="213" t="str">
        <f>IF('Limestone Plant (LP-9)'!$E$4&gt;2,('Facility Information'!G5&amp;" Annual Throughput (tons)"),"")</f>
        <v/>
      </c>
      <c r="N51" s="81"/>
      <c r="O51" s="81"/>
      <c r="P51" s="81"/>
    </row>
    <row r="52" spans="2:16" ht="14.25" customHeight="1" x14ac:dyDescent="0.2">
      <c r="B52" s="94" t="str">
        <f>IF('Limestone Plant (LP-9)'!$E$4&gt;2,"Site Name:","")</f>
        <v/>
      </c>
      <c r="C52" s="76"/>
      <c r="D52" s="55"/>
      <c r="E52" s="166" t="str">
        <f>IF(G52="","","LP-9 EP-1")</f>
        <v/>
      </c>
      <c r="F52" s="166" t="str">
        <f>IF(G52="","",IF(G52="primary crusher","LP-9 EU-1",IF(G52="screening","LP-9 EU-2",IF(G52="secondary crusher","LP-9 EU-3",IF(G52="tertiary crusher","LP-9 EU-4",IF(G52="fines crushing","LP-9 EU-5",IF(G52="fines screening","LP-9 EU-6",IF(G52="wet drilling: unfragmented stone","LP-9 EU-7",IF(G52="conveyor transfer points","LP-9 EU-8")))))))))</f>
        <v/>
      </c>
      <c r="G52" s="98"/>
      <c r="H52" s="167"/>
      <c r="I52" s="184"/>
      <c r="J52" s="81">
        <f t="shared" ref="J52:J59" si="16">IF($C$56="no",I52,0)</f>
        <v>0</v>
      </c>
      <c r="K52" s="81">
        <f t="shared" ref="K52:K59" si="17">IF($C$56="yes",I52,0)</f>
        <v>0</v>
      </c>
    </row>
    <row r="53" spans="2:16" ht="14.25" customHeight="1" x14ac:dyDescent="0.2">
      <c r="B53" s="94" t="str">
        <f>IF('Limestone Plant (LP-9)'!$E$4&gt;2,"County:","")</f>
        <v/>
      </c>
      <c r="C53" s="76"/>
      <c r="D53" s="55"/>
      <c r="E53" s="166" t="str">
        <f t="shared" ref="E53:E59" si="18">IF(G53="","","LP-9 EP-1")</f>
        <v/>
      </c>
      <c r="F53" s="166" t="str">
        <f t="shared" ref="F53:F59" si="19">IF(G53="","",IF(G53="primary crusher","LP-9 EU-1",IF(G53="screening","LP-9 EU-2",IF(G53="secondary crusher","LP-9 EU-3",IF(G53="tertiary crusher","LP-9 EU-4",IF(G53="fines crushing","LP-9 EU-5",IF(G53="fines screening","LP-9 EU-6",IF(G53="wet drilling: unfragmented stone","LP-9 EU-7",IF(G53="conveyor transfer points","LP-9 EU-8")))))))))</f>
        <v/>
      </c>
      <c r="G53" s="98"/>
      <c r="H53" s="167"/>
      <c r="I53" s="184"/>
      <c r="J53" s="81">
        <f t="shared" si="16"/>
        <v>0</v>
      </c>
      <c r="K53" s="81">
        <f t="shared" si="17"/>
        <v>0</v>
      </c>
    </row>
    <row r="54" spans="2:16" ht="14.25" customHeight="1" x14ac:dyDescent="0.2">
      <c r="B54" s="94" t="str">
        <f>IF('Limestone Plant (LP-9)'!$E$4&gt;2,"Crushing Period (Dates):","")</f>
        <v/>
      </c>
      <c r="C54" s="76"/>
      <c r="D54" s="55"/>
      <c r="E54" s="166" t="str">
        <f t="shared" si="18"/>
        <v/>
      </c>
      <c r="F54" s="166" t="str">
        <f t="shared" si="19"/>
        <v/>
      </c>
      <c r="G54" s="98"/>
      <c r="H54" s="167"/>
      <c r="I54" s="184"/>
      <c r="J54" s="81">
        <f t="shared" si="16"/>
        <v>0</v>
      </c>
      <c r="K54" s="81">
        <f t="shared" si="17"/>
        <v>0</v>
      </c>
    </row>
    <row r="55" spans="2:16" ht="14.25" customHeight="1" x14ac:dyDescent="0.2">
      <c r="B55" s="281" t="str">
        <f>IF('Limestone Plant (LP-9)'!$E$4&gt;2,"Controlled with Dust Suppressant or","")</f>
        <v/>
      </c>
      <c r="D55" s="55"/>
      <c r="E55" s="166" t="str">
        <f t="shared" si="18"/>
        <v/>
      </c>
      <c r="F55" s="166" t="str">
        <f t="shared" si="19"/>
        <v/>
      </c>
      <c r="G55" s="98"/>
      <c r="H55" s="167"/>
      <c r="I55" s="184"/>
      <c r="J55" s="81">
        <f t="shared" si="16"/>
        <v>0</v>
      </c>
      <c r="K55" s="81">
        <f t="shared" si="17"/>
        <v>0</v>
      </c>
    </row>
    <row r="56" spans="2:16" ht="14.25" customHeight="1" x14ac:dyDescent="0.2">
      <c r="B56" s="282" t="str">
        <f>IF('Limestone Plant (LP-9)'!$E$4&gt;2,"Material Being Processed has","")</f>
        <v/>
      </c>
      <c r="C56" s="280"/>
      <c r="D56" s="55"/>
      <c r="E56" s="166" t="str">
        <f t="shared" si="18"/>
        <v/>
      </c>
      <c r="F56" s="166" t="str">
        <f t="shared" si="19"/>
        <v/>
      </c>
      <c r="G56" s="98"/>
      <c r="H56" s="167"/>
      <c r="I56" s="184"/>
      <c r="J56" s="81">
        <f t="shared" si="16"/>
        <v>0</v>
      </c>
      <c r="K56" s="81">
        <f t="shared" si="17"/>
        <v>0</v>
      </c>
    </row>
    <row r="57" spans="2:16" ht="14.25" customHeight="1" x14ac:dyDescent="0.2">
      <c r="B57" s="284" t="str">
        <f>IF('Limestone Plant (LP-9)'!$E$4&gt;2,"Moisture Content &gt; 1.5%?","")</f>
        <v/>
      </c>
      <c r="C57" s="55"/>
      <c r="D57" s="55"/>
      <c r="E57" s="166" t="str">
        <f t="shared" si="18"/>
        <v/>
      </c>
      <c r="F57" s="166" t="str">
        <f t="shared" si="19"/>
        <v/>
      </c>
      <c r="G57" s="98"/>
      <c r="H57" s="167"/>
      <c r="I57" s="184"/>
      <c r="J57" s="81">
        <f t="shared" si="16"/>
        <v>0</v>
      </c>
      <c r="K57" s="81">
        <f t="shared" si="17"/>
        <v>0</v>
      </c>
    </row>
    <row r="58" spans="2:16" ht="14.25" customHeight="1" x14ac:dyDescent="0.2">
      <c r="B58" s="55"/>
      <c r="D58" s="55"/>
      <c r="E58" s="166" t="str">
        <f t="shared" si="18"/>
        <v/>
      </c>
      <c r="F58" s="166" t="str">
        <f t="shared" si="19"/>
        <v/>
      </c>
      <c r="G58" s="98"/>
      <c r="H58" s="167"/>
      <c r="I58" s="184"/>
      <c r="J58" s="81">
        <f t="shared" si="16"/>
        <v>0</v>
      </c>
      <c r="K58" s="81">
        <f t="shared" si="17"/>
        <v>0</v>
      </c>
    </row>
    <row r="59" spans="2:16" ht="14.25" customHeight="1" x14ac:dyDescent="0.2">
      <c r="B59" s="55"/>
      <c r="C59" s="55"/>
      <c r="D59" s="55"/>
      <c r="E59" s="166" t="str">
        <f t="shared" si="18"/>
        <v/>
      </c>
      <c r="F59" s="166" t="str">
        <f t="shared" si="19"/>
        <v/>
      </c>
      <c r="G59" s="98"/>
      <c r="H59" s="167"/>
      <c r="I59" s="184"/>
      <c r="J59" s="81">
        <f t="shared" si="16"/>
        <v>0</v>
      </c>
      <c r="K59" s="81">
        <f t="shared" si="17"/>
        <v>0</v>
      </c>
    </row>
    <row r="60" spans="2:16" ht="14.25" customHeight="1" x14ac:dyDescent="0.2">
      <c r="B60" s="55"/>
      <c r="D60" s="55"/>
      <c r="E60" s="55"/>
      <c r="F60" s="55"/>
    </row>
    <row r="61" spans="2:16" ht="14.25" customHeight="1" x14ac:dyDescent="0.2">
      <c r="B61" s="55"/>
      <c r="E61" s="88" t="str">
        <f>IF('Limestone Plant (LP-9)'!$E$4&gt;2,"Stock Pile Area","")</f>
        <v/>
      </c>
      <c r="F61" s="88"/>
      <c r="G61" s="89"/>
    </row>
    <row r="62" spans="2:16" ht="14.25" customHeight="1" x14ac:dyDescent="0.2">
      <c r="B62" s="55"/>
      <c r="D62" s="90"/>
      <c r="F62" s="60" t="str">
        <f>IF('Limestone Plant (LP-9)'!$E$4&gt;2,"Emission Unit #","")</f>
        <v/>
      </c>
      <c r="G62" s="95" t="str">
        <f>IF('Limestone Plant (LP-9)'!$E$4&gt;2,"Maximum Storage Area (acres)","")</f>
        <v/>
      </c>
      <c r="H62" s="96" t="str">
        <f>IF('Limestone Plant (LP-9)'!$E$4&gt;2,"Actual Storage Area (acres)","")</f>
        <v/>
      </c>
      <c r="I62" s="95" t="str">
        <f>IF('Limestone Plant (LP-9)'!$E$4&gt;2,"Actual Days in Existence (days)","")</f>
        <v/>
      </c>
    </row>
    <row r="63" spans="2:16" ht="14.25" customHeight="1" x14ac:dyDescent="0.2">
      <c r="B63" s="55"/>
      <c r="F63" s="77"/>
      <c r="G63" s="126"/>
      <c r="H63" s="78"/>
      <c r="I63" s="126"/>
    </row>
    <row r="66" spans="2:11" ht="28.5" customHeight="1" x14ac:dyDescent="0.25">
      <c r="B66" s="92" t="str">
        <f>IF('Limestone Plant (LP-9)'!$E$4&gt;3,"CRUSHER PLANT","")</f>
        <v/>
      </c>
      <c r="C66" s="84" t="str">
        <f>IF('Limestone Plant (LP-9)'!$E$4&gt;3,"Site 4","")</f>
        <v/>
      </c>
      <c r="E66" s="213" t="str">
        <f>IF('Limestone Plant (LP-9)'!$E$4&gt;3,"Emission Point #","")</f>
        <v/>
      </c>
      <c r="F66" s="213" t="str">
        <f>IF('Limestone Plant (LP-9)'!$E$4&gt;3,"Emission     Unit #","")</f>
        <v/>
      </c>
      <c r="G66" s="213" t="str">
        <f>IF('Limestone Plant (LP-9)'!$E$4&gt;3,"Processes","")</f>
        <v/>
      </c>
      <c r="H66" s="220" t="str">
        <f>IF('Limestone Plant (LP-9)'!$E$4&gt;3,"Combined Maximum Hourly Design Rate for all Like Processes (tons/hr)","")</f>
        <v/>
      </c>
      <c r="I66" s="213" t="str">
        <f>IF('Limestone Plant (LP-9)'!$E$4&gt;3,('Facility Information'!G5&amp;" Annual Throughput (tons)"),"")</f>
        <v/>
      </c>
    </row>
    <row r="67" spans="2:11" ht="14.25" customHeight="1" x14ac:dyDescent="0.2">
      <c r="B67" s="94" t="str">
        <f>IF('Limestone Plant (LP-9)'!$E$4&gt;3,"Site Name:","")</f>
        <v/>
      </c>
      <c r="C67" s="76"/>
      <c r="D67" s="55"/>
      <c r="E67" s="166" t="str">
        <f>IF(G67="","","LP-9 EP-1")</f>
        <v/>
      </c>
      <c r="F67" s="166" t="str">
        <f>IF(G67="","",IF(G67="primary crusher","LP-9 EU-1",IF(G67="screening","LP-9 EU-2",IF(G67="secondary crusher","LP-9 EU-3",IF(G67="tertiary crusher","LP-9 EU-4",IF(G67="fines crushing","LP-9 EU-5",IF(G67="fines screening","LP-9 EU-6",IF(G67="wet drilling: unfragmented stone","LP-9 EU-7",IF(G67="conveyor transfer points","LP-9 EU-8")))))))))</f>
        <v/>
      </c>
      <c r="G67" s="98"/>
      <c r="H67" s="167"/>
      <c r="I67" s="184"/>
      <c r="J67" s="81">
        <f t="shared" ref="J67:J74" si="20">IF($C$71="no",I67,0)</f>
        <v>0</v>
      </c>
      <c r="K67" s="81">
        <f t="shared" ref="K67:K74" si="21">IF($C$71="yes",I67,0)</f>
        <v>0</v>
      </c>
    </row>
    <row r="68" spans="2:11" ht="14.25" customHeight="1" x14ac:dyDescent="0.2">
      <c r="B68" s="94" t="str">
        <f>IF('Limestone Plant (LP-9)'!$E$4&gt;3,"County:","")</f>
        <v/>
      </c>
      <c r="C68" s="76"/>
      <c r="D68" s="55"/>
      <c r="E68" s="166" t="str">
        <f t="shared" ref="E68:E74" si="22">IF(G68="","","LP-9 EP-1")</f>
        <v/>
      </c>
      <c r="F68" s="166" t="str">
        <f t="shared" ref="F68:F74" si="23">IF(G68="","",IF(G68="primary crusher","LP-9 EU-1",IF(G68="screening","LP-9 EU-2",IF(G68="secondary crusher","LP-9 EU-3",IF(G68="tertiary crusher","LP-9 EU-4",IF(G68="fines crushing","LP-9 EU-5",IF(G68="fines screening","LP-9 EU-6",IF(G68="wet drilling: unfragmented stone","LP-9 EU-7",IF(G68="conveyor transfer points","LP-9 EU-8")))))))))</f>
        <v/>
      </c>
      <c r="G68" s="98"/>
      <c r="H68" s="167"/>
      <c r="I68" s="184"/>
      <c r="J68" s="81">
        <f t="shared" si="20"/>
        <v>0</v>
      </c>
      <c r="K68" s="81">
        <f t="shared" si="21"/>
        <v>0</v>
      </c>
    </row>
    <row r="69" spans="2:11" ht="14.25" customHeight="1" x14ac:dyDescent="0.2">
      <c r="B69" s="94" t="str">
        <f>IF('Limestone Plant (LP-9)'!$E$4&gt;3,"Crushing Period (Dates):","")</f>
        <v/>
      </c>
      <c r="C69" s="76"/>
      <c r="D69" s="55"/>
      <c r="E69" s="166" t="str">
        <f t="shared" si="22"/>
        <v/>
      </c>
      <c r="F69" s="166" t="str">
        <f t="shared" si="23"/>
        <v/>
      </c>
      <c r="G69" s="98"/>
      <c r="H69" s="167"/>
      <c r="I69" s="184"/>
      <c r="J69" s="81">
        <f t="shared" si="20"/>
        <v>0</v>
      </c>
      <c r="K69" s="81">
        <f t="shared" si="21"/>
        <v>0</v>
      </c>
    </row>
    <row r="70" spans="2:11" ht="14.25" customHeight="1" x14ac:dyDescent="0.2">
      <c r="B70" s="281" t="str">
        <f>IF('Limestone Plant (LP-9)'!$E$4&gt;3,"Controlled with Dust Suppressant or","")</f>
        <v/>
      </c>
      <c r="D70" s="55"/>
      <c r="E70" s="166" t="str">
        <f t="shared" si="22"/>
        <v/>
      </c>
      <c r="F70" s="166" t="str">
        <f t="shared" si="23"/>
        <v/>
      </c>
      <c r="G70" s="98"/>
      <c r="H70" s="167"/>
      <c r="I70" s="184"/>
      <c r="J70" s="81">
        <f t="shared" si="20"/>
        <v>0</v>
      </c>
      <c r="K70" s="81">
        <f t="shared" si="21"/>
        <v>0</v>
      </c>
    </row>
    <row r="71" spans="2:11" ht="14.25" customHeight="1" x14ac:dyDescent="0.2">
      <c r="B71" s="282" t="str">
        <f>IF('Limestone Plant (LP-9)'!$E$4&gt;3,"Material Being Processed has","")</f>
        <v/>
      </c>
      <c r="C71" s="280"/>
      <c r="D71" s="55"/>
      <c r="E71" s="166" t="str">
        <f t="shared" si="22"/>
        <v/>
      </c>
      <c r="F71" s="166" t="str">
        <f t="shared" si="23"/>
        <v/>
      </c>
      <c r="G71" s="98"/>
      <c r="H71" s="167"/>
      <c r="I71" s="184"/>
      <c r="J71" s="81">
        <f t="shared" si="20"/>
        <v>0</v>
      </c>
      <c r="K71" s="81">
        <f t="shared" si="21"/>
        <v>0</v>
      </c>
    </row>
    <row r="72" spans="2:11" ht="14.25" customHeight="1" x14ac:dyDescent="0.2">
      <c r="B72" s="284" t="str">
        <f>IF('Limestone Plant (LP-9)'!$E$4&gt;3,"Moisture Content &gt; 1.5%?","")</f>
        <v/>
      </c>
      <c r="C72" s="55"/>
      <c r="D72" s="55"/>
      <c r="E72" s="166" t="str">
        <f t="shared" si="22"/>
        <v/>
      </c>
      <c r="F72" s="166" t="str">
        <f t="shared" si="23"/>
        <v/>
      </c>
      <c r="G72" s="98"/>
      <c r="H72" s="167"/>
      <c r="I72" s="184"/>
      <c r="J72" s="81">
        <f t="shared" si="20"/>
        <v>0</v>
      </c>
      <c r="K72" s="81">
        <f t="shared" si="21"/>
        <v>0</v>
      </c>
    </row>
    <row r="73" spans="2:11" ht="14.25" customHeight="1" x14ac:dyDescent="0.2">
      <c r="B73" s="55"/>
      <c r="D73" s="55"/>
      <c r="E73" s="166" t="str">
        <f t="shared" si="22"/>
        <v/>
      </c>
      <c r="F73" s="166" t="str">
        <f t="shared" si="23"/>
        <v/>
      </c>
      <c r="G73" s="98"/>
      <c r="H73" s="167"/>
      <c r="I73" s="184"/>
      <c r="J73" s="81">
        <f t="shared" si="20"/>
        <v>0</v>
      </c>
      <c r="K73" s="81">
        <f t="shared" si="21"/>
        <v>0</v>
      </c>
    </row>
    <row r="74" spans="2:11" ht="14.25" customHeight="1" x14ac:dyDescent="0.2">
      <c r="B74" s="55"/>
      <c r="C74" s="55"/>
      <c r="D74" s="55"/>
      <c r="E74" s="166" t="str">
        <f t="shared" si="22"/>
        <v/>
      </c>
      <c r="F74" s="166" t="str">
        <f t="shared" si="23"/>
        <v/>
      </c>
      <c r="G74" s="98"/>
      <c r="H74" s="167"/>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(LP-9)'!$E$4&gt;3,"Stock Pile Area","")</f>
        <v/>
      </c>
      <c r="F76" s="88"/>
      <c r="G76" s="89"/>
    </row>
    <row r="77" spans="2:11" ht="14.25" customHeight="1" x14ac:dyDescent="0.2">
      <c r="B77" s="55"/>
      <c r="D77" s="90"/>
      <c r="F77" s="60" t="str">
        <f>IF('Limestone Plant (LP-9)'!$E$4&gt;3,"Emission Unit #","")</f>
        <v/>
      </c>
      <c r="G77" s="95" t="str">
        <f>IF('Limestone Plant (LP-9)'!$E$4&gt;3,"Maximum Storage Area (acres)","")</f>
        <v/>
      </c>
      <c r="H77" s="96" t="str">
        <f>IF('Limestone Plant (LP-9)'!$E$4&gt;3,"Actual Storage Area (acres)","")</f>
        <v/>
      </c>
      <c r="I77" s="95" t="str">
        <f>IF('Limestone Plant (LP-9)'!$E$4&gt;3,"Actual Days in Existence (days)","")</f>
        <v/>
      </c>
    </row>
    <row r="78" spans="2:11" ht="14.25" customHeight="1" x14ac:dyDescent="0.2">
      <c r="B78" s="55"/>
      <c r="F78" s="77"/>
      <c r="G78" s="126"/>
      <c r="H78" s="78"/>
      <c r="I78" s="126"/>
    </row>
    <row r="81" spans="2:11" ht="30" customHeight="1" x14ac:dyDescent="0.25">
      <c r="B81" s="92" t="str">
        <f>IF('Limestone Plant (LP-9)'!$E$4&gt;4,"CRUSHER PLANT","")</f>
        <v/>
      </c>
      <c r="C81" s="84" t="str">
        <f>IF('Limestone Plant (LP-9)'!$E$4&gt;4,"Site 5","")</f>
        <v/>
      </c>
      <c r="E81" s="213" t="str">
        <f>IF('Limestone Plant (LP-9)'!$E$4&gt;4,"Emission Point #","")</f>
        <v/>
      </c>
      <c r="F81" s="213" t="str">
        <f>IF('Limestone Plant (LP-9)'!$E$4&gt;4,"Emission    Unit #","")</f>
        <v/>
      </c>
      <c r="G81" s="213" t="str">
        <f>IF('Limestone Plant (LP-9)'!$E$4&gt;4,"Processes","")</f>
        <v/>
      </c>
      <c r="H81" s="220" t="str">
        <f>IF('Limestone Plant (LP-9)'!$E$4&gt;4,"Combined Maximum Hourly Design Rate for all Like Processes (tons/hr)","")</f>
        <v/>
      </c>
      <c r="I81" s="213" t="str">
        <f>IF('Limestone Plant (LP-9)'!$E$4&gt;4,('Facility Information'!G5&amp;" Annual Throughput (tons)"),"")</f>
        <v/>
      </c>
    </row>
    <row r="82" spans="2:11" ht="14.25" customHeight="1" x14ac:dyDescent="0.2">
      <c r="B82" s="94" t="str">
        <f>IF('Limestone Plant (LP-9)'!$E$4&gt;4,"Site Name:","")</f>
        <v/>
      </c>
      <c r="C82" s="76"/>
      <c r="D82" s="55"/>
      <c r="E82" s="166" t="str">
        <f>IF(G82="","","LP-9 EP-1")</f>
        <v/>
      </c>
      <c r="F82" s="166" t="str">
        <f>IF(G82="","",IF(G82="primary crusher","LP-9 EU-1",IF(G82="screening","LP-9 EU-2",IF(G82="secondary crusher","LP-9 EU-3",IF(G82="tertiary crusher","LP-9 EU-4",IF(G82="fines crushing","LP-9 EU-5",IF(G82="fines screening","LP-9 EU-6",IF(G82="wet drilling: unfragmented stone","LP-9 EU-7",IF(G82="conveyor transfer points","LP-9 EU-8")))))))))</f>
        <v/>
      </c>
      <c r="G82" s="98"/>
      <c r="H82" s="167"/>
      <c r="I82" s="184"/>
      <c r="J82" s="81">
        <f t="shared" ref="J82:J89" si="24">IF($C$86="no",I82,0)</f>
        <v>0</v>
      </c>
      <c r="K82" s="81">
        <f t="shared" ref="K82:K89" si="25">IF($C$86="yes",I82,0)</f>
        <v>0</v>
      </c>
    </row>
    <row r="83" spans="2:11" ht="14.25" customHeight="1" x14ac:dyDescent="0.2">
      <c r="B83" s="94" t="str">
        <f>IF('Limestone Plant (LP-9)'!$E$4&gt;4,"County:","")</f>
        <v/>
      </c>
      <c r="C83" s="76"/>
      <c r="D83" s="55"/>
      <c r="E83" s="166" t="str">
        <f t="shared" ref="E83:E89" si="26">IF(G83="","","LP-9 EP-1")</f>
        <v/>
      </c>
      <c r="F83" s="166" t="str">
        <f t="shared" ref="F83:F89" si="27">IF(G83="","",IF(G83="primary crusher","LP-9 EU-1",IF(G83="screening","LP-9 EU-2",IF(G83="secondary crusher","LP-9 EU-3",IF(G83="tertiary crusher","LP-9 EU-4",IF(G83="fines crushing","LP-9 EU-5",IF(G83="fines screening","LP-9 EU-6",IF(G83="wet drilling: unfragmented stone","LP-9 EU-7",IF(G83="conveyor transfer points","LP-9 EU-8")))))))))</f>
        <v/>
      </c>
      <c r="G83" s="98"/>
      <c r="H83" s="167"/>
      <c r="I83" s="184"/>
      <c r="J83" s="81">
        <f t="shared" si="24"/>
        <v>0</v>
      </c>
      <c r="K83" s="81">
        <f t="shared" si="25"/>
        <v>0</v>
      </c>
    </row>
    <row r="84" spans="2:11" ht="14.25" customHeight="1" x14ac:dyDescent="0.2">
      <c r="B84" s="94" t="str">
        <f>IF('Limestone Plant (LP-9)'!$E$4&gt;4,"Crushing Period (Dates):","")</f>
        <v/>
      </c>
      <c r="C84" s="76"/>
      <c r="D84" s="55"/>
      <c r="E84" s="166" t="str">
        <f t="shared" si="26"/>
        <v/>
      </c>
      <c r="F84" s="166" t="str">
        <f t="shared" si="27"/>
        <v/>
      </c>
      <c r="G84" s="98"/>
      <c r="H84" s="167"/>
      <c r="I84" s="184"/>
      <c r="J84" s="81">
        <f t="shared" si="24"/>
        <v>0</v>
      </c>
      <c r="K84" s="81">
        <f t="shared" si="25"/>
        <v>0</v>
      </c>
    </row>
    <row r="85" spans="2:11" ht="14.25" customHeight="1" x14ac:dyDescent="0.2">
      <c r="B85" s="281" t="str">
        <f>IF('Limestone Plant (LP-9)'!$E$4&gt;4,"Controlled with Dust Suppressant or","")</f>
        <v/>
      </c>
      <c r="D85" s="55"/>
      <c r="E85" s="166" t="str">
        <f t="shared" si="26"/>
        <v/>
      </c>
      <c r="F85" s="166" t="str">
        <f t="shared" si="27"/>
        <v/>
      </c>
      <c r="G85" s="98"/>
      <c r="H85" s="167"/>
      <c r="I85" s="184"/>
      <c r="J85" s="81">
        <f t="shared" si="24"/>
        <v>0</v>
      </c>
      <c r="K85" s="81">
        <f t="shared" si="25"/>
        <v>0</v>
      </c>
    </row>
    <row r="86" spans="2:11" ht="14.25" customHeight="1" x14ac:dyDescent="0.2">
      <c r="B86" s="282" t="str">
        <f>IF('Limestone Plant (LP-9)'!$E$4&gt;4,"Material Being Processed has","")</f>
        <v/>
      </c>
      <c r="C86" s="280"/>
      <c r="D86" s="55"/>
      <c r="E86" s="166" t="str">
        <f t="shared" si="26"/>
        <v/>
      </c>
      <c r="F86" s="166" t="str">
        <f t="shared" si="27"/>
        <v/>
      </c>
      <c r="G86" s="98"/>
      <c r="H86" s="167"/>
      <c r="I86" s="184"/>
      <c r="J86" s="81">
        <f t="shared" si="24"/>
        <v>0</v>
      </c>
      <c r="K86" s="81">
        <f t="shared" si="25"/>
        <v>0</v>
      </c>
    </row>
    <row r="87" spans="2:11" ht="14.25" customHeight="1" x14ac:dyDescent="0.2">
      <c r="B87" s="284" t="str">
        <f>IF('Limestone Plant (LP-9)'!$E$4&gt;4,"Moisture Content &gt; 1.5%?","")</f>
        <v/>
      </c>
      <c r="C87" s="55"/>
      <c r="D87" s="55"/>
      <c r="E87" s="166" t="str">
        <f t="shared" si="26"/>
        <v/>
      </c>
      <c r="F87" s="166" t="str">
        <f t="shared" si="27"/>
        <v/>
      </c>
      <c r="G87" s="98"/>
      <c r="H87" s="167"/>
      <c r="I87" s="184"/>
      <c r="J87" s="81">
        <f t="shared" si="24"/>
        <v>0</v>
      </c>
      <c r="K87" s="81">
        <f t="shared" si="25"/>
        <v>0</v>
      </c>
    </row>
    <row r="88" spans="2:11" ht="14.25" customHeight="1" x14ac:dyDescent="0.2">
      <c r="B88" s="55"/>
      <c r="D88" s="55"/>
      <c r="E88" s="166" t="str">
        <f t="shared" si="26"/>
        <v/>
      </c>
      <c r="F88" s="166" t="str">
        <f t="shared" si="27"/>
        <v/>
      </c>
      <c r="G88" s="98"/>
      <c r="H88" s="167"/>
      <c r="I88" s="184"/>
      <c r="J88" s="81">
        <f t="shared" si="24"/>
        <v>0</v>
      </c>
      <c r="K88" s="81">
        <f t="shared" si="25"/>
        <v>0</v>
      </c>
    </row>
    <row r="89" spans="2:11" ht="14.25" customHeight="1" x14ac:dyDescent="0.2">
      <c r="B89" s="55"/>
      <c r="C89" s="55"/>
      <c r="D89" s="55"/>
      <c r="E89" s="166" t="str">
        <f t="shared" si="26"/>
        <v/>
      </c>
      <c r="F89" s="166" t="str">
        <f t="shared" si="27"/>
        <v/>
      </c>
      <c r="G89" s="98"/>
      <c r="H89" s="167"/>
      <c r="I89" s="184"/>
      <c r="J89" s="81">
        <f t="shared" si="24"/>
        <v>0</v>
      </c>
      <c r="K89" s="81">
        <f t="shared" si="25"/>
        <v>0</v>
      </c>
    </row>
    <row r="90" spans="2:11" ht="14.25" customHeight="1" x14ac:dyDescent="0.2">
      <c r="B90" s="55"/>
      <c r="D90" s="55"/>
      <c r="E90" s="55"/>
      <c r="F90" s="55"/>
    </row>
    <row r="91" spans="2:11" ht="14.25" customHeight="1" x14ac:dyDescent="0.2">
      <c r="B91" s="55"/>
      <c r="E91" s="88" t="str">
        <f>IF('Limestone Plant (LP-9)'!$E$4&gt;4,"Stock Pile Area","")</f>
        <v/>
      </c>
      <c r="F91" s="88"/>
      <c r="G91" s="89"/>
    </row>
    <row r="92" spans="2:11" ht="14.25" customHeight="1" x14ac:dyDescent="0.2">
      <c r="B92" s="55"/>
      <c r="D92" s="90"/>
      <c r="F92" s="60" t="str">
        <f>IF('Limestone Plant (LP-9)'!$E$4&gt;4,"Emission Unit #","")</f>
        <v/>
      </c>
      <c r="G92" s="95" t="str">
        <f>IF('Limestone Plant (LP-9)'!$E$4&gt;4,"Maximum Storage Area (acres)","")</f>
        <v/>
      </c>
      <c r="H92" s="96" t="str">
        <f>IF('Limestone Plant (LP-9)'!$E$4&gt;4,"Actual Storage Area (acres)","")</f>
        <v/>
      </c>
      <c r="I92" s="95" t="str">
        <f>IF('Limestone Plant (LP-9)'!$E$4&gt;4,"Actual Days in Existence (days)","")</f>
        <v/>
      </c>
    </row>
    <row r="93" spans="2:11" ht="14.25" customHeight="1" x14ac:dyDescent="0.2">
      <c r="B93" s="55"/>
      <c r="F93" s="72"/>
      <c r="G93" s="126"/>
      <c r="H93" s="78"/>
      <c r="I93" s="126"/>
    </row>
    <row r="94" spans="2:11" ht="16.5" customHeight="1" x14ac:dyDescent="0.2"/>
    <row r="95" spans="2:11" ht="36.75" customHeight="1" x14ac:dyDescent="0.2"/>
    <row r="96" spans="2:11" ht="29.25" customHeight="1" x14ac:dyDescent="0.25">
      <c r="B96" s="92" t="str">
        <f>IF('Limestone Plant (LP-9)'!$E$4&gt;5,"CRUSHER PLANT","")</f>
        <v/>
      </c>
      <c r="C96" s="84" t="str">
        <f>IF('Limestone Plant (LP-9)'!$E$4&gt;5,"Site 6","")</f>
        <v/>
      </c>
      <c r="E96" s="213" t="str">
        <f>IF('Limestone Plant (LP-9)'!$E$4&gt;5,"Emission Point #","")</f>
        <v/>
      </c>
      <c r="F96" s="213" t="str">
        <f>IF('Limestone Plant (LP-9)'!$E$4&gt;5,"Emission     Unit #","")</f>
        <v/>
      </c>
      <c r="G96" s="213" t="str">
        <f>IF('Limestone Plant (LP-9)'!$E$4&gt;5,"Processes","")</f>
        <v/>
      </c>
      <c r="H96" s="220" t="str">
        <f>IF('Limestone Plant (LP-9)'!$E$4&gt;5,"Combined Maximum Hourly Design Rate for all Like Processes (tons/hr)","")</f>
        <v/>
      </c>
      <c r="I96" s="213" t="str">
        <f>IF('Limestone Plant (LP-9)'!$E$4&gt;5,('Facility Information'!G5&amp;" Annual Throughput (tons)"),"")</f>
        <v/>
      </c>
    </row>
    <row r="97" spans="2:11" ht="14.25" customHeight="1" x14ac:dyDescent="0.2">
      <c r="B97" s="94" t="str">
        <f>IF('Limestone Plant (LP-9)'!$E$4&gt;5,"Site Name:","")</f>
        <v/>
      </c>
      <c r="C97" s="76"/>
      <c r="D97" s="55"/>
      <c r="E97" s="166" t="str">
        <f>IF(G97="","","LP-9 EP-1")</f>
        <v/>
      </c>
      <c r="F97" s="166" t="str">
        <f>IF(G97="","",IF(G97="primary crusher","LP-9 EU-1",IF(G97="screening","LP-9 EU-2",IF(G97="secondary crusher","LP-9 EU-3",IF(G97="tertiary crusher","LP-9 EU-4",IF(G97="fines crushing","LP-9 EU-5",IF(G97="fines screening","LP-9 EU-6",IF(G97="wet drilling: unfragmented stone","LP-9 EU-7",IF(G97="conveyor transfer points","LP-9 EU-8")))))))))</f>
        <v/>
      </c>
      <c r="G97" s="98"/>
      <c r="H97" s="167"/>
      <c r="I97" s="184"/>
      <c r="J97" s="81">
        <f t="shared" ref="J97:J104" si="28">IF($C$101="no",I97,0)</f>
        <v>0</v>
      </c>
      <c r="K97" s="81">
        <f t="shared" ref="K97:K104" si="29">IF($C$101="yes",I97,0)</f>
        <v>0</v>
      </c>
    </row>
    <row r="98" spans="2:11" ht="14.25" customHeight="1" x14ac:dyDescent="0.2">
      <c r="B98" s="94" t="str">
        <f>IF('Limestone Plant (LP-9)'!$E$4&gt;5,"County:","")</f>
        <v/>
      </c>
      <c r="C98" s="76"/>
      <c r="D98" s="55"/>
      <c r="E98" s="166" t="str">
        <f t="shared" ref="E98:E104" si="30">IF(G98="","","LP-9 EP-1")</f>
        <v/>
      </c>
      <c r="F98" s="166" t="str">
        <f t="shared" ref="F98:F104" si="31">IF(G98="","",IF(G98="primary crusher","LP-9 EU-1",IF(G98="screening","LP-9 EU-2",IF(G98="secondary crusher","LP-9 EU-3",IF(G98="tertiary crusher","LP-9 EU-4",IF(G98="fines crushing","LP-9 EU-5",IF(G98="fines screening","LP-9 EU-6",IF(G98="wet drilling: unfragmented stone","LP-9 EU-7",IF(G98="conveyor transfer points","LP-9 EU-8")))))))))</f>
        <v/>
      </c>
      <c r="G98" s="98"/>
      <c r="H98" s="167"/>
      <c r="I98" s="184"/>
      <c r="J98" s="81">
        <f t="shared" si="28"/>
        <v>0</v>
      </c>
      <c r="K98" s="81">
        <f t="shared" si="29"/>
        <v>0</v>
      </c>
    </row>
    <row r="99" spans="2:11" ht="14.25" customHeight="1" x14ac:dyDescent="0.2">
      <c r="B99" s="94" t="str">
        <f>IF('Limestone Plant (LP-9)'!$E$4&gt;5,"Crushing Period (Dates):","")</f>
        <v/>
      </c>
      <c r="C99" s="76"/>
      <c r="D99" s="55"/>
      <c r="E99" s="166" t="str">
        <f t="shared" si="30"/>
        <v/>
      </c>
      <c r="F99" s="166" t="str">
        <f t="shared" si="31"/>
        <v/>
      </c>
      <c r="G99" s="98"/>
      <c r="H99" s="167"/>
      <c r="I99" s="184"/>
      <c r="J99" s="81">
        <f t="shared" si="28"/>
        <v>0</v>
      </c>
      <c r="K99" s="81">
        <f t="shared" si="29"/>
        <v>0</v>
      </c>
    </row>
    <row r="100" spans="2:11" ht="14.25" customHeight="1" x14ac:dyDescent="0.2">
      <c r="B100" s="281" t="str">
        <f>IF('Limestone Plant (LP-9)'!$E$4&gt;5,"Controlled with Dust Suppressant or","")</f>
        <v/>
      </c>
      <c r="D100" s="55"/>
      <c r="E100" s="166" t="str">
        <f t="shared" si="30"/>
        <v/>
      </c>
      <c r="F100" s="166" t="str">
        <f t="shared" si="31"/>
        <v/>
      </c>
      <c r="G100" s="98"/>
      <c r="H100" s="167"/>
      <c r="I100" s="184"/>
      <c r="J100" s="81">
        <f t="shared" si="28"/>
        <v>0</v>
      </c>
      <c r="K100" s="81">
        <f t="shared" si="29"/>
        <v>0</v>
      </c>
    </row>
    <row r="101" spans="2:11" ht="14.25" customHeight="1" x14ac:dyDescent="0.2">
      <c r="B101" s="282" t="str">
        <f>IF('Limestone Plant (LP-9)'!$E$4&gt;5,"Material Being Processed has","")</f>
        <v/>
      </c>
      <c r="C101" s="280"/>
      <c r="D101" s="55"/>
      <c r="E101" s="166" t="str">
        <f t="shared" si="30"/>
        <v/>
      </c>
      <c r="F101" s="166" t="str">
        <f t="shared" si="31"/>
        <v/>
      </c>
      <c r="G101" s="98"/>
      <c r="H101" s="167"/>
      <c r="I101" s="184"/>
      <c r="J101" s="81">
        <f t="shared" si="28"/>
        <v>0</v>
      </c>
      <c r="K101" s="81">
        <f t="shared" si="29"/>
        <v>0</v>
      </c>
    </row>
    <row r="102" spans="2:11" ht="14.25" customHeight="1" x14ac:dyDescent="0.2">
      <c r="B102" s="284" t="str">
        <f>IF('Limestone Plant (LP-9)'!$E$4&gt;5,"Moisture Content &gt; 1.5%?","")</f>
        <v/>
      </c>
      <c r="C102" s="55"/>
      <c r="D102" s="55"/>
      <c r="E102" s="166" t="str">
        <f t="shared" si="30"/>
        <v/>
      </c>
      <c r="F102" s="166" t="str">
        <f t="shared" si="31"/>
        <v/>
      </c>
      <c r="G102" s="98"/>
      <c r="H102" s="167"/>
      <c r="I102" s="184"/>
      <c r="J102" s="81">
        <f t="shared" si="28"/>
        <v>0</v>
      </c>
      <c r="K102" s="81">
        <f t="shared" si="29"/>
        <v>0</v>
      </c>
    </row>
    <row r="103" spans="2:11" ht="14.25" customHeight="1" x14ac:dyDescent="0.2">
      <c r="B103" s="55"/>
      <c r="D103" s="55"/>
      <c r="E103" s="166" t="str">
        <f t="shared" si="30"/>
        <v/>
      </c>
      <c r="F103" s="166" t="str">
        <f t="shared" si="31"/>
        <v/>
      </c>
      <c r="G103" s="98"/>
      <c r="H103" s="167"/>
      <c r="I103" s="184"/>
      <c r="J103" s="81">
        <f t="shared" si="28"/>
        <v>0</v>
      </c>
      <c r="K103" s="81">
        <f t="shared" si="29"/>
        <v>0</v>
      </c>
    </row>
    <row r="104" spans="2:11" ht="14.25" customHeight="1" x14ac:dyDescent="0.2">
      <c r="B104" s="55"/>
      <c r="C104" s="55"/>
      <c r="D104" s="55"/>
      <c r="E104" s="166" t="str">
        <f t="shared" si="30"/>
        <v/>
      </c>
      <c r="F104" s="166" t="str">
        <f t="shared" si="31"/>
        <v/>
      </c>
      <c r="G104" s="98"/>
      <c r="H104" s="167"/>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(LP-9)'!$E$4&gt;5,"Stock Pile Area","")</f>
        <v/>
      </c>
      <c r="G106" s="89"/>
    </row>
    <row r="107" spans="2:11" ht="14.25" customHeight="1" x14ac:dyDescent="0.2">
      <c r="B107" s="55"/>
      <c r="D107" s="90"/>
      <c r="F107" s="60" t="str">
        <f>IF('Limestone Plant (LP-9)'!$E$4&gt;5,"Emission Unit #","")</f>
        <v/>
      </c>
      <c r="G107" s="95" t="str">
        <f>IF('Limestone Plant (LP-9)'!$E$4&gt;5,"Maximum Storage Area (acres)","")</f>
        <v/>
      </c>
      <c r="H107" s="96" t="str">
        <f>IF('Limestone Plant (LP-9)'!$E$4&gt;5,"Actual Storage Area (acres)","")</f>
        <v/>
      </c>
      <c r="I107" s="95" t="str">
        <f>IF('Limestone Plant (LP-9)'!$E$4&gt;5,"Actual Days in Existence (days)","")</f>
        <v/>
      </c>
    </row>
    <row r="108" spans="2:11" ht="14.25" customHeight="1" x14ac:dyDescent="0.2">
      <c r="B108" s="55"/>
      <c r="F108" s="77"/>
      <c r="G108" s="126"/>
      <c r="H108" s="78"/>
      <c r="I108" s="126"/>
    </row>
    <row r="111" spans="2:11" ht="28.5" customHeight="1" x14ac:dyDescent="0.25">
      <c r="B111" s="92" t="str">
        <f>IF('Limestone Plant (LP-9)'!$E$4&gt;6,"CRUSHER PLANT","")</f>
        <v/>
      </c>
      <c r="C111" s="84" t="str">
        <f>IF('Limestone Plant (LP-9)'!$E$4&gt;6,"Site 7","")</f>
        <v/>
      </c>
      <c r="E111" s="213" t="str">
        <f>IF('Limestone Plant (LP-9)'!$E$4&gt;6,"Emission Point #","")</f>
        <v/>
      </c>
      <c r="F111" s="213" t="str">
        <f>IF('Limestone Plant (LP-9)'!$E$4&gt;6,"Emission     Unit #","")</f>
        <v/>
      </c>
      <c r="G111" s="213" t="str">
        <f>IF('Limestone Plant (LP-9)'!$E$4&gt;6,"Processes","")</f>
        <v/>
      </c>
      <c r="H111" s="220" t="str">
        <f>IF('Limestone Plant (LP-9)'!$E$4&gt;6,"Combined Maximum Hourly Design Rate for all Like Processes (tons/hr)","")</f>
        <v/>
      </c>
      <c r="I111" s="213" t="str">
        <f>IF('Limestone Plant (LP-9)'!$E$4&gt;6,('Facility Information'!G5&amp;" Annual Throughput (tons)"),"")</f>
        <v/>
      </c>
    </row>
    <row r="112" spans="2:11" ht="14.25" customHeight="1" x14ac:dyDescent="0.2">
      <c r="B112" s="94" t="str">
        <f>IF('Limestone Plant (LP-9)'!$E$4&gt;6,"Site Name:","")</f>
        <v/>
      </c>
      <c r="C112" s="76"/>
      <c r="D112" s="55"/>
      <c r="E112" s="166" t="str">
        <f>IF(G112="","","LP-9 EP-1")</f>
        <v/>
      </c>
      <c r="F112" s="166" t="str">
        <f>IF(G112="","",IF(G112="primary crusher","LP-9 EU-1",IF(G112="screening","LP-9 EU-2",IF(G112="secondary crusher","LP-9 EU-3",IF(G112="tertiary crusher","LP-9 EU-4",IF(G112="fines crushing","LP-9 EU-5",IF(G112="fines screening","LP-9 EU-6",IF(G112="wet drilling: unfragmented stone","LP-9 EU-7",IF(G112="conveyor transfer points","LP-9 EU-8")))))))))</f>
        <v/>
      </c>
      <c r="G112" s="98"/>
      <c r="H112" s="167"/>
      <c r="I112" s="184"/>
      <c r="J112" s="81">
        <f t="shared" ref="J112:J119" si="32">IF($C$116="no",I112,0)</f>
        <v>0</v>
      </c>
      <c r="K112" s="81">
        <f t="shared" ref="K112:K119" si="33">IF($C$116="yes",I112,0)</f>
        <v>0</v>
      </c>
    </row>
    <row r="113" spans="2:11" ht="14.25" customHeight="1" x14ac:dyDescent="0.2">
      <c r="B113" s="94" t="str">
        <f>IF('Limestone Plant (LP-9)'!$E$4&gt;6,"County:","")</f>
        <v/>
      </c>
      <c r="C113" s="76"/>
      <c r="D113" s="55"/>
      <c r="E113" s="166" t="str">
        <f t="shared" ref="E113:E119" si="34">IF(G113="","","LP-9 EP-1")</f>
        <v/>
      </c>
      <c r="F113" s="166" t="str">
        <f t="shared" ref="F113:F119" si="35">IF(G113="","",IF(G113="primary crusher","LP-9 EU-1",IF(G113="screening","LP-9 EU-2",IF(G113="secondary crusher","LP-9 EU-3",IF(G113="tertiary crusher","LP-9 EU-4",IF(G113="fines crushing","LP-9 EU-5",IF(G113="fines screening","LP-9 EU-6",IF(G113="wet drilling: unfragmented stone","LP-9 EU-7",IF(G113="conveyor transfer points","LP-9 EU-8")))))))))</f>
        <v/>
      </c>
      <c r="G113" s="98"/>
      <c r="H113" s="167"/>
      <c r="I113" s="184"/>
      <c r="J113" s="81">
        <f t="shared" si="32"/>
        <v>0</v>
      </c>
      <c r="K113" s="81">
        <f t="shared" si="33"/>
        <v>0</v>
      </c>
    </row>
    <row r="114" spans="2:11" ht="14.25" customHeight="1" x14ac:dyDescent="0.2">
      <c r="B114" s="94" t="str">
        <f>IF('Limestone Plant (LP-9)'!$E$4&gt;6,"Crushing Period (Dates):","")</f>
        <v/>
      </c>
      <c r="C114" s="76"/>
      <c r="D114" s="55"/>
      <c r="E114" s="166" t="str">
        <f t="shared" si="34"/>
        <v/>
      </c>
      <c r="F114" s="166" t="str">
        <f t="shared" si="35"/>
        <v/>
      </c>
      <c r="G114" s="98"/>
      <c r="H114" s="167"/>
      <c r="I114" s="184"/>
      <c r="J114" s="81">
        <f t="shared" si="32"/>
        <v>0</v>
      </c>
      <c r="K114" s="81">
        <f t="shared" si="33"/>
        <v>0</v>
      </c>
    </row>
    <row r="115" spans="2:11" ht="14.25" customHeight="1" x14ac:dyDescent="0.2">
      <c r="B115" s="281" t="str">
        <f>IF('Limestone Plant (LP-9)'!$E$4&gt;6,"Controlled with Dust Suppressant or","")</f>
        <v/>
      </c>
      <c r="D115" s="55"/>
      <c r="E115" s="166" t="str">
        <f t="shared" si="34"/>
        <v/>
      </c>
      <c r="F115" s="166" t="str">
        <f t="shared" si="35"/>
        <v/>
      </c>
      <c r="G115" s="98"/>
      <c r="H115" s="167"/>
      <c r="I115" s="184"/>
      <c r="J115" s="81">
        <f t="shared" si="32"/>
        <v>0</v>
      </c>
      <c r="K115" s="81">
        <f t="shared" si="33"/>
        <v>0</v>
      </c>
    </row>
    <row r="116" spans="2:11" ht="14.25" customHeight="1" x14ac:dyDescent="0.2">
      <c r="B116" s="282" t="str">
        <f>IF('Limestone Plant (LP-9)'!$E$4&gt;6,"Material Being Processed has","")</f>
        <v/>
      </c>
      <c r="C116" s="280"/>
      <c r="D116" s="55"/>
      <c r="E116" s="166" t="str">
        <f t="shared" si="34"/>
        <v/>
      </c>
      <c r="F116" s="166" t="str">
        <f t="shared" si="35"/>
        <v/>
      </c>
      <c r="G116" s="98"/>
      <c r="H116" s="167"/>
      <c r="I116" s="184"/>
      <c r="J116" s="81">
        <f t="shared" si="32"/>
        <v>0</v>
      </c>
      <c r="K116" s="81">
        <f t="shared" si="33"/>
        <v>0</v>
      </c>
    </row>
    <row r="117" spans="2:11" ht="14.25" customHeight="1" x14ac:dyDescent="0.2">
      <c r="B117" s="284" t="str">
        <f>IF('Limestone Plant (LP-9)'!$E$4&gt;6,"Moisture Content &gt; 1.5%?","")</f>
        <v/>
      </c>
      <c r="C117" s="55"/>
      <c r="D117" s="55"/>
      <c r="E117" s="166" t="str">
        <f t="shared" si="34"/>
        <v/>
      </c>
      <c r="F117" s="166" t="str">
        <f t="shared" si="35"/>
        <v/>
      </c>
      <c r="G117" s="98"/>
      <c r="H117" s="167"/>
      <c r="I117" s="184"/>
      <c r="J117" s="81">
        <f t="shared" si="32"/>
        <v>0</v>
      </c>
      <c r="K117" s="81">
        <f t="shared" si="33"/>
        <v>0</v>
      </c>
    </row>
    <row r="118" spans="2:11" ht="14.25" customHeight="1" x14ac:dyDescent="0.2">
      <c r="B118" s="55"/>
      <c r="D118" s="55"/>
      <c r="E118" s="166" t="str">
        <f t="shared" si="34"/>
        <v/>
      </c>
      <c r="F118" s="166" t="str">
        <f t="shared" si="35"/>
        <v/>
      </c>
      <c r="G118" s="98"/>
      <c r="H118" s="167"/>
      <c r="I118" s="184"/>
      <c r="J118" s="81">
        <f t="shared" si="32"/>
        <v>0</v>
      </c>
      <c r="K118" s="81">
        <f t="shared" si="33"/>
        <v>0</v>
      </c>
    </row>
    <row r="119" spans="2:11" ht="14.25" customHeight="1" x14ac:dyDescent="0.2">
      <c r="B119" s="55"/>
      <c r="C119" s="55"/>
      <c r="D119" s="55"/>
      <c r="E119" s="166" t="str">
        <f t="shared" si="34"/>
        <v/>
      </c>
      <c r="F119" s="166" t="str">
        <f t="shared" si="35"/>
        <v/>
      </c>
      <c r="G119" s="98"/>
      <c r="H119" s="167"/>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(LP-9)'!$E$4&gt;6,"Stock Pile Area","")</f>
        <v/>
      </c>
      <c r="F121" s="88"/>
      <c r="G121" s="89"/>
    </row>
    <row r="122" spans="2:11" ht="14.25" customHeight="1" x14ac:dyDescent="0.2">
      <c r="B122" s="55"/>
      <c r="D122" s="90"/>
      <c r="F122" s="60" t="str">
        <f>IF('Limestone Plant (LP-9)'!$E$4&gt;6,"Emission Unit #","")</f>
        <v/>
      </c>
      <c r="G122" s="95" t="str">
        <f>IF('Limestone Plant (LP-9)'!$E$4&gt;6,"Maximum Storage Area (acres)","")</f>
        <v/>
      </c>
      <c r="H122" s="96" t="str">
        <f>IF('Limestone Plant (LP-9)'!$E$4&gt;6,"Actual Storage Area (acres)","")</f>
        <v/>
      </c>
      <c r="I122" s="95" t="str">
        <f>IF('Limestone Plant (LP-9)'!$E$4&gt;6,"Actual Days in Existence (days)","")</f>
        <v/>
      </c>
    </row>
    <row r="123" spans="2:11" ht="14.25" customHeight="1" x14ac:dyDescent="0.2">
      <c r="B123" s="55"/>
      <c r="F123" s="77"/>
      <c r="G123" s="126"/>
      <c r="H123" s="78"/>
      <c r="I123" s="126"/>
    </row>
    <row r="126" spans="2:11" ht="28.5" customHeight="1" x14ac:dyDescent="0.25">
      <c r="B126" s="92" t="str">
        <f>IF('Limestone Plant (LP-9)'!$E$4&gt;7,"CRUSHER PLANT","")</f>
        <v/>
      </c>
      <c r="C126" s="84" t="str">
        <f>IF('Limestone Plant (LP-9)'!$E$4&gt;7,"Site 8","")</f>
        <v/>
      </c>
      <c r="E126" s="213" t="str">
        <f>IF('Limestone Plant (LP-9)'!$E$4&gt;7,"Emission Point #","")</f>
        <v/>
      </c>
      <c r="F126" s="213" t="str">
        <f>IF('Limestone Plant (LP-9)'!$E$4&gt;7,"Emission     Unit #","")</f>
        <v/>
      </c>
      <c r="G126" s="213" t="str">
        <f>IF('Limestone Plant (LP-9)'!$E$4&gt;7,"Processes","")</f>
        <v/>
      </c>
      <c r="H126" s="220" t="str">
        <f>IF('Limestone Plant (LP-9)'!$E$4&gt;7,"Combined Maximum Hourly Design Rate for all Like Processes (tons/hr)","")</f>
        <v/>
      </c>
      <c r="I126" s="213" t="str">
        <f>IF('Limestone Plant (LP-9)'!$E$4&gt;7,('Facility Information'!G5&amp;" Annual Throughput (tons)"),"")</f>
        <v/>
      </c>
    </row>
    <row r="127" spans="2:11" ht="14.25" customHeight="1" x14ac:dyDescent="0.2">
      <c r="B127" s="94" t="str">
        <f>IF('Limestone Plant (LP-9)'!$E$4&gt;7,"Site Name:","")</f>
        <v/>
      </c>
      <c r="C127" s="76"/>
      <c r="D127" s="55"/>
      <c r="E127" s="166" t="str">
        <f>IF(G127="","","LP-9 EP-1")</f>
        <v/>
      </c>
      <c r="F127" s="166" t="str">
        <f>IF(G127="","",IF(G127="primary crusher","LP-9 EU-1",IF(G127="screening","LP-9 EU-2",IF(G127="secondary crusher","LP-9 EU-3",IF(G127="tertiary crusher","LP-9 EU-4",IF(G127="fines crushing","LP-9 EU-5",IF(G127="fines screening","LP-9 EU-6",IF(G127="wet drilling: unfragmented stone","LP-9 EU-7",IF(G127="conveyor transfer points","LP-9 EU-8")))))))))</f>
        <v/>
      </c>
      <c r="G127" s="98"/>
      <c r="H127" s="167"/>
      <c r="I127" s="184"/>
      <c r="J127" s="81">
        <f t="shared" ref="J127:J134" si="36">IF($C$131="no",I127,0)</f>
        <v>0</v>
      </c>
      <c r="K127" s="81">
        <f t="shared" ref="K127:K134" si="37">IF($C$131="yes",I127,0)</f>
        <v>0</v>
      </c>
    </row>
    <row r="128" spans="2:11" ht="14.25" customHeight="1" x14ac:dyDescent="0.2">
      <c r="B128" s="94" t="str">
        <f>IF('Limestone Plant (LP-9)'!$E$4&gt;7,"County:","")</f>
        <v/>
      </c>
      <c r="C128" s="76"/>
      <c r="D128" s="55"/>
      <c r="E128" s="166" t="str">
        <f t="shared" ref="E128:E134" si="38">IF(G128="","","LP-9 EP-1")</f>
        <v/>
      </c>
      <c r="F128" s="166" t="str">
        <f t="shared" ref="F128:F134" si="39">IF(G128="","",IF(G128="primary crusher","LP-9 EU-1",IF(G128="screening","LP-9 EU-2",IF(G128="secondary crusher","LP-9 EU-3",IF(G128="tertiary crusher","LP-9 EU-4",IF(G128="fines crushing","LP-9 EU-5",IF(G128="fines screening","LP-9 EU-6",IF(G128="wet drilling: unfragmented stone","LP-9 EU-7",IF(G128="conveyor transfer points","LP-9 EU-8")))))))))</f>
        <v/>
      </c>
      <c r="G128" s="98"/>
      <c r="H128" s="167"/>
      <c r="I128" s="184"/>
      <c r="J128" s="81">
        <f t="shared" si="36"/>
        <v>0</v>
      </c>
      <c r="K128" s="81">
        <f t="shared" si="37"/>
        <v>0</v>
      </c>
    </row>
    <row r="129" spans="2:11" ht="14.25" customHeight="1" x14ac:dyDescent="0.2">
      <c r="B129" s="94" t="str">
        <f>IF('Limestone Plant (LP-9)'!$E$4&gt;7,"Crushing Period (Dates):","")</f>
        <v/>
      </c>
      <c r="C129" s="76"/>
      <c r="D129" s="55"/>
      <c r="E129" s="166" t="str">
        <f t="shared" si="38"/>
        <v/>
      </c>
      <c r="F129" s="166" t="str">
        <f t="shared" si="39"/>
        <v/>
      </c>
      <c r="G129" s="98"/>
      <c r="H129" s="167"/>
      <c r="I129" s="184"/>
      <c r="J129" s="81">
        <f t="shared" si="36"/>
        <v>0</v>
      </c>
      <c r="K129" s="81">
        <f t="shared" si="37"/>
        <v>0</v>
      </c>
    </row>
    <row r="130" spans="2:11" ht="14.25" customHeight="1" x14ac:dyDescent="0.2">
      <c r="B130" s="281" t="str">
        <f>IF('Limestone Plant (LP-9)'!$E$4&gt;7,"Controlled with Dust Suppressant or","")</f>
        <v/>
      </c>
      <c r="D130" s="55"/>
      <c r="E130" s="166" t="str">
        <f t="shared" si="38"/>
        <v/>
      </c>
      <c r="F130" s="166" t="str">
        <f t="shared" si="39"/>
        <v/>
      </c>
      <c r="G130" s="98"/>
      <c r="H130" s="167"/>
      <c r="I130" s="184"/>
      <c r="J130" s="81">
        <f t="shared" si="36"/>
        <v>0</v>
      </c>
      <c r="K130" s="81">
        <f t="shared" si="37"/>
        <v>0</v>
      </c>
    </row>
    <row r="131" spans="2:11" ht="14.25" customHeight="1" x14ac:dyDescent="0.2">
      <c r="B131" s="282" t="str">
        <f>IF('Limestone Plant (LP-9)'!$E$4&gt;7,"Material Being Processed has","")</f>
        <v/>
      </c>
      <c r="C131" s="280"/>
      <c r="D131" s="55"/>
      <c r="E131" s="166" t="str">
        <f t="shared" si="38"/>
        <v/>
      </c>
      <c r="F131" s="166" t="str">
        <f t="shared" si="39"/>
        <v/>
      </c>
      <c r="G131" s="98"/>
      <c r="H131" s="167"/>
      <c r="I131" s="184"/>
      <c r="J131" s="81">
        <f t="shared" si="36"/>
        <v>0</v>
      </c>
      <c r="K131" s="81">
        <f t="shared" si="37"/>
        <v>0</v>
      </c>
    </row>
    <row r="132" spans="2:11" ht="14.25" customHeight="1" x14ac:dyDescent="0.2">
      <c r="B132" s="284" t="str">
        <f>IF('Limestone Plant (LP-9)'!$E$4&gt;7,"Moisture Content &gt; 1.5%?","")</f>
        <v/>
      </c>
      <c r="C132" s="55"/>
      <c r="D132" s="55"/>
      <c r="E132" s="166" t="str">
        <f t="shared" si="38"/>
        <v/>
      </c>
      <c r="F132" s="166" t="str">
        <f t="shared" si="39"/>
        <v/>
      </c>
      <c r="G132" s="98"/>
      <c r="H132" s="167"/>
      <c r="I132" s="184"/>
      <c r="J132" s="81">
        <f t="shared" si="36"/>
        <v>0</v>
      </c>
      <c r="K132" s="81">
        <f t="shared" si="37"/>
        <v>0</v>
      </c>
    </row>
    <row r="133" spans="2:11" ht="14.25" customHeight="1" x14ac:dyDescent="0.2">
      <c r="B133" s="55"/>
      <c r="D133" s="55"/>
      <c r="E133" s="166" t="str">
        <f t="shared" si="38"/>
        <v/>
      </c>
      <c r="F133" s="166" t="str">
        <f t="shared" si="39"/>
        <v/>
      </c>
      <c r="G133" s="98"/>
      <c r="H133" s="167"/>
      <c r="I133" s="184"/>
      <c r="J133" s="81">
        <f t="shared" si="36"/>
        <v>0</v>
      </c>
      <c r="K133" s="81">
        <f t="shared" si="37"/>
        <v>0</v>
      </c>
    </row>
    <row r="134" spans="2:11" ht="14.25" customHeight="1" x14ac:dyDescent="0.2">
      <c r="B134" s="55"/>
      <c r="C134" s="55"/>
      <c r="D134" s="55"/>
      <c r="E134" s="166" t="str">
        <f t="shared" si="38"/>
        <v/>
      </c>
      <c r="F134" s="166" t="str">
        <f t="shared" si="39"/>
        <v/>
      </c>
      <c r="G134" s="98"/>
      <c r="H134" s="167"/>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(LP-9)'!$E$4&gt;7,"Stock Pile Area","")</f>
        <v/>
      </c>
      <c r="F136" s="88"/>
      <c r="G136" s="89"/>
    </row>
    <row r="137" spans="2:11" ht="14.25" customHeight="1" x14ac:dyDescent="0.2">
      <c r="B137" s="55"/>
      <c r="D137" s="90"/>
      <c r="F137" s="60" t="str">
        <f>IF('Limestone Plant (LP-9)'!$E$4&gt;7,"Emission Unit #","")</f>
        <v/>
      </c>
      <c r="G137" s="95" t="str">
        <f>IF('Limestone Plant (LP-9)'!$E$4&gt;7,"Maximum Storage Area (acres)","")</f>
        <v/>
      </c>
      <c r="H137" s="96" t="str">
        <f>IF('Limestone Plant (LP-9)'!$E$4&gt;7,"Actual Storage Area (acres)","")</f>
        <v/>
      </c>
      <c r="I137" s="95" t="str">
        <f>IF('Limestone Plant (LP-9)'!$E$4&gt;7,"Actual Days in Existence (days)","")</f>
        <v/>
      </c>
    </row>
    <row r="138" spans="2:11" ht="14.25" customHeight="1" x14ac:dyDescent="0.2">
      <c r="B138" s="55"/>
      <c r="F138" s="77"/>
      <c r="G138" s="126"/>
      <c r="H138" s="78"/>
      <c r="I138" s="126"/>
    </row>
    <row r="139" spans="2:11" ht="44.25" customHeight="1" x14ac:dyDescent="0.2"/>
    <row r="141" spans="2:11" ht="28.5" customHeight="1" x14ac:dyDescent="0.25">
      <c r="B141" s="92" t="str">
        <f>IF('Limestone Plant (LP-9)'!$E$4&gt;8,"CRUSHER PLANT","")</f>
        <v/>
      </c>
      <c r="C141" s="84" t="str">
        <f>IF('Limestone Plant (LP-9)'!$E$4&gt;8,"Site 9","")</f>
        <v/>
      </c>
      <c r="E141" s="213" t="str">
        <f>IF('Limestone Plant (LP-9)'!$E$4&gt;8,"Emission Point #","")</f>
        <v/>
      </c>
      <c r="F141" s="213" t="str">
        <f>IF('Limestone Plant (LP-9)'!$E$4&gt;8,"Emission     Unit #","")</f>
        <v/>
      </c>
      <c r="G141" s="213" t="str">
        <f>IF('Limestone Plant (LP-9)'!$E$4&gt;8,"Processes","")</f>
        <v/>
      </c>
      <c r="H141" s="220" t="str">
        <f>IF('Limestone Plant (LP-9)'!$E$4&gt;8,"Combined Maximum Hourly Design Rate for all Like Processes (tons/hr)","")</f>
        <v/>
      </c>
      <c r="I141" s="213" t="str">
        <f>IF('Limestone Plant (LP-9)'!$E$4&gt;8,('Facility Information'!G5&amp;" Annual Throughput (tons)"),"")</f>
        <v/>
      </c>
    </row>
    <row r="142" spans="2:11" ht="14.25" customHeight="1" x14ac:dyDescent="0.2">
      <c r="B142" s="94" t="str">
        <f>IF('Limestone Plant (LP-9)'!$E$4&gt;8,"Site Name:","")</f>
        <v/>
      </c>
      <c r="C142" s="76"/>
      <c r="D142" s="55"/>
      <c r="E142" s="166" t="str">
        <f>IF(G142="","","LP-9 EP-1")</f>
        <v/>
      </c>
      <c r="F142" s="166" t="str">
        <f>IF(G142="","",IF(G142="primary crusher","LP-9 EU-1",IF(G142="screening","LP-9 EU-2",IF(G142="secondary crusher","LP-9 EU-3",IF(G142="tertiary crusher","LP-9 EU-4",IF(G142="fines crushing","LP-9 EU-5",IF(G142="fines screening","LP-9 EU-6",IF(G142="wet drilling: unfragmented stone","LP-9 EU-7",IF(G142="conveyor transfer points","LP-9 EU-8")))))))))</f>
        <v/>
      </c>
      <c r="G142" s="98"/>
      <c r="H142" s="167"/>
      <c r="I142" s="184"/>
      <c r="J142" s="81">
        <f t="shared" ref="J142:J149" si="40">IF($C$146="no",I142,0)</f>
        <v>0</v>
      </c>
      <c r="K142" s="81">
        <f t="shared" ref="K142:K149" si="41">IF($C$146="yes",I142,0)</f>
        <v>0</v>
      </c>
    </row>
    <row r="143" spans="2:11" ht="14.25" customHeight="1" x14ac:dyDescent="0.2">
      <c r="B143" s="94" t="str">
        <f>IF('Limestone Plant (LP-9)'!$E$4&gt;8,"County:","")</f>
        <v/>
      </c>
      <c r="C143" s="76"/>
      <c r="D143" s="55"/>
      <c r="E143" s="166" t="str">
        <f t="shared" ref="E143:E149" si="42">IF(G143="","","LP-9 EP-1")</f>
        <v/>
      </c>
      <c r="F143" s="166" t="str">
        <f t="shared" ref="F143:F149" si="43">IF(G143="","",IF(G143="primary crusher","LP-9 EU-1",IF(G143="screening","LP-9 EU-2",IF(G143="secondary crusher","LP-9 EU-3",IF(G143="tertiary crusher","LP-9 EU-4",IF(G143="fines crushing","LP-9 EU-5",IF(G143="fines screening","LP-9 EU-6",IF(G143="wet drilling: unfragmented stone","LP-9 EU-7",IF(G143="conveyor transfer points","LP-9 EU-8")))))))))</f>
        <v/>
      </c>
      <c r="G143" s="98"/>
      <c r="H143" s="167"/>
      <c r="I143" s="184"/>
      <c r="J143" s="81">
        <f t="shared" si="40"/>
        <v>0</v>
      </c>
      <c r="K143" s="81">
        <f t="shared" si="41"/>
        <v>0</v>
      </c>
    </row>
    <row r="144" spans="2:11" ht="14.25" customHeight="1" x14ac:dyDescent="0.2">
      <c r="B144" s="94" t="str">
        <f>IF('Limestone Plant (LP-9)'!$E$4&gt;8,"Crushing Period (Dates):","")</f>
        <v/>
      </c>
      <c r="C144" s="76"/>
      <c r="D144" s="55"/>
      <c r="E144" s="166" t="str">
        <f t="shared" si="42"/>
        <v/>
      </c>
      <c r="F144" s="166" t="str">
        <f t="shared" si="43"/>
        <v/>
      </c>
      <c r="G144" s="98"/>
      <c r="H144" s="167"/>
      <c r="I144" s="184"/>
      <c r="J144" s="81">
        <f t="shared" si="40"/>
        <v>0</v>
      </c>
      <c r="K144" s="81">
        <f t="shared" si="41"/>
        <v>0</v>
      </c>
    </row>
    <row r="145" spans="2:11" ht="14.25" customHeight="1" x14ac:dyDescent="0.2">
      <c r="B145" s="281" t="str">
        <f>IF('Limestone Plant (LP-9)'!$E$4&gt;8,"Controlled with Dust Suppressant or","")</f>
        <v/>
      </c>
      <c r="D145" s="55"/>
      <c r="E145" s="166" t="str">
        <f t="shared" si="42"/>
        <v/>
      </c>
      <c r="F145" s="166" t="str">
        <f t="shared" si="43"/>
        <v/>
      </c>
      <c r="G145" s="98"/>
      <c r="H145" s="167"/>
      <c r="I145" s="184"/>
      <c r="J145" s="81">
        <f t="shared" si="40"/>
        <v>0</v>
      </c>
      <c r="K145" s="81">
        <f t="shared" si="41"/>
        <v>0</v>
      </c>
    </row>
    <row r="146" spans="2:11" ht="14.25" customHeight="1" x14ac:dyDescent="0.2">
      <c r="B146" s="282" t="str">
        <f>IF('Limestone Plant (LP-9)'!$E$4&gt;8,"Material Being Processed has","")</f>
        <v/>
      </c>
      <c r="C146" s="280"/>
      <c r="D146" s="55"/>
      <c r="E146" s="166" t="str">
        <f t="shared" si="42"/>
        <v/>
      </c>
      <c r="F146" s="166" t="str">
        <f t="shared" si="43"/>
        <v/>
      </c>
      <c r="G146" s="98"/>
      <c r="H146" s="167"/>
      <c r="I146" s="184"/>
      <c r="J146" s="81">
        <f t="shared" si="40"/>
        <v>0</v>
      </c>
      <c r="K146" s="81">
        <f t="shared" si="41"/>
        <v>0</v>
      </c>
    </row>
    <row r="147" spans="2:11" ht="14.25" customHeight="1" x14ac:dyDescent="0.2">
      <c r="B147" s="284" t="str">
        <f>IF('Limestone Plant (LP-9)'!$E$4&gt;8,"Moisture Content &gt; 1.5%?","")</f>
        <v/>
      </c>
      <c r="C147" s="55"/>
      <c r="D147" s="55"/>
      <c r="E147" s="166" t="str">
        <f t="shared" si="42"/>
        <v/>
      </c>
      <c r="F147" s="166" t="str">
        <f t="shared" si="43"/>
        <v/>
      </c>
      <c r="G147" s="98"/>
      <c r="H147" s="167"/>
      <c r="I147" s="184"/>
      <c r="J147" s="81">
        <f t="shared" si="40"/>
        <v>0</v>
      </c>
      <c r="K147" s="81">
        <f t="shared" si="41"/>
        <v>0</v>
      </c>
    </row>
    <row r="148" spans="2:11" ht="14.25" customHeight="1" x14ac:dyDescent="0.2">
      <c r="B148" s="55"/>
      <c r="D148" s="55"/>
      <c r="E148" s="166" t="str">
        <f t="shared" si="42"/>
        <v/>
      </c>
      <c r="F148" s="166" t="str">
        <f t="shared" si="43"/>
        <v/>
      </c>
      <c r="G148" s="98"/>
      <c r="H148" s="167"/>
      <c r="I148" s="184"/>
      <c r="J148" s="81">
        <f t="shared" si="40"/>
        <v>0</v>
      </c>
      <c r="K148" s="81">
        <f t="shared" si="41"/>
        <v>0</v>
      </c>
    </row>
    <row r="149" spans="2:11" ht="14.25" customHeight="1" x14ac:dyDescent="0.2">
      <c r="B149" s="55"/>
      <c r="C149" s="55"/>
      <c r="D149" s="55"/>
      <c r="E149" s="166" t="str">
        <f t="shared" si="42"/>
        <v/>
      </c>
      <c r="F149" s="166" t="str">
        <f t="shared" si="43"/>
        <v/>
      </c>
      <c r="G149" s="98"/>
      <c r="H149" s="167"/>
      <c r="I149" s="184"/>
      <c r="J149" s="81">
        <f t="shared" si="40"/>
        <v>0</v>
      </c>
      <c r="K149" s="81">
        <f t="shared" si="41"/>
        <v>0</v>
      </c>
    </row>
    <row r="150" spans="2:11" ht="14.25" customHeight="1" x14ac:dyDescent="0.2">
      <c r="B150" s="55"/>
      <c r="D150" s="55"/>
      <c r="E150" s="55"/>
      <c r="F150" s="55"/>
    </row>
    <row r="151" spans="2:11" ht="14.25" customHeight="1" x14ac:dyDescent="0.2">
      <c r="B151" s="55"/>
      <c r="E151" s="88" t="str">
        <f>IF('Limestone Plant (LP-9)'!$E$4&gt;8,"Stock Pile Area","")</f>
        <v/>
      </c>
      <c r="F151" s="88"/>
      <c r="G151" s="89"/>
    </row>
    <row r="152" spans="2:11" ht="14.25" customHeight="1" x14ac:dyDescent="0.2">
      <c r="B152" s="55"/>
      <c r="D152" s="90"/>
      <c r="F152" s="60" t="str">
        <f>IF('Limestone Plant (LP-9)'!$E$4&gt;8,"Emission Unit #","")</f>
        <v/>
      </c>
      <c r="G152" s="95" t="str">
        <f>IF('Limestone Plant (LP-9)'!$E$4&gt;8,"Maximum Storage Area (acres)","")</f>
        <v/>
      </c>
      <c r="H152" s="96" t="str">
        <f>IF('Limestone Plant (LP-9)'!$E$4&gt;8,"Actual Storage Area (acres)","")</f>
        <v/>
      </c>
      <c r="I152" s="95" t="str">
        <f>IF('Limestone Plant (LP-9)'!$E$4&gt;8,"Actual Days in Existence (days)","")</f>
        <v/>
      </c>
    </row>
    <row r="153" spans="2:11" ht="14.25" customHeight="1" x14ac:dyDescent="0.2">
      <c r="B153" s="55"/>
      <c r="F153" s="77"/>
      <c r="G153" s="126"/>
      <c r="H153" s="78"/>
      <c r="I153" s="126"/>
    </row>
    <row r="156" spans="2:11" ht="27.75" customHeight="1" x14ac:dyDescent="0.25">
      <c r="B156" s="92" t="str">
        <f>IF('Limestone Plant (LP-9)'!$E$4&gt;9,"CRUSHER PLANT","")</f>
        <v/>
      </c>
      <c r="C156" s="84" t="str">
        <f>IF('Limestone Plant (LP-9)'!$E$4&gt;9,"Site 10","")</f>
        <v/>
      </c>
      <c r="E156" s="213" t="str">
        <f>IF('Limestone Plant (LP-9)'!$E$4&gt;9,"Emission Point #","")</f>
        <v/>
      </c>
      <c r="F156" s="213" t="str">
        <f>IF('Limestone Plant (LP-9)'!$E$4&gt;9,"Emission     Unit #","")</f>
        <v/>
      </c>
      <c r="G156" s="213" t="str">
        <f>IF('Limestone Plant (LP-9)'!$E$4&gt;9,"Processes","")</f>
        <v/>
      </c>
      <c r="H156" s="220" t="str">
        <f>IF('Limestone Plant (LP-9)'!$E$4&gt;9,"Combined Maximum Hourly Design Rate for all Like Processes (tons/hr)","")</f>
        <v/>
      </c>
      <c r="I156" s="213" t="str">
        <f>IF('Limestone Plant (LP-9)'!$E$4&gt;9,('Facility Information'!G5&amp;" Annual Throughput (tons)"),"")</f>
        <v/>
      </c>
    </row>
    <row r="157" spans="2:11" ht="14.25" customHeight="1" x14ac:dyDescent="0.2">
      <c r="B157" s="94" t="str">
        <f>IF('Limestone Plant (LP-9)'!$E$4&gt;9,"Site Name:","")</f>
        <v/>
      </c>
      <c r="C157" s="76"/>
      <c r="D157" s="55"/>
      <c r="E157" s="166" t="str">
        <f>IF(G157="","","LP-9 EP-1")</f>
        <v/>
      </c>
      <c r="F157" s="166" t="str">
        <f>IF(G157="","",IF(G157="primary crusher","LP-9 EU-1",IF(G157="screening","LP-9 EU-2",IF(G157="secondary crusher","LP-9 EU-3",IF(G157="tertiary crusher","LP-9 EU-4",IF(G157="fines crushing","LP-9 EU-5",IF(G157="fines screening","LP-9 EU-6",IF(G157="wet drilling: unfragmented stone","LP-9 EU-7",IF(G157="conveyor transfer points","LP-9 EU-8")))))))))</f>
        <v/>
      </c>
      <c r="G157" s="98"/>
      <c r="H157" s="167"/>
      <c r="I157" s="184"/>
      <c r="J157" s="81">
        <f>IF($C161="no",I157,0)</f>
        <v>0</v>
      </c>
      <c r="K157" s="81">
        <f>IF($C161="yes",I157,0)</f>
        <v>0</v>
      </c>
    </row>
    <row r="158" spans="2:11" ht="14.25" customHeight="1" x14ac:dyDescent="0.2">
      <c r="B158" s="94" t="str">
        <f>IF('Limestone Plant (LP-9)'!$E$4&gt;9,"County:","")</f>
        <v/>
      </c>
      <c r="C158" s="76"/>
      <c r="D158" s="55"/>
      <c r="E158" s="166" t="str">
        <f t="shared" ref="E158:E164" si="44">IF(G158="","","LP-9 EP-1")</f>
        <v/>
      </c>
      <c r="F158" s="166" t="str">
        <f t="shared" ref="F158:F164" si="45">IF(G158="","",IF(G158="primary crusher","LP-9 EU-1",IF(G158="screening","LP-9 EU-2",IF(G158="secondary crusher","LP-9 EU-3",IF(G158="tertiary crusher","LP-9 EU-4",IF(G158="fines crushing","LP-9 EU-5",IF(G158="fines screening","LP-9 EU-6",IF(G158="wet drilling: unfragmented stone","LP-9 EU-7",IF(G158="conveyor transfer points","LP-9 EU-8")))))))))</f>
        <v/>
      </c>
      <c r="G158" s="98"/>
      <c r="H158" s="167"/>
      <c r="I158" s="184"/>
      <c r="J158" s="81">
        <f t="shared" ref="J158:J165" si="46">IF($C162="no",I158,0)</f>
        <v>0</v>
      </c>
      <c r="K158" s="81">
        <f t="shared" ref="K158:K164" si="47">IF($C162="yes",I158,0)</f>
        <v>0</v>
      </c>
    </row>
    <row r="159" spans="2:11" ht="14.25" customHeight="1" x14ac:dyDescent="0.2">
      <c r="B159" s="94" t="str">
        <f>IF('Limestone Plant (LP-9)'!$E$4&gt;9,"Crushing Period (Dates):","")</f>
        <v/>
      </c>
      <c r="C159" s="76"/>
      <c r="D159" s="55"/>
      <c r="E159" s="166" t="str">
        <f t="shared" si="44"/>
        <v/>
      </c>
      <c r="F159" s="166" t="str">
        <f t="shared" si="45"/>
        <v/>
      </c>
      <c r="G159" s="98"/>
      <c r="H159" s="167"/>
      <c r="I159" s="184"/>
      <c r="J159" s="81">
        <f t="shared" si="46"/>
        <v>0</v>
      </c>
      <c r="K159" s="81">
        <f t="shared" si="47"/>
        <v>0</v>
      </c>
    </row>
    <row r="160" spans="2:11" ht="14.25" customHeight="1" x14ac:dyDescent="0.2">
      <c r="B160" s="281" t="str">
        <f>IF('Limestone Plant (LP-9)'!$E$4&gt;9,"Controlled with Dust Suppressant or","")</f>
        <v/>
      </c>
      <c r="D160" s="55"/>
      <c r="E160" s="166" t="str">
        <f t="shared" si="44"/>
        <v/>
      </c>
      <c r="F160" s="166" t="str">
        <f t="shared" si="45"/>
        <v/>
      </c>
      <c r="G160" s="98"/>
      <c r="H160" s="167"/>
      <c r="I160" s="184"/>
      <c r="J160" s="81">
        <f t="shared" si="46"/>
        <v>0</v>
      </c>
      <c r="K160" s="81">
        <f t="shared" si="47"/>
        <v>0</v>
      </c>
    </row>
    <row r="161" spans="2:11" ht="14.25" customHeight="1" x14ac:dyDescent="0.2">
      <c r="B161" s="282" t="str">
        <f>IF('Limestone Plant (LP-9)'!$E$4&gt;9,"Material Being Processed has","")</f>
        <v/>
      </c>
      <c r="C161" s="280"/>
      <c r="D161" s="55"/>
      <c r="E161" s="166" t="str">
        <f t="shared" si="44"/>
        <v/>
      </c>
      <c r="F161" s="166" t="str">
        <f t="shared" si="45"/>
        <v/>
      </c>
      <c r="G161" s="98"/>
      <c r="H161" s="167"/>
      <c r="I161" s="184"/>
      <c r="J161" s="81">
        <f t="shared" si="46"/>
        <v>0</v>
      </c>
      <c r="K161" s="81">
        <f t="shared" si="47"/>
        <v>0</v>
      </c>
    </row>
    <row r="162" spans="2:11" ht="14.25" customHeight="1" x14ac:dyDescent="0.2">
      <c r="B162" s="284" t="str">
        <f>IF('Limestone Plant (LP-9)'!$E$4&gt;9,"Moisture Content &gt; 1.5%?","")</f>
        <v/>
      </c>
      <c r="C162" s="55"/>
      <c r="D162" s="55"/>
      <c r="E162" s="166" t="str">
        <f t="shared" si="44"/>
        <v/>
      </c>
      <c r="F162" s="166" t="str">
        <f t="shared" si="45"/>
        <v/>
      </c>
      <c r="G162" s="98"/>
      <c r="H162" s="167"/>
      <c r="I162" s="184"/>
      <c r="J162" s="81">
        <f t="shared" si="46"/>
        <v>0</v>
      </c>
      <c r="K162" s="81">
        <f t="shared" si="47"/>
        <v>0</v>
      </c>
    </row>
    <row r="163" spans="2:11" ht="14.25" customHeight="1" x14ac:dyDescent="0.2">
      <c r="B163" s="55"/>
      <c r="D163" s="55"/>
      <c r="E163" s="166" t="str">
        <f t="shared" si="44"/>
        <v/>
      </c>
      <c r="F163" s="166" t="str">
        <f t="shared" si="45"/>
        <v/>
      </c>
      <c r="G163" s="98"/>
      <c r="H163" s="167"/>
      <c r="I163" s="184"/>
      <c r="J163" s="81">
        <f t="shared" si="46"/>
        <v>0</v>
      </c>
      <c r="K163" s="81">
        <f t="shared" si="47"/>
        <v>0</v>
      </c>
    </row>
    <row r="164" spans="2:11" ht="14.25" customHeight="1" x14ac:dyDescent="0.2">
      <c r="B164" s="55"/>
      <c r="C164" s="55"/>
      <c r="D164" s="55"/>
      <c r="E164" s="166" t="str">
        <f t="shared" si="44"/>
        <v/>
      </c>
      <c r="F164" s="166" t="str">
        <f t="shared" si="45"/>
        <v/>
      </c>
      <c r="G164" s="98"/>
      <c r="H164" s="167"/>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(LP-9)'!$E$4&gt;9,"Stock Pile Area","")</f>
        <v/>
      </c>
      <c r="F166" s="88"/>
      <c r="G166" s="89"/>
    </row>
    <row r="167" spans="2:11" ht="14.25" customHeight="1" x14ac:dyDescent="0.2">
      <c r="B167" s="55"/>
      <c r="D167" s="90"/>
      <c r="F167" s="60" t="str">
        <f>IF('Limestone Plant (LP-9)'!$E$4&gt;9,"Emission Unit #","")</f>
        <v/>
      </c>
      <c r="G167" s="95" t="str">
        <f>IF('Limestone Plant (LP-9)'!$E$4&gt;9,"Maximum Storage Area (acres)","")</f>
        <v/>
      </c>
      <c r="H167" s="96" t="str">
        <f>IF('Limestone Plant (LP-9)'!$E$4&gt;9,"Actual Storage Area (acres)","")</f>
        <v/>
      </c>
      <c r="I167" s="95" t="str">
        <f>IF('Limestone Plant (LP-9)'!$E$4&gt;9,"Actual Days in Existence (days)","")</f>
        <v/>
      </c>
    </row>
    <row r="168" spans="2:11" ht="14.25" customHeight="1" x14ac:dyDescent="0.2">
      <c r="F168" s="77"/>
      <c r="G168" s="126"/>
      <c r="H168" s="78"/>
      <c r="I168" s="126"/>
    </row>
  </sheetData>
  <sheetProtection algorithmName="SHA-512" hashValue="hMoCE8yWN3ucOysTKS4NOXCj/wNwLwDuVA08bDT0ntMvzIs5aa/tG/di7U1Maqb7SIacSiRFflLvLuqrXhVKTA==" saltValue="KPTXJ6gxV2BAVWCLBinajA==" spinCount="100000" sheet="1" objects="1" scenarios="1"/>
  <conditionalFormatting sqref="F46:I46 F107:I107 B157:B159 B142:B144 B127:B129 B112:B114 B97:B99 B82:B84 B67:B69 B52:B54 B36:B38">
    <cfRule type="notContainsBlanks" dxfId="198" priority="72" stopIfTrue="1">
      <formula>LEN(TRIM(B36))&gt;0</formula>
    </cfRule>
  </conditionalFormatting>
  <conditionalFormatting sqref="F46:I47 D46:D47 D35:I35 D44:I45 D36:D43 G36:I43 B43:C47 B42 C40:C41 B35:C38">
    <cfRule type="cellIs" dxfId="197" priority="69" stopIfTrue="1" operator="equal">
      <formula>$B$35="crusher plant"</formula>
    </cfRule>
  </conditionalFormatting>
  <conditionalFormatting sqref="C44 B35:C35">
    <cfRule type="notContainsBlanks" dxfId="196" priority="73" stopIfTrue="1">
      <formula>LEN(TRIM(B35))&gt;0</formula>
    </cfRule>
  </conditionalFormatting>
  <conditionalFormatting sqref="F62:I62">
    <cfRule type="notContainsBlanks" dxfId="195" priority="68" stopIfTrue="1">
      <formula>LEN(TRIM(F62))&gt;0</formula>
    </cfRule>
  </conditionalFormatting>
  <conditionalFormatting sqref="F62:I63 D62:D63 D51:I51 D60:I61 D52:D59 G52:I59 B59:C63 B58 C56:C57 B51:C54">
    <cfRule type="cellIs" dxfId="194" priority="65" stopIfTrue="1" operator="equal">
      <formula>$B$51="crusher plant"</formula>
    </cfRule>
  </conditionalFormatting>
  <conditionalFormatting sqref="C60 B51:C51">
    <cfRule type="notContainsBlanks" dxfId="193" priority="74" stopIfTrue="1">
      <formula>LEN(TRIM(B51))&gt;0</formula>
    </cfRule>
  </conditionalFormatting>
  <conditionalFormatting sqref="F77:I77">
    <cfRule type="notContainsBlanks" dxfId="192" priority="63" stopIfTrue="1">
      <formula>LEN(TRIM(F77))&gt;0</formula>
    </cfRule>
  </conditionalFormatting>
  <conditionalFormatting sqref="F77:I78 D77:D78 D66:I66 D75:I76 D67:D74 G67:I74 B74:C78 B73 C71:C72 B66:C69">
    <cfRule type="cellIs" dxfId="191" priority="60" stopIfTrue="1" operator="equal">
      <formula>$B$66="crusher plant"</formula>
    </cfRule>
  </conditionalFormatting>
  <conditionalFormatting sqref="C75 B66:C66">
    <cfRule type="notContainsBlanks" dxfId="190" priority="64" stopIfTrue="1">
      <formula>LEN(TRIM(B66))&gt;0</formula>
    </cfRule>
  </conditionalFormatting>
  <conditionalFormatting sqref="F92:I92">
    <cfRule type="notContainsBlanks" dxfId="189" priority="58" stopIfTrue="1">
      <formula>LEN(TRIM(F92))&gt;0</formula>
    </cfRule>
  </conditionalFormatting>
  <conditionalFormatting sqref="F92:I93 D92:D93 D81:I81 D90:I91 D82:D89 G82:I89 B89:C93 B88 C86:C87 B81:C84">
    <cfRule type="cellIs" dxfId="188" priority="55" stopIfTrue="1" operator="equal">
      <formula>$B$81="crusher plant"</formula>
    </cfRule>
  </conditionalFormatting>
  <conditionalFormatting sqref="C90 B81:C81">
    <cfRule type="notContainsBlanks" dxfId="187" priority="59" stopIfTrue="1">
      <formula>LEN(TRIM(B81))&gt;0</formula>
    </cfRule>
  </conditionalFormatting>
  <conditionalFormatting sqref="F107:F108 G106:I108 D107:D108 D106:E106 D96:I96 D105:I105 D97:D104 G97:I104 B104:C108 B103 C101:C102 B96:C99">
    <cfRule type="cellIs" dxfId="186" priority="50" stopIfTrue="1" operator="equal">
      <formula>$B$96="crusher plant"</formula>
    </cfRule>
  </conditionalFormatting>
  <conditionalFormatting sqref="C105 B96:C96">
    <cfRule type="notContainsBlanks" dxfId="185" priority="54" stopIfTrue="1">
      <formula>LEN(TRIM(B96))&gt;0</formula>
    </cfRule>
  </conditionalFormatting>
  <conditionalFormatting sqref="F122:I122">
    <cfRule type="notContainsBlanks" dxfId="184" priority="48" stopIfTrue="1">
      <formula>LEN(TRIM(F122))&gt;0</formula>
    </cfRule>
  </conditionalFormatting>
  <conditionalFormatting sqref="F122:I123 D122:D123 D111:I111 D120:I121 D112:D119 G112:I119 B119:C123 B118 C116:C117 B111:C114">
    <cfRule type="cellIs" dxfId="183" priority="45" stopIfTrue="1" operator="equal">
      <formula>$B$111="crusher plant"</formula>
    </cfRule>
  </conditionalFormatting>
  <conditionalFormatting sqref="C120 B111:C111">
    <cfRule type="notContainsBlanks" dxfId="182" priority="49" stopIfTrue="1">
      <formula>LEN(TRIM(B111))&gt;0</formula>
    </cfRule>
  </conditionalFormatting>
  <conditionalFormatting sqref="F137:I137">
    <cfRule type="notContainsBlanks" dxfId="181" priority="43" stopIfTrue="1">
      <formula>LEN(TRIM(F137))&gt;0</formula>
    </cfRule>
  </conditionalFormatting>
  <conditionalFormatting sqref="F137:I138 D137:D138 D126:I126 D135:I136 D127:D134 G127:I134 B134:C138 B133 C131:C132 B126:C129">
    <cfRule type="cellIs" dxfId="180" priority="40" stopIfTrue="1" operator="equal">
      <formula>$B$126="crusher plant"</formula>
    </cfRule>
  </conditionalFormatting>
  <conditionalFormatting sqref="C135 B126:C126">
    <cfRule type="notContainsBlanks" dxfId="179" priority="44" stopIfTrue="1">
      <formula>LEN(TRIM(B126))&gt;0</formula>
    </cfRule>
  </conditionalFormatting>
  <conditionalFormatting sqref="F152:I152">
    <cfRule type="notContainsBlanks" dxfId="178" priority="38" stopIfTrue="1">
      <formula>LEN(TRIM(F152))&gt;0</formula>
    </cfRule>
  </conditionalFormatting>
  <conditionalFormatting sqref="F152:I153 D152:D153 D141:I141 D150:I151 D142:D149 G142:I149 B149:C153 B148 C146:C147 B141:C144">
    <cfRule type="cellIs" dxfId="177" priority="35" stopIfTrue="1" operator="equal">
      <formula>$B$141="crusher plant"</formula>
    </cfRule>
  </conditionalFormatting>
  <conditionalFormatting sqref="C150 B141:C141">
    <cfRule type="notContainsBlanks" dxfId="176" priority="39" stopIfTrue="1">
      <formula>LEN(TRIM(B141))&gt;0</formula>
    </cfRule>
  </conditionalFormatting>
  <conditionalFormatting sqref="F167:I167">
    <cfRule type="notContainsBlanks" dxfId="175" priority="33" stopIfTrue="1">
      <formula>LEN(TRIM(F167))&gt;0</formula>
    </cfRule>
  </conditionalFormatting>
  <conditionalFormatting sqref="F167:I168 D167:D168 D156:I156 D165:I166 D157:D164 G157:I164 B164:C167 B163 C161:C162 B156:C159">
    <cfRule type="cellIs" dxfId="174" priority="30" stopIfTrue="1" operator="equal">
      <formula>$B$156="crusher plant"</formula>
    </cfRule>
  </conditionalFormatting>
  <conditionalFormatting sqref="C165 B156:C156">
    <cfRule type="notContainsBlanks" dxfId="173" priority="34" stopIfTrue="1">
      <formula>LEN(TRIM(B156))&gt;0</formula>
    </cfRule>
  </conditionalFormatting>
  <conditionalFormatting sqref="E36:E43">
    <cfRule type="expression" dxfId="172" priority="28">
      <formula>$B$35="crusher plant"</formula>
    </cfRule>
  </conditionalFormatting>
  <conditionalFormatting sqref="E52:E59">
    <cfRule type="expression" dxfId="171" priority="27">
      <formula>$B$51="crusher plant"</formula>
    </cfRule>
  </conditionalFormatting>
  <conditionalFormatting sqref="E67:E74">
    <cfRule type="expression" dxfId="170" priority="26">
      <formula>$B$66="crusher plant"</formula>
    </cfRule>
  </conditionalFormatting>
  <conditionalFormatting sqref="E82:E89">
    <cfRule type="expression" dxfId="169" priority="25">
      <formula>$B$81="crusher plant"</formula>
    </cfRule>
  </conditionalFormatting>
  <conditionalFormatting sqref="E97:E104">
    <cfRule type="expression" dxfId="168" priority="24">
      <formula>$B$96="crusher plant"</formula>
    </cfRule>
  </conditionalFormatting>
  <conditionalFormatting sqref="E112:E119">
    <cfRule type="expression" dxfId="167" priority="23">
      <formula>$B$111="crusher plant"</formula>
    </cfRule>
  </conditionalFormatting>
  <conditionalFormatting sqref="E127:E134">
    <cfRule type="expression" dxfId="166" priority="22">
      <formula>$B$126="crusher plant"</formula>
    </cfRule>
  </conditionalFormatting>
  <conditionalFormatting sqref="E142:E149">
    <cfRule type="expression" dxfId="165" priority="21">
      <formula>$B$141="crusher plant"</formula>
    </cfRule>
  </conditionalFormatting>
  <conditionalFormatting sqref="E157:E164">
    <cfRule type="expression" dxfId="164" priority="20">
      <formula>$B$156="crusher plant"</formula>
    </cfRule>
  </conditionalFormatting>
  <conditionalFormatting sqref="F21:F28">
    <cfRule type="notContainsBlanks" dxfId="163" priority="19">
      <formula>LEN(TRIM(F21))&gt;0</formula>
    </cfRule>
  </conditionalFormatting>
  <conditionalFormatting sqref="F36:F43">
    <cfRule type="expression" dxfId="162" priority="18">
      <formula>$B$35="crusher plant"</formula>
    </cfRule>
  </conditionalFormatting>
  <conditionalFormatting sqref="F52:F59">
    <cfRule type="expression" dxfId="161" priority="17">
      <formula>$B$51="crusher plant"</formula>
    </cfRule>
  </conditionalFormatting>
  <conditionalFormatting sqref="F67:F74">
    <cfRule type="expression" dxfId="160" priority="16">
      <formula>$B$66="crusher plant"</formula>
    </cfRule>
  </conditionalFormatting>
  <conditionalFormatting sqref="F82:F89">
    <cfRule type="expression" dxfId="159" priority="15">
      <formula>$B$81="crusher plant"</formula>
    </cfRule>
  </conditionalFormatting>
  <conditionalFormatting sqref="F97:F104">
    <cfRule type="expression" dxfId="158" priority="14">
      <formula>$B$96="crusher plant"</formula>
    </cfRule>
  </conditionalFormatting>
  <conditionalFormatting sqref="F112:F119">
    <cfRule type="expression" dxfId="157" priority="13">
      <formula>$B$111="crusher plant"</formula>
    </cfRule>
  </conditionalFormatting>
  <conditionalFormatting sqref="F127:F134">
    <cfRule type="expression" dxfId="156" priority="12">
      <formula>$B$126="crusher plant"</formula>
    </cfRule>
  </conditionalFormatting>
  <conditionalFormatting sqref="F142:F149">
    <cfRule type="expression" dxfId="155" priority="11">
      <formula>$B$141="crusher plant"</formula>
    </cfRule>
  </conditionalFormatting>
  <conditionalFormatting sqref="F157:F164">
    <cfRule type="expression" dxfId="154" priority="10">
      <formula>$B$156="crusher plant"</formula>
    </cfRule>
  </conditionalFormatting>
  <conditionalFormatting sqref="B39:B41">
    <cfRule type="cellIs" dxfId="153" priority="9" stopIfTrue="1" operator="equal">
      <formula>$B$35="crusher plant"</formula>
    </cfRule>
  </conditionalFormatting>
  <conditionalFormatting sqref="B55:B57">
    <cfRule type="cellIs" dxfId="152" priority="8" stopIfTrue="1" operator="equal">
      <formula>$B$35="crusher plant"</formula>
    </cfRule>
  </conditionalFormatting>
  <conditionalFormatting sqref="B70:B72">
    <cfRule type="cellIs" dxfId="151" priority="7" stopIfTrue="1" operator="equal">
      <formula>$B$35="crusher plant"</formula>
    </cfRule>
  </conditionalFormatting>
  <conditionalFormatting sqref="B85:B87">
    <cfRule type="cellIs" dxfId="150" priority="6" stopIfTrue="1" operator="equal">
      <formula>$B$35="crusher plant"</formula>
    </cfRule>
  </conditionalFormatting>
  <conditionalFormatting sqref="B100:B102">
    <cfRule type="cellIs" dxfId="149" priority="5" stopIfTrue="1" operator="equal">
      <formula>$B$35="crusher plant"</formula>
    </cfRule>
  </conditionalFormatting>
  <conditionalFormatting sqref="B115:B117">
    <cfRule type="cellIs" dxfId="148" priority="4" stopIfTrue="1" operator="equal">
      <formula>$B$35="crusher plant"</formula>
    </cfRule>
  </conditionalFormatting>
  <conditionalFormatting sqref="B130:B132">
    <cfRule type="cellIs" dxfId="147" priority="3" stopIfTrue="1" operator="equal">
      <formula>$B$35="crusher plant"</formula>
    </cfRule>
  </conditionalFormatting>
  <conditionalFormatting sqref="B145:B147">
    <cfRule type="cellIs" dxfId="146" priority="2" stopIfTrue="1" operator="equal">
      <formula>$B$35="crusher plant"</formula>
    </cfRule>
  </conditionalFormatting>
  <conditionalFormatting sqref="B160:B162">
    <cfRule type="cellIs" dxfId="145" priority="1" stopIfTrue="1" operator="equal">
      <formula>$B$35="crusher plant"</formula>
    </cfRule>
  </conditionalFormatting>
  <dataValidations count="3">
    <dataValidation type="whole" allowBlank="1" showInputMessage="1" showErrorMessage="1" sqref="C18 E4 D5" xr:uid="{00000000-0002-0000-0900-000000000000}">
      <formula1>0</formula1>
      <formula2>100</formula2>
    </dataValidation>
    <dataValidation type="list" allowBlank="1" showInputMessage="1" showErrorMessage="1" sqref="G21:G28 G36:G43 G52:G59 G67:G74 G82:G89 G97:G104 G112:G119 G127:G134 G142:G149 G157:G164" xr:uid="{00000000-0002-0000-0900-000001000000}">
      <formula1>process</formula1>
    </dataValidation>
    <dataValidation type="list" allowBlank="1" showInputMessage="1" showErrorMessage="1" sqref="C25 C40 C56 C71 C86 C101 C116 C131 C146 C161" xr:uid="{00000000-0002-0000-0900-000002000000}">
      <formula1>CHECK</formula1>
    </dataValidation>
  </dataValidations>
  <pageMargins left="0.7" right="0.7" top="0.75" bottom="0.75" header="0.3" footer="0.3"/>
  <pageSetup scale="70" fitToHeight="0" orientation="landscape"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S168"/>
  <sheetViews>
    <sheetView topLeftCell="B1" workbookViewId="0">
      <selection activeCell="B1" sqref="B1"/>
    </sheetView>
  </sheetViews>
  <sheetFormatPr defaultColWidth="8.85546875" defaultRowHeight="14.25" customHeight="1" x14ac:dyDescent="0.2"/>
  <cols>
    <col min="1" max="1" width="24" style="80" hidden="1" customWidth="1"/>
    <col min="2" max="2" width="30.85546875" style="80" customWidth="1"/>
    <col min="3" max="3" width="24.85546875" style="80" customWidth="1"/>
    <col min="4" max="4" width="2.85546875" style="80" customWidth="1"/>
    <col min="5" max="6" width="13.85546875" style="80" customWidth="1"/>
    <col min="7" max="7" width="26.85546875" style="80" customWidth="1"/>
    <col min="8" max="8" width="33.7109375" style="80" customWidth="1"/>
    <col min="9" max="9" width="29.5703125" style="80" customWidth="1"/>
    <col min="10" max="10" width="11.42578125" style="81" hidden="1" customWidth="1"/>
    <col min="11" max="11" width="14" style="81" hidden="1" customWidth="1"/>
    <col min="12" max="12" width="7" style="80" customWidth="1"/>
    <col min="13" max="13" width="26.85546875" style="80" customWidth="1"/>
    <col min="14" max="14" width="17.7109375" style="80" customWidth="1"/>
    <col min="15" max="15" width="20.42578125" style="80" customWidth="1"/>
    <col min="16" max="16" width="20.42578125" style="80" hidden="1" customWidth="1"/>
    <col min="17" max="17" width="16.5703125" style="80" hidden="1" customWidth="1"/>
    <col min="18" max="18" width="16.42578125" style="80" hidden="1" customWidth="1"/>
    <col min="19" max="19" width="20.85546875" style="80" customWidth="1"/>
    <col min="20" max="16384" width="8.85546875" style="80"/>
  </cols>
  <sheetData>
    <row r="1" spans="2:19" ht="14.25" customHeight="1" x14ac:dyDescent="0.2">
      <c r="B1" s="277" t="s">
        <v>154</v>
      </c>
      <c r="C1" s="277"/>
    </row>
    <row r="2" spans="2:19" ht="14.25" customHeight="1" x14ac:dyDescent="0.25">
      <c r="B2" s="278" t="s">
        <v>32</v>
      </c>
      <c r="C2" s="278"/>
      <c r="G2" s="39"/>
      <c r="I2" s="214" t="s">
        <v>135</v>
      </c>
      <c r="M2" s="81" t="s">
        <v>189</v>
      </c>
      <c r="N2" s="81"/>
      <c r="O2" s="81"/>
      <c r="P2" s="81"/>
    </row>
    <row r="3" spans="2:19" ht="14.25" customHeight="1" x14ac:dyDescent="0.2">
      <c r="N3" s="215" t="s">
        <v>295</v>
      </c>
      <c r="O3" s="215" t="s">
        <v>297</v>
      </c>
      <c r="S3" s="215" t="s">
        <v>299</v>
      </c>
    </row>
    <row r="4" spans="2:19" ht="14.25" customHeight="1" x14ac:dyDescent="0.2">
      <c r="B4" s="253" t="str">
        <f>"Number of Sites this Plant operated at in "&amp;'Facility Information'!G5&amp;":"</f>
        <v>Number of Sites this Plant operated at in :</v>
      </c>
      <c r="C4" s="254"/>
      <c r="E4" s="219"/>
      <c r="F4" s="164"/>
      <c r="M4" s="221" t="s">
        <v>0</v>
      </c>
      <c r="N4" s="215" t="s">
        <v>296</v>
      </c>
      <c r="O4" s="215" t="s">
        <v>298</v>
      </c>
      <c r="Q4" s="198" t="s">
        <v>187</v>
      </c>
      <c r="R4" s="198"/>
      <c r="S4" s="215" t="s">
        <v>298</v>
      </c>
    </row>
    <row r="5" spans="2:19" ht="14.25" customHeight="1" x14ac:dyDescent="0.2">
      <c r="B5" s="101"/>
      <c r="C5" s="101"/>
      <c r="D5" s="125"/>
      <c r="E5" s="125"/>
      <c r="F5" s="163"/>
      <c r="M5" s="109" t="s">
        <v>38</v>
      </c>
      <c r="N5" s="136">
        <f ca="1">MAX((IFERROR(OFFSET($G$20,MATCH("primary crusher",$G$21:$G$28,0),1),0)),((IFERROR((OFFSET($G$35,MATCH("primary crusher",$G$36:$G$43,0),1)),0))),((IFERROR((OFFSET(G50,MATCH("primary crusher",$G$51:$G$58,0),1)),0))),((IFERROR((OFFSET(G66,MATCH("primary crusher",$G$67:$G$74,0),1)),0))),((IFERROR((OFFSET(G81,MATCH("primary crusher",$G$82:$G$89,0),1)),0))),((IFERROR((OFFSET(G96,MATCH("primary crusher",$G$97:$G$104,0),1)),0))),((IFERROR((OFFSET(G111,MATCH("primary crusher",$G$112:$G$119,0),1)),0))),((IFERROR((OFFSET(G126,MATCH("primary crusher",$G$127:$G$134,0),1)),0))),((IFERROR((OFFSET(G141,MATCH("primary crusher",$G$142:$G$149,0),1)),0))),((IFERROR((OFFSET($G$156,MATCH("primary crusher",$G$157:$G$164,0),1)),0))))</f>
        <v>0</v>
      </c>
      <c r="O5" s="136">
        <f ca="1">SUM((IFERROR(OFFSET($G$20,MATCH("primary crusher",$G$21:$G$28,0),3),0)),((IFERROR((OFFSET($G$35,MATCH("primary crusher",$G$36:$G$43,0),3)),0))),((IFERROR((OFFSET(G50,MATCH("primary crusher",$G$51:$G$58,0),3)),0))),((IFERROR((OFFSET(G66,MATCH("primary crusher",$G$67:$G$74,0),3)),0))),((IFERROR((OFFSET(G81,MATCH("primary crusher",$G$82:$G$89,0),3)),0))),((IFERROR((OFFSET(G96,MATCH("primary crusher",$G$97:$G$104,0),3)),0))),((IFERROR((OFFSET(G111,MATCH("primary crusher",$G$112:$G$119,0),3)),0))),((IFERROR((OFFSET(G126,MATCH("primary crusher",$G$127:$G$134,0),3)),0))),((IFERROR((OFFSET(G141,MATCH("primary crusher",$G$142:$G$149,0),3)),0))),((IFERROR((OFFSET($G$156,MATCH("primary crusher",$G$157:$G$164,0),3)),0))))</f>
        <v>0</v>
      </c>
      <c r="Q5" s="198"/>
      <c r="R5" s="198"/>
      <c r="S5" s="136">
        <f ca="1">SUM((IFERROR(OFFSET($G$20,MATCH("primary crusher",$G$21:$G$28,0),4),0)),((IFERROR((OFFSET($G$35,MATCH("primary crusher",$G$36:$G$43,0),4)),0))),((IFERROR((OFFSET(G50,MATCH("primary crusher",$G$51:$G$58,0),4)),0))),((IFERROR((OFFSET(G66,MATCH("primary crusher",$G$67:$G$74,0),4)),0))),((IFERROR((OFFSET(G81,MATCH("primary crusher",$G$82:$G$89,0),4)),0))),((IFERROR((OFFSET(G96,MATCH("primary crusher",$G$97:$G$104,0),4)),0))),((IFERROR((OFFSET(G111,MATCH("primary crusher",$G$112:$G$119,0),4)),0))),((IFERROR((OFFSET(G126,MATCH("primary crusher",$G$127:$G$134,0),4)),0))),((IFERROR((OFFSET(G141,MATCH("primary crusher",$G$142:$G$149,0),4)),0))),((IFERROR((OFFSET($G$156,MATCH("primary crusher",$G$157:$G$164,0),4)),0))))</f>
        <v>0</v>
      </c>
    </row>
    <row r="6" spans="2:19" ht="14.25" customHeight="1" x14ac:dyDescent="0.2">
      <c r="B6" s="79" t="s">
        <v>155</v>
      </c>
      <c r="C6" s="126"/>
      <c r="D6" s="55"/>
      <c r="E6" s="55"/>
      <c r="F6" s="55"/>
      <c r="G6" s="55"/>
      <c r="H6" s="55"/>
      <c r="I6" s="55"/>
      <c r="M6" s="109" t="s">
        <v>36</v>
      </c>
      <c r="N6" s="136">
        <f ca="1">MAX((IFERROR(OFFSET($G$20,MATCH("Screening",$G$21:$G$28,0),1),0)),((IFERROR((OFFSET($G$35,MATCH("Screening",$G$36:$G$43,0),1)),0))),((IFERROR((OFFSET(G50,MATCH("Screening",$G$51:$G$58,0),1)),0))),((IFERROR((OFFSET(G66,MATCH("Screening",$G$67:$G$74,0),1)),0))),((IFERROR((OFFSET(G81,MATCH("Screening",$G$82:$G$89,0),1)),0))),((IFERROR((OFFSET(G96,MATCH("Screening",$G$97:$G$104,0),1)),0))),((IFERROR((OFFSET(G111,MATCH("Screening",$G$112:$G$119,0),1)),0))),((IFERROR((OFFSET(G126,MATCH("Screening",$G$127:$G$134,0),1)),0))),((IFERROR((OFFSET(G141,MATCH("Screening",$G$142:$G$149,0),1)),0))),((IFERROR((OFFSET($G$156,MATCH("Screening",$G$157:$G$164,0),1)),0))))</f>
        <v>0</v>
      </c>
      <c r="O6" s="136">
        <f ca="1">SUM((IFERROR(OFFSET($G$20,MATCH("Screening",$G$21:$G$28,0),3),0)),((IFERROR((OFFSET($G$35,MATCH("Screening",$G$36:$G$43,0),3)),0))),((IFERROR((OFFSET(G50,MATCH("Screening",$G$51:$G$58,0),3)),0))),((IFERROR((OFFSET(G66,MATCH("Screening",$G$67:$G$74,0),3)),0))),((IFERROR((OFFSET(G81,MATCH("Screening",$G$82:$G$89,0),3)),0))),((IFERROR((OFFSET(G96,MATCH("Screening",$G$97:$G$104,0),3)),0))),((IFERROR((OFFSET(G111,MATCH("Screening",$G$112:$G$119,0),3)),0))),((IFERROR((OFFSET(G126,MATCH("Screening",$G$127:$G$134,0),3)),0))),((IFERROR((OFFSET(G141,MATCH("Screening",$G$142:$G$149,0),3)),0))),((IFERROR((OFFSET($G$156,MATCH("Screening",$G$157:$G$164,0),3)),0))))</f>
        <v>0</v>
      </c>
      <c r="S6" s="136">
        <f ca="1">SUM((IFERROR(OFFSET($G$20,MATCH("Screening",$G$21:$G$28,0),4),0)),((IFERROR((OFFSET($G$35,MATCH("Screening",$G$36:$G$43,0),4)),0))),((IFERROR((OFFSET(G50,MATCH("Screening",$G$51:$G$58,0),4)),0))),((IFERROR((OFFSET(G66,MATCH("Screening",$G$67:$G$74,0),4)),0))),((IFERROR((OFFSET(G81,MATCH("Screening",$G$82:$G$89,0),4)),0))),((IFERROR((OFFSET(G96,MATCH("Screening",$G$97:$G$104,0),4)),0))),((IFERROR((OFFSET(G111,MATCH("Screening",$G$112:$G$119,0),4)),0))),((IFERROR((OFFSET(G126,MATCH("Screening",$G$127:$G$134,0),4)),0))),((IFERROR((OFFSET(G141,MATCH("Screening",$G$142:$G$149,0),4)),0))),((IFERROR((OFFSET($G$156,MATCH("Screening",$G$157:$G$164,0),4)),0))))</f>
        <v>0</v>
      </c>
    </row>
    <row r="7" spans="2:19" ht="14.25" customHeight="1" x14ac:dyDescent="0.2">
      <c r="B7" s="61"/>
      <c r="C7" s="59"/>
      <c r="D7" s="55"/>
      <c r="E7" s="55"/>
      <c r="F7" s="55"/>
      <c r="G7" s="55"/>
      <c r="H7" s="55"/>
      <c r="I7" s="55"/>
      <c r="M7" s="109" t="s">
        <v>37</v>
      </c>
      <c r="N7" s="136">
        <f ca="1">MAX((IFERROR(OFFSET($G$20,MATCH("Secondary Crusher",$G$21:$G$28,0),1),0)),((IFERROR((OFFSET($G$35,MATCH("Secondary Crusher",$G$36:$G$43,0),1)),0))),((IFERROR((OFFSET(G50,MATCH("Secondary Crusher",$G$51:$G$58,0),1)),0))),((IFERROR((OFFSET(G66,MATCH("Secondary Crusher",$G$67:$G$74,0),1)),0))),((IFERROR((OFFSET(G81,MATCH("Secondary Crusher",$G$82:$G$89,0),1)),0))),((IFERROR((OFFSET(G96,MATCH("Secondary Crusher",$G$97:$G$104,0),1)),0))),((IFERROR((OFFSET(G111,MATCH("Secondary Crusher",$G$112:$G$119,0),1)),0))),((IFERROR((OFFSET(G126,MATCH("Secondary Crusher",$G$127:$G$134,0),1)),0))),((IFERROR((OFFSET(G141,MATCH("Secondary Crusher",$G$142:$G$149,0),1)),0))),((IFERROR((OFFSET($G$156,MATCH("Secondary Crusher",$G$157:$G$164,0),1)),0))))</f>
        <v>0</v>
      </c>
      <c r="O7" s="136">
        <f ca="1">SUM((IFERROR(OFFSET($G$20,MATCH("Secondary Crusher",$G$21:$G$28,0),3),0)),((IFERROR((OFFSET($G$35,MATCH("Secondary Crusher",$G$36:$G$43,0),3)),0))),((IFERROR((OFFSET(G50,MATCH("Secondary Crusher",$G$51:$G$58,0),3)),0))),((IFERROR((OFFSET(G66,MATCH("Secondary Crusher",$G$67:$G$74,0),3)),0))),((IFERROR((OFFSET(G81,MATCH("Secondary Crusher",$G$82:$G$89,0),3)),0))),((IFERROR((OFFSET(G96,MATCH("Secondary Crusher",$G$97:$G$104,0),3)),0))),((IFERROR((OFFSET(G111,MATCH("Secondary Crusher",$G$112:$G$119,0),3)),0))),((IFERROR((OFFSET(G126,MATCH("Secondary Crusher",$G$127:$G$134,0),3)),0))),((IFERROR((OFFSET(G141,MATCH("Secondary Crusher",$G$142:$G$149,0),3)),0))),((IFERROR((OFFSET($G$156,MATCH("Secondary Crusher",$G$157:$G$164,0),3)),0))))</f>
        <v>0</v>
      </c>
      <c r="S7" s="136">
        <f ca="1">SUM((IFERROR(OFFSET($G$20,MATCH("Secondary Crusher",$G$21:$G$28,0),4),0)),((IFERROR((OFFSET($G$35,MATCH("Secondary Crusher",$G$36:$G$43,0),4)),0))),((IFERROR((OFFSET(G50,MATCH("Secondary Crusher",$G$51:$G$58,0),4)),0))),((IFERROR((OFFSET(G66,MATCH("Secondary Crusher",$G$67:$G$74,0),4)),0))),((IFERROR((OFFSET(G81,MATCH("Secondary Crusher",$G$82:$G$89,0),4)),0))),((IFERROR((OFFSET(G96,MATCH("Secondary Crusher",$G$97:$G$104,0),4)),0))),((IFERROR((OFFSET(G111,MATCH("Secondary Crusher",$G$112:$G$119,0),4)),0))),((IFERROR((OFFSET(G126,MATCH("Secondary Crusher",$G$127:$G$134,0),4)),0))),((IFERROR((OFFSET(G141,MATCH("Secondary Crusher",$G$142:$G$149,0),4)),0))),((IFERROR((OFFSET($G$156,MATCH("Secondary Crusher",$G$157:$G$164,0),4)),0))))</f>
        <v>0</v>
      </c>
    </row>
    <row r="8" spans="2:19" ht="14.25" customHeight="1" x14ac:dyDescent="0.2">
      <c r="B8" s="61" t="s">
        <v>141</v>
      </c>
      <c r="C8" s="55"/>
      <c r="D8" s="59"/>
      <c r="E8" s="66" t="s">
        <v>142</v>
      </c>
      <c r="F8" s="66"/>
      <c r="G8" s="59"/>
      <c r="H8" s="59"/>
      <c r="M8" s="109" t="s">
        <v>39</v>
      </c>
      <c r="N8" s="136">
        <f ca="1">MAX((IFERROR(OFFSET($G$20,MATCH("Tertiary Crusher",$G$21:$G$28,0),1),0)),((IFERROR((OFFSET($G$35,MATCH("Tertiary Crusher",$G$36:$G$43,0),1)),0))),((IFERROR((OFFSET(G50,MATCH("Tertiary Crusher",$G$51:$G$58,0),1)),0))),((IFERROR((OFFSET(G66,MATCH("Tertiary Crusher",$G$67:$G$74,0),1)),0))),((IFERROR((OFFSET(G81,MATCH("Tertiary Crusher",$G$82:$G$89,0),1)),0))),((IFERROR((OFFSET(G96,MATCH("Tertiary Crusher",$G$97:$G$104,0),1)),0))),((IFERROR((OFFSET(G111,MATCH("Tertiary Crusher",$G$112:$G$119,0),1)),0))),((IFERROR((OFFSET(G126,MATCH("Tertiary Crusher",$G$127:$G$134,0),1)),0))),((IFERROR((OFFSET(G141,MATCH("Tertiary Crusher",$G$142:$G$149,0),1)),0))),((IFERROR((OFFSET($G$156,MATCH("Tertiary Crusher",$G$157:$G$164,0),1)),0))))</f>
        <v>0</v>
      </c>
      <c r="O8" s="136">
        <f ca="1">SUM((IFERROR(OFFSET($G$20,MATCH("Tertiary Crusher",$G$21:$G$28,0),3),0)),((IFERROR((OFFSET($G$35,MATCH("Tertiary Crusher",$G$36:$G$43,0),3)),0))),((IFERROR((OFFSET(G50,MATCH("Tertiary Crusher",$G$51:$G$58,0),3)),0))),((IFERROR((OFFSET(G66,MATCH("Tertiary Crusher",$G$67:$G$74,0),3)),0))),((IFERROR((OFFSET(G81,MATCH("Tertiary Crusher",$G$82:$G$89,0),3)),0))),((IFERROR((OFFSET(G96,MATCH("Tertiary Crusher",$G$97:$G$104,0),3)),0))),((IFERROR((OFFSET(G111,MATCH("Tertiary Crusher",$G$112:$G$119,0),3)),0))),((IFERROR((OFFSET(G126,MATCH("Tertiary Crusher",$G$127:$G$134,0),3)),0))),((IFERROR((OFFSET(G141,MATCH("Tertiary Crusher",$G$142:$G$149,0),3)),0))),((IFERROR((OFFSET($G$156,MATCH("Tertiary Crusher",$G$157:$G$164,0),3)),0))))</f>
        <v>0</v>
      </c>
      <c r="S8" s="136">
        <f ca="1">SUM((IFERROR(OFFSET($G$20,MATCH("Tertiary Crusher",$G$21:$G$28,0),4),0)),((IFERROR((OFFSET($G$35,MATCH("Tertiary Crusher",$G$36:$G$43,0),4)),0))),((IFERROR((OFFSET(G50,MATCH("Tertiary Crusher",$G$51:$G$58,0),4)),0))),((IFERROR((OFFSET(G66,MATCH("Tertiary Crusher",$G$67:$G$74,0),4)),0))),((IFERROR((OFFSET(G81,MATCH("Tertiary Crusher",$G$82:$G$89,0),4)),0))),((IFERROR((OFFSET(G96,MATCH("Tertiary Crusher",$G$97:$G$104,0),4)),0))),((IFERROR((OFFSET(G111,MATCH("Tertiary Crusher",$G$112:$G$119,0),4)),0))),((IFERROR((OFFSET(G126,MATCH("Tertiary Crusher",$G$127:$G$134,0),4)),0))),((IFERROR((OFFSET(G141,MATCH("Tertiary Crusher",$G$142:$G$149,0),4)),0))),((IFERROR((OFFSET($G$156,MATCH("Tertiary Crusher",$G$157:$G$164,0),4)),0))))</f>
        <v>0</v>
      </c>
    </row>
    <row r="9" spans="2:19" ht="14.25" customHeight="1" x14ac:dyDescent="0.2">
      <c r="B9" s="102" t="s">
        <v>137</v>
      </c>
      <c r="C9" s="130"/>
      <c r="E9" s="67" t="s">
        <v>130</v>
      </c>
      <c r="F9" s="70" t="s">
        <v>128</v>
      </c>
      <c r="G9" s="70" t="s">
        <v>129</v>
      </c>
      <c r="M9" s="109" t="s">
        <v>40</v>
      </c>
      <c r="N9" s="136">
        <f ca="1">MAX((IFERROR(OFFSET($G$20,MATCH("Fines Crushing",$G$21:$G$28,0),1),0)),((IFERROR((OFFSET($G$35,MATCH("Fines Crushing",$G$36:$G$43,0),1)),0))),((IFERROR((OFFSET(G50,MATCH("Fines Crushing",$G$51:$G$58,0),1)),0))),((IFERROR((OFFSET(G66,MATCH("Fines Crushing",$G$67:$G$74,0),1)),0))),((IFERROR((OFFSET(G81,MATCH("Fines Crushing",$G$82:$G$89,0),1)),0))),((IFERROR((OFFSET(G96,MATCH("Fines Crushing",$G$97:$G$104,0),1)),0))),((IFERROR((OFFSET(G111,MATCH("Fines Crushing",$G$112:$G$119,0),1)),0))),((IFERROR((OFFSET(G126,MATCH("Fines Crushing",$G$127:$G$134,0),1)),0))),((IFERROR((OFFSET(G141,MATCH("Fines Crushing",$G$142:$G$149,0),1)),0))),((IFERROR((OFFSET($G$156,MATCH("Fines Crushing",$G$157:$G$164,0),1)),0))))</f>
        <v>0</v>
      </c>
      <c r="O9" s="136">
        <f ca="1">SUM((IFERROR(OFFSET($G$20,MATCH("Fines Crushing",$G$21:$G$28,0),3),0)),((IFERROR((OFFSET($G$35,MATCH("Fines Crushing",$G$36:$G$43,0),3)),0))),((IFERROR((OFFSET(G50,MATCH("Fines Crushing",$G$51:$G$58,0),3)),0))),((IFERROR((OFFSET(G66,MATCH("Fines Crushing",$G$67:$G$74,0),3)),0))),((IFERROR((OFFSET(G81,MATCH("Fines Crushing",$G$82:$G$89,0),3)),0))),((IFERROR((OFFSET(G96,MATCH("Fines Crushing",$G$97:$G$104,0),3)),0))),((IFERROR((OFFSET(G111,MATCH("Fines Crushing",$G$112:$G$119,0),3)),0))),((IFERROR((OFFSET(G126,MATCH("Fines Crushing",$G$127:$G$134,0),3)),0))),((IFERROR((OFFSET(G141,MATCH("Fines Crushing",$G$142:$G$149,0),3)),0))),((IFERROR((OFFSET($G$156,MATCH("Fines Crushing",$G$157:$G$164,0),3)),0))))</f>
        <v>0</v>
      </c>
      <c r="S9" s="136">
        <f ca="1">SUM((IFERROR(OFFSET($G$20,MATCH("Fines Crushing",$G$21:$G$28,0),4),0)),((IFERROR((OFFSET($G$35,MATCH("Fines Crushing",$G$36:$G$43,0),4)),0))),((IFERROR((OFFSET(G50,MATCH("Fines Crushing",$G$51:$G$58,0),4)),0))),((IFERROR((OFFSET(G66,MATCH("Fines Crushing",$G$67:$G$74,0),4)),0))),((IFERROR((OFFSET(G81,MATCH("Fines Crushing",$G$82:$G$89,0),4)),0))),((IFERROR((OFFSET(G96,MATCH("Fines Crushing",$G$97:$G$104,0),4)),0))),((IFERROR((OFFSET(G111,MATCH("Fines Crushing",$G$112:$G$119,0),4)),0))),((IFERROR((OFFSET(G126,MATCH("Fines Crushing",$G$127:$G$134,0),4)),0))),((IFERROR((OFFSET(G141,MATCH("Fines Crushing",$G$142:$G$149,0),4)),0))),((IFERROR((OFFSET($G$156,MATCH("Fines Crushing",$G$157:$G$164,0),4)),0))))</f>
        <v>0</v>
      </c>
    </row>
    <row r="10" spans="2:19" ht="14.25" customHeight="1" x14ac:dyDescent="0.2">
      <c r="B10" s="91" t="s">
        <v>71</v>
      </c>
      <c r="C10" s="130"/>
      <c r="E10" s="69" t="s">
        <v>112</v>
      </c>
      <c r="F10" s="126"/>
      <c r="G10" s="126"/>
      <c r="M10" s="109" t="s">
        <v>41</v>
      </c>
      <c r="N10" s="136">
        <f ca="1">MAX((IFERROR(OFFSET($G$20,MATCH("Fines Screening",$G$21:$G$28,0),1),0)),((IFERROR((OFFSET($G$35,MATCH("Fines Screening",$G$36:$G$43,0),1)),0))),((IFERROR((OFFSET(G50,MATCH("Fines Screening",$G$51:$G$58,0),1)),0))),((IFERROR((OFFSET(G66,MATCH("Fines Screening",$G$67:$G$74,0),1)),0))),((IFERROR((OFFSET(G81,MATCH("Fines Screening",$G$82:$G$89,0),1)),0))),((IFERROR((OFFSET(G96,MATCH("Fines Screening",$G$97:$G$104,0),1)),0))),((IFERROR((OFFSET(G111,MATCH("Fines Screening",$G$112:$G$119,0),1)),0))),((IFERROR((OFFSET(G126,MATCH("Fines Screening",$G$127:$G$134,0),1)),0))),((IFERROR((OFFSET(G141,MATCH("Fines Screening",$G$142:$G$149,0),1)),0))),((IFERROR((OFFSET($G$156,MATCH("Fines Screening",$G$157:$G$164,0),1)),0))))</f>
        <v>0</v>
      </c>
      <c r="O10" s="136">
        <f ca="1">SUM((IFERROR(OFFSET($G$20,MATCH("Fines Screening",$G$21:$G$28,0),3),0)),((IFERROR((OFFSET($G$35,MATCH("Fines Screening",$G$36:$G$43,0),3)),0))),((IFERROR((OFFSET(G50,MATCH("Fines Screening",$G$51:$G$58,0),3)),0))),((IFERROR((OFFSET(G66,MATCH("Fines Screening",$G$67:$G$74,0),3)),0))),((IFERROR((OFFSET(G81,MATCH("Fines Screening",$G$82:$G$89,0),3)),0))),((IFERROR((OFFSET(G96,MATCH("Fines Screening",$G$97:$G$104,0),3)),0))),((IFERROR((OFFSET(G111,MATCH("Fines Screening",$G$112:$G$119,0),3)),0))),((IFERROR((OFFSET(G126,MATCH("Fines Screening",$G$127:$G$134,0),3)),0))),((IFERROR((OFFSET(G141,MATCH("Fines Screening",$G$142:$G$149,0),3)),0))),((IFERROR((OFFSET($G$156,MATCH("Fines Screening",$G$157:$G$164,0),3)),0))))</f>
        <v>0</v>
      </c>
      <c r="S10" s="136">
        <f ca="1">SUM((IFERROR(OFFSET($G$20,MATCH("Fines Screening",$G$21:$G$28,0),4),0)),((IFERROR((OFFSET($G$35,MATCH("Fines Screening",$G$36:$G$43,0),4)),0))),((IFERROR((OFFSET(G50,MATCH("Fines Screening",$G$51:$G$58,0),4)),0))),((IFERROR((OFFSET(G66,MATCH("Fines Screening",$G$67:$G$74,0),4)),0))),((IFERROR((OFFSET(G81,MATCH("Fines Screening",$G$82:$G$89,0),4)),0))),((IFERROR((OFFSET(G96,MATCH("Fines Screening",$G$97:$G$104,0),4)),0))),((IFERROR((OFFSET(G111,MATCH("Fines Screening",$G$112:$G$119,0),4)),0))),((IFERROR((OFFSET(G126,MATCH("Fines Screening",$G$127:$G$134,0),4)),0))),((IFERROR((OFFSET(G141,MATCH("Fines Screening",$G$142:$G$149,0),4)),0))),((IFERROR((OFFSET($G$156,MATCH("Fines Screening",$G$157:$G$164,0),4)),0))))</f>
        <v>0</v>
      </c>
    </row>
    <row r="11" spans="2:19" ht="14.25" customHeight="1" x14ac:dyDescent="0.2">
      <c r="B11" s="102" t="s">
        <v>138</v>
      </c>
      <c r="C11" s="130"/>
      <c r="E11" s="68" t="s">
        <v>16</v>
      </c>
      <c r="F11" s="126"/>
      <c r="G11" s="126"/>
      <c r="M11" s="109" t="s">
        <v>42</v>
      </c>
      <c r="N11" s="136">
        <f ca="1">MAX((IFERROR(OFFSET($G$20,MATCH("Wet Drilling: Unfragmented Stone",$G$21:$G$28,0),1),0)),((IFERROR((OFFSET($G$35,MATCH("Wet Drilling: Unfragmented Stone",$G$36:$G$43,0),1)),0))),((IFERROR((OFFSET(G50,MATCH("Wet Drilling: Unfragmented Stone",$G$51:$G$58,0),1)),0))),((IFERROR((OFFSET(G66,MATCH("Wet Drilling: Unfragmented Stone",$G$67:$G$74,0),1)),0))),((IFERROR((OFFSET(G81,MATCH("Wet Drilling: Unfragmented Stone",$G$82:$G$89,0),1)),0))),((IFERROR((OFFSET(G96,MATCH("Wet Drilling: Unfragmented Stone",$G$97:$G$104,0),1)),0))),((IFERROR((OFFSET(G111,MATCH("Wet Drilling: Unfragmented Stone",$G$112:$G$119,0),1)),0))),((IFERROR((OFFSET(G126,MATCH("Wet Drilling: Unfragmented Stone",$G$127:$G$134,0),1)),0))),((IFERROR((OFFSET(G141,MATCH("Wet Drilling: Unfragmented Stone",$G$142:$G$149,0),1)),0))),((IFERROR((OFFSET($G$156,MATCH("Wet Drilling: Unfragmented Stone",$G$157:$G$164,0),1)),0))))</f>
        <v>0</v>
      </c>
      <c r="O11" s="136">
        <f ca="1">SUM((IFERROR(OFFSET($G$20,MATCH("Wet Drilling: Unfragmented Stone",$G$21:$G$28,0),3),0)),((IFERROR((OFFSET($G$35,MATCH("Wet Drilling: Unfragmented Stone",$G$36:$G$43,0),3)),0))),((IFERROR((OFFSET(G50,MATCH("Wet Drilling: Unfragmented Stone",$G$51:$G$58,0),3)),0))),((IFERROR((OFFSET(G66,MATCH("Wet Drilling: Unfragmented Stone",$G$67:$G$74,0),3)),0))),((IFERROR((OFFSET(G81,MATCH("Wet Drilling: Unfragmented Stone",$G$82:$G$89,0),3)),0))),((IFERROR((OFFSET(G96,MATCH("Wet Drilling: Unfragmented Stone",$G$97:$G$104,0),3)),0))),((IFERROR((OFFSET(G111,MATCH("Wet Drilling: Unfragmented Stone",$G$112:$G$119,0),3)),0))),((IFERROR((OFFSET(G126,MATCH("Wet Drilling: Unfragmented Stone",$G$127:$G$134,0),3)),0))),((IFERROR((OFFSET(G141,MATCH("Wet Drilling: Unfragmented Stone",$G$142:$G$149,0),3)),0))),((IFERROR((OFFSET($G$156,MATCH("Wet Drilling: Unfragmented Stone",$G$157:$G$164,0),3)),0))))</f>
        <v>0</v>
      </c>
      <c r="S11" s="136">
        <f ca="1">SUM((IFERROR(OFFSET($G$20,MATCH("Wet Drilling: Unfragmented Stone",$G$21:$G$28,0),4),0)),((IFERROR((OFFSET($G$35,MATCH("Wet Drilling: Unfragmented Stone",$G$36:$G$43,0),4)),0))),((IFERROR((OFFSET(G50,MATCH("Wet Drilling: Unfragmented Stone",$G$51:$G$58,0),4)),0))),((IFERROR((OFFSET(G66,MATCH("Wet Drilling: Unfragmented Stone",$G$67:$G$74,0),4)),0))),((IFERROR((OFFSET(G81,MATCH("Wet Drilling: Unfragmented Stone",$G$82:$G$89,0),4)),0))),((IFERROR((OFFSET(G96,MATCH("Wet Drilling: Unfragmented Stone",$G$97:$G$104,0),4)),0))),((IFERROR((OFFSET(G111,MATCH("Wet Drilling: Unfragmented Stone",$G$112:$G$119,0),4)),0))),((IFERROR((OFFSET(G126,MATCH("Wet Drilling: Unfragmented Stone",$G$127:$G$134,0),4)),0))),((IFERROR((OFFSET(G141,MATCH("Wet Drilling: Unfragmented Stone",$G$142:$G$149,0),4)),0))),((IFERROR((OFFSET($G$156,MATCH("Wet Drilling: Unfragmented Stone",$G$157:$G$164,0),4)),0))))</f>
        <v>0</v>
      </c>
    </row>
    <row r="12" spans="2:19" ht="14.25" customHeight="1" x14ac:dyDescent="0.25">
      <c r="B12" s="290" t="s">
        <v>197</v>
      </c>
      <c r="C12" s="288"/>
      <c r="D12" s="38"/>
      <c r="E12" s="68" t="s">
        <v>3</v>
      </c>
      <c r="F12" s="126"/>
      <c r="G12" s="126"/>
      <c r="M12" s="109" t="s">
        <v>43</v>
      </c>
      <c r="N12" s="136">
        <f ca="1">MAX((IFERROR(OFFSET($G$20,MATCH("Conveyor Transfer Points",$G$21:$G$28,0),1),0)),((IFERROR((OFFSET($G$35,MATCH("Conveyor Transfer Points",$G$36:$G$43,0),1)),0))),((IFERROR((OFFSET(G50,MATCH("Conveyor Transfer Points",$G$51:$G$58,0),1)),0))),((IFERROR((OFFSET(G66,MATCH("Conveyor Transfer Points",$G$67:$G$74,0),1)),0))),((IFERROR((OFFSET(G81,MATCH("Conveyor Transfer Points",$G$82:$G$89,0),1)),0))),((IFERROR((OFFSET(G96,MATCH("Conveyor Transfer Points",$G$97:$G$104,0),1)),0))),((IFERROR((OFFSET(G111,MATCH("Conveyor Transfer Points",$G$112:$G$119,0),1)),0))),((IFERROR((OFFSET(G126,MATCH("Conveyor Transfer Points",$G$127:$G$134,0),1)),0))),((IFERROR((OFFSET(G141,MATCH("Conveyor Transfer Points",$G$142:$G$149,0),1)),0))),((IFERROR((OFFSET($G$156,MATCH("Conveyor Transfer Points",$G$157:$G$164,0),1)),0))))</f>
        <v>0</v>
      </c>
      <c r="O12" s="136">
        <f ca="1">SUM((IFERROR(OFFSET($G$20,MATCH("Conveyor Transfer Points",$G$21:$G$28,0),3),0)),((IFERROR((OFFSET($G$35,MATCH("Conveyor Transfer Points",$G$36:$G$43,0),3)),0))),((IFERROR((OFFSET(G50,MATCH("Conveyor Transfer Points",$G$51:$G$58,0),3)),0))),((IFERROR((OFFSET(G66,MATCH("Conveyor Transfer Points",$G$67:$G$74,0),3)),0))),((IFERROR((OFFSET(G81,MATCH("Conveyor Transfer Points",$G$82:$G$89,0),3)),0))),((IFERROR((OFFSET(G96,MATCH("Conveyor Transfer Points",$G$97:$G$104,0),3)),0))),((IFERROR((OFFSET(G111,MATCH("Conveyor Transfer Points",$G$112:$G$119,0),3)),0))),((IFERROR((OFFSET(G126,MATCH("Conveyor Transfer Points",$G$127:$G$134,0),3)),0))),((IFERROR((OFFSET(G141,MATCH("Conveyor Transfer Points",$G$142:$G$149,0),3)),0))),((IFERROR((OFFSET($G$156,MATCH("Conveyor Transfer Points",$G$157:$G$164,0),3)),0))))</f>
        <v>0</v>
      </c>
      <c r="S12" s="136">
        <f ca="1">SUM((IFERROR(OFFSET($G$20,MATCH("Conveyor Transfer Points",$G$21:$G$28,0),4),0)),((IFERROR((OFFSET($G$35,MATCH("Conveyor Transfer Points",$G$36:$G$43,0),4)),0))),((IFERROR((OFFSET(G50,MATCH("Conveyor Transfer Points",$G$51:$G$58,0),4)),0))),((IFERROR((OFFSET(G66,MATCH("Conveyor Transfer Points",$G$67:$G$74,0),4)),0))),((IFERROR((OFFSET(G81,MATCH("Conveyor Transfer Points",$G$82:$G$89,0),4)),0))),((IFERROR((OFFSET(G96,MATCH("Conveyor Transfer Points",$G$97:$G$104,0),4)),0))),((IFERROR((OFFSET(G111,MATCH("Conveyor Transfer Points",$G$112:$G$119,0),4)),0))),((IFERROR((OFFSET(G126,MATCH("Conveyor Transfer Points",$G$127:$G$134,0),4)),0))),((IFERROR((OFFSET(G141,MATCH("Conveyor Transfer Points",$G$142:$G$149,0),4)),0))),((IFERROR((OFFSET($G$156,MATCH("Conveyor Transfer Points",$G$157:$G$164,0),4)),0))))</f>
        <v>0</v>
      </c>
    </row>
    <row r="13" spans="2:19" ht="14.25" customHeight="1" x14ac:dyDescent="0.25">
      <c r="B13" s="291" t="s">
        <v>198</v>
      </c>
      <c r="C13" s="289"/>
      <c r="D13" s="38"/>
      <c r="E13" s="68" t="s">
        <v>22</v>
      </c>
      <c r="F13" s="126"/>
      <c r="G13" s="126"/>
      <c r="M13" s="81"/>
      <c r="N13" s="108" t="s">
        <v>145</v>
      </c>
      <c r="O13" s="127" t="s">
        <v>144</v>
      </c>
      <c r="P13" s="107"/>
    </row>
    <row r="14" spans="2:19" ht="14.25" customHeight="1" x14ac:dyDescent="0.25">
      <c r="B14" s="291" t="s">
        <v>199</v>
      </c>
      <c r="C14" s="289"/>
      <c r="D14" s="38"/>
      <c r="E14" s="68" t="s">
        <v>5</v>
      </c>
      <c r="F14" s="126"/>
      <c r="G14" s="126"/>
      <c r="M14" s="109" t="s">
        <v>44</v>
      </c>
      <c r="N14" s="110">
        <f>SUM(G32,G47,G62,G78,G93,G108,G123,G138,G153,G168)</f>
        <v>0</v>
      </c>
      <c r="O14" s="110">
        <f>SUM(H32*I32,H47*I47,H62*I62,H78*I78,H93*I93,H108*I108,H123*I123,H138*I138,H153*I153,H168*I168)</f>
        <v>0</v>
      </c>
      <c r="P14" s="81"/>
    </row>
    <row r="15" spans="2:19" ht="14.25" customHeight="1" x14ac:dyDescent="0.25">
      <c r="B15" s="16"/>
      <c r="C15" s="16"/>
      <c r="D15" s="16"/>
      <c r="E15" s="68" t="s">
        <v>6</v>
      </c>
      <c r="F15" s="126"/>
      <c r="G15" s="126"/>
    </row>
    <row r="16" spans="2:19" ht="10.5" customHeight="1" thickBot="1" x14ac:dyDescent="0.3">
      <c r="B16" s="104"/>
      <c r="C16" s="104"/>
      <c r="D16" s="104"/>
      <c r="E16" s="105"/>
      <c r="F16" s="105"/>
      <c r="G16" s="158"/>
      <c r="H16" s="158"/>
      <c r="I16" s="106"/>
    </row>
    <row r="17" spans="1:19" ht="14.25" customHeight="1" x14ac:dyDescent="0.25">
      <c r="B17" s="16"/>
      <c r="C17" s="16"/>
      <c r="D17" s="16"/>
      <c r="E17" s="103"/>
      <c r="F17" s="103"/>
      <c r="G17" s="59"/>
      <c r="H17" s="59"/>
      <c r="M17" s="55" t="s">
        <v>190</v>
      </c>
    </row>
    <row r="18" spans="1:19" ht="14.25" customHeight="1" x14ac:dyDescent="0.2">
      <c r="B18" s="99"/>
      <c r="C18" s="59"/>
      <c r="N18" s="216" t="s">
        <v>295</v>
      </c>
      <c r="P18" s="216" t="s">
        <v>302</v>
      </c>
      <c r="Q18" s="345" t="s">
        <v>303</v>
      </c>
      <c r="R18" s="216" t="s">
        <v>291</v>
      </c>
      <c r="S18" s="216" t="s">
        <v>300</v>
      </c>
    </row>
    <row r="19" spans="1:19" ht="14.25" customHeight="1" x14ac:dyDescent="0.25">
      <c r="B19" s="82" t="s">
        <v>85</v>
      </c>
      <c r="C19" s="83" t="s">
        <v>136</v>
      </c>
      <c r="E19" s="213" t="s">
        <v>245</v>
      </c>
      <c r="F19" s="213" t="s">
        <v>204</v>
      </c>
      <c r="G19" s="373"/>
      <c r="H19" s="220" t="s">
        <v>320</v>
      </c>
      <c r="M19" s="108" t="s">
        <v>112</v>
      </c>
      <c r="N19" s="216" t="s">
        <v>296</v>
      </c>
      <c r="O19" s="344" t="s">
        <v>140</v>
      </c>
      <c r="P19" s="216" t="s">
        <v>249</v>
      </c>
      <c r="Q19" s="216" t="s">
        <v>249</v>
      </c>
      <c r="R19" s="216" t="s">
        <v>253</v>
      </c>
      <c r="S19" s="216" t="s">
        <v>253</v>
      </c>
    </row>
    <row r="20" spans="1:19" ht="14.25" customHeight="1" x14ac:dyDescent="0.2">
      <c r="B20" s="84"/>
      <c r="D20" s="55"/>
      <c r="E20" s="213" t="s">
        <v>261</v>
      </c>
      <c r="F20" s="217" t="s">
        <v>262</v>
      </c>
      <c r="G20" s="213" t="s">
        <v>131</v>
      </c>
      <c r="H20" s="217" t="s">
        <v>321</v>
      </c>
      <c r="I20" s="213" t="str">
        <f>('Facility Information'!G5&amp;" Annual Throughput (tons)")</f>
        <v xml:space="preserve"> Annual Throughput (tons)</v>
      </c>
      <c r="J20" s="81" t="s">
        <v>132</v>
      </c>
      <c r="K20" s="81" t="s">
        <v>133</v>
      </c>
      <c r="M20" s="109" t="s">
        <v>38</v>
      </c>
      <c r="N20" s="136">
        <f t="shared" ref="N20:N27" ca="1" si="0">N5</f>
        <v>0</v>
      </c>
      <c r="O20" s="145">
        <f ca="1">IF(N20=0,0,IF(OR(C25="no",C40="no",C55="no",C71="no",C86="no",C101="no",C116="no",C131="no",C147="no",C161="no"),'Emission Factors'!D8,'Emission Factors'!D20))</f>
        <v>0</v>
      </c>
      <c r="P20" s="136" t="str">
        <f t="shared" ref="P20:P27" si="1">IF(OR($C$25="no",$C$40="no",$C$55="no",$C$71="no",$C$86="no",$C$101="no",$C$116="no",$C$131="no",$C$147="no",$C$161="no"),N20*O20,"")</f>
        <v/>
      </c>
      <c r="Q20" s="136">
        <f t="shared" ref="Q20:Q27" ca="1" si="2">IF($F$10&gt;0,$F$10,IF(OR($C$25="no",$C$40="no",$C$55="no",$C$71="no",$C$86="no",$C$101="no",$C$116="no",$C$131="no",$C$147="no",$C$161="no"),"",N20*O20))</f>
        <v>0</v>
      </c>
      <c r="R20" s="136">
        <f ca="1">IF($G$10&gt;0,$G$10,IF($C$9&gt;0,$C$9*O20/2000,IF($C$10&gt;0,$C$10*365*O20/2000,IF($C$11&gt;0,$C$11*365*O20*N20/2000,IF(Q20="",P20*8760/2000,Q20*8760/2000)))))</f>
        <v>0</v>
      </c>
      <c r="S20" s="136">
        <f ca="1">(O5*'Emission Factors'!D8/2000)+('Emission Factors'!D20*S5/2000)</f>
        <v>0</v>
      </c>
    </row>
    <row r="21" spans="1:19" ht="14.25" customHeight="1" x14ac:dyDescent="0.2">
      <c r="A21" s="80" t="s">
        <v>33</v>
      </c>
      <c r="B21" s="86" t="s">
        <v>91</v>
      </c>
      <c r="C21" s="73"/>
      <c r="D21" s="55"/>
      <c r="E21" s="165" t="str">
        <f>IF(G21="","","LP-10 EP-1")</f>
        <v/>
      </c>
      <c r="F21" s="165" t="str">
        <f>IF(G21="","",IF(G21="primary crusher","LP-10 EU-1",IF(G21="screening","LP-10 EU-2",IF(G21="secondary crusher","LP-10 EU-3",IF(G21="tertiary crusher","LP-10 EU-4",IF(G21="fines crushing","LP-10 EU-5",IF(G21="fines screening","LP-10 EU-6",IF(G21="wet drilling: unfragmented stone","LP-10 EU-7",IF(G21="conveyor transfer points","LP-10 EU-8")))))))))</f>
        <v/>
      </c>
      <c r="G21" s="98"/>
      <c r="H21" s="167"/>
      <c r="I21" s="184"/>
      <c r="J21" s="81">
        <f>IF($C25="no",I21,0)</f>
        <v>0</v>
      </c>
      <c r="K21" s="81">
        <f t="shared" ref="K21:K28" si="3">IF($C$25="yes",I21,0)</f>
        <v>0</v>
      </c>
      <c r="M21" s="109" t="s">
        <v>36</v>
      </c>
      <c r="N21" s="136">
        <f t="shared" ca="1" si="0"/>
        <v>0</v>
      </c>
      <c r="O21" s="145">
        <f ca="1">IF(N21=0,0,IF(OR(C25="no",C40="no",C55="no",C71="no",C86="no",C101="no",C116="no",C131="no",C147="no",C161="no"),'Emission Factors'!D9,'Emission Factors'!D21))</f>
        <v>0</v>
      </c>
      <c r="P21" s="136" t="str">
        <f t="shared" si="1"/>
        <v/>
      </c>
      <c r="Q21" s="136">
        <f t="shared" ca="1" si="2"/>
        <v>0</v>
      </c>
      <c r="R21" s="136">
        <f t="shared" ref="R21:R27" ca="1" si="4">IF($G$10&gt;0,"",IF($C$9&gt;0,$C$9*O21/2000,IF($C$10&gt;0,$C$10*365*O21/2000,IF($C$11&gt;0,$C$11*365*O21*N21/2000,IF(Q21="",P21*8760/2000,Q21*8760/2000)))))</f>
        <v>0</v>
      </c>
      <c r="S21" s="136">
        <f ca="1">(O6*'Emission Factors'!D9/2000)+('Emission Factors'!D21*S6/2000)</f>
        <v>0</v>
      </c>
    </row>
    <row r="22" spans="1:19" ht="14.25" customHeight="1" x14ac:dyDescent="0.2">
      <c r="A22" s="80" t="s">
        <v>34</v>
      </c>
      <c r="B22" s="85" t="s">
        <v>92</v>
      </c>
      <c r="C22" s="73"/>
      <c r="D22" s="55"/>
      <c r="E22" s="165" t="str">
        <f t="shared" ref="E22:E28" si="5">IF(G22="","","LP-10 EP-1")</f>
        <v/>
      </c>
      <c r="F22" s="165" t="str">
        <f t="shared" ref="F22:F28" si="6">IF(G22="","",IF(G22="primary crusher","LP-10 EU-1",IF(G22="screening","LP-10 EU-2",IF(G22="secondary crusher","LP-10 EU-3",IF(G22="tertiary crusher","LP-10 EU-4",IF(G22="fines crushing","LP-10 EU-5",IF(G22="fines screening","LP-10 EU-6",IF(G22="wet drilling: unfragmented stone","LP-10 EU-7",IF(G22="conveyor transfer points","LP-10 EU-8")))))))))</f>
        <v/>
      </c>
      <c r="G22" s="98"/>
      <c r="H22" s="167"/>
      <c r="I22" s="184"/>
      <c r="J22" s="81">
        <f t="shared" ref="J22:J28" si="7">IF($C$25="no",I22,0)</f>
        <v>0</v>
      </c>
      <c r="K22" s="81">
        <f t="shared" si="3"/>
        <v>0</v>
      </c>
      <c r="M22" s="109" t="s">
        <v>37</v>
      </c>
      <c r="N22" s="136">
        <f t="shared" ca="1" si="0"/>
        <v>0</v>
      </c>
      <c r="O22" s="145">
        <f ca="1">IF(N22=0,0,IF(OR(C25="no",C40="no",C55="no",C71="no",C86="no",C101="no",C116="no",C131="no",C147="no",C161="no"),'Emission Factors'!D10,'Emission Factors'!D22))</f>
        <v>0</v>
      </c>
      <c r="P22" s="136" t="str">
        <f t="shared" si="1"/>
        <v/>
      </c>
      <c r="Q22" s="136">
        <f t="shared" ca="1" si="2"/>
        <v>0</v>
      </c>
      <c r="R22" s="136">
        <f t="shared" ca="1" si="4"/>
        <v>0</v>
      </c>
      <c r="S22" s="136">
        <f ca="1">(O7*'Emission Factors'!D10/2000)+('Emission Factors'!D22*S7/2000)</f>
        <v>0</v>
      </c>
    </row>
    <row r="23" spans="1:19" ht="14.25" customHeight="1" x14ac:dyDescent="0.2">
      <c r="B23" s="85" t="s">
        <v>93</v>
      </c>
      <c r="C23" s="73"/>
      <c r="D23" s="55"/>
      <c r="E23" s="165" t="str">
        <f t="shared" si="5"/>
        <v/>
      </c>
      <c r="F23" s="165" t="str">
        <f t="shared" si="6"/>
        <v/>
      </c>
      <c r="G23" s="98"/>
      <c r="H23" s="167"/>
      <c r="I23" s="184"/>
      <c r="J23" s="81">
        <f t="shared" si="7"/>
        <v>0</v>
      </c>
      <c r="K23" s="81">
        <f t="shared" si="3"/>
        <v>0</v>
      </c>
      <c r="M23" s="109" t="s">
        <v>39</v>
      </c>
      <c r="N23" s="136">
        <f t="shared" ca="1" si="0"/>
        <v>0</v>
      </c>
      <c r="O23" s="145">
        <f ca="1">IF(N23=0,0,IF(OR(C25="no",C40="no",C55="no",C71="no",C86="no",C101="no",C116="no",C131="no",C147="no",C161="no"),'Emission Factors'!D12,'Emission Factors'!D24))</f>
        <v>0</v>
      </c>
      <c r="P23" s="136" t="str">
        <f t="shared" si="1"/>
        <v/>
      </c>
      <c r="Q23" s="136">
        <f t="shared" ca="1" si="2"/>
        <v>0</v>
      </c>
      <c r="R23" s="136">
        <f t="shared" ca="1" si="4"/>
        <v>0</v>
      </c>
      <c r="S23" s="136">
        <f ca="1">(O8*'Emission Factors'!D12/2000)+('Emission Factors'!D24*S8/2000)</f>
        <v>0</v>
      </c>
    </row>
    <row r="24" spans="1:19" ht="14.25" customHeight="1" x14ac:dyDescent="0.25">
      <c r="A24" s="6" t="s">
        <v>38</v>
      </c>
      <c r="B24" s="281" t="s">
        <v>191</v>
      </c>
      <c r="D24" s="55"/>
      <c r="E24" s="165" t="str">
        <f t="shared" si="5"/>
        <v/>
      </c>
      <c r="F24" s="165" t="str">
        <f t="shared" si="6"/>
        <v/>
      </c>
      <c r="G24" s="98"/>
      <c r="H24" s="167"/>
      <c r="I24" s="184"/>
      <c r="J24" s="81">
        <f t="shared" si="7"/>
        <v>0</v>
      </c>
      <c r="K24" s="81">
        <f t="shared" si="3"/>
        <v>0</v>
      </c>
      <c r="M24" s="109" t="s">
        <v>40</v>
      </c>
      <c r="N24" s="136">
        <f t="shared" ca="1" si="0"/>
        <v>0</v>
      </c>
      <c r="O24" s="145">
        <f ca="1">IF(N24=0,0,IF(OR(C25="no",C40="no",C55="no",C71="no",C86="no",C101="no",C116="no",C131="no",C147="no",C161="no"),'Emission Factors'!D6,'Emission Factors'!D18))</f>
        <v>0</v>
      </c>
      <c r="P24" s="136" t="str">
        <f t="shared" si="1"/>
        <v/>
      </c>
      <c r="Q24" s="136">
        <f t="shared" ca="1" si="2"/>
        <v>0</v>
      </c>
      <c r="R24" s="136">
        <f t="shared" ca="1" si="4"/>
        <v>0</v>
      </c>
      <c r="S24" s="136">
        <f ca="1">(O9*'Emission Factors'!D6/2000)+('Emission Factors'!D18*S9/2000)</f>
        <v>0</v>
      </c>
    </row>
    <row r="25" spans="1:19" ht="14.25" customHeight="1" x14ac:dyDescent="0.25">
      <c r="A25" s="6" t="s">
        <v>36</v>
      </c>
      <c r="B25" s="282" t="s">
        <v>192</v>
      </c>
      <c r="C25" s="280"/>
      <c r="D25" s="55"/>
      <c r="E25" s="165" t="str">
        <f t="shared" si="5"/>
        <v/>
      </c>
      <c r="F25" s="165" t="str">
        <f t="shared" si="6"/>
        <v/>
      </c>
      <c r="G25" s="98"/>
      <c r="H25" s="167"/>
      <c r="I25" s="184"/>
      <c r="J25" s="81">
        <f t="shared" si="7"/>
        <v>0</v>
      </c>
      <c r="K25" s="81">
        <f t="shared" si="3"/>
        <v>0</v>
      </c>
      <c r="M25" s="109" t="s">
        <v>41</v>
      </c>
      <c r="N25" s="136">
        <f t="shared" ca="1" si="0"/>
        <v>0</v>
      </c>
      <c r="O25" s="145">
        <f ca="1">IF(N25=0,0,IF(OR(C25="no",C40="no",C55="no",C71="no",C86="no",C101="no",C116="no",C131="no",C147="no",C161="no"),'Emission Factors'!D7,'Emission Factors'!D19))</f>
        <v>0</v>
      </c>
      <c r="P25" s="136" t="str">
        <f t="shared" si="1"/>
        <v/>
      </c>
      <c r="Q25" s="136">
        <f t="shared" ca="1" si="2"/>
        <v>0</v>
      </c>
      <c r="R25" s="136">
        <f t="shared" ca="1" si="4"/>
        <v>0</v>
      </c>
      <c r="S25" s="136">
        <f ca="1">(O10*'Emission Factors'!D7/2000)+('Emission Factors'!D19*S10/2000)</f>
        <v>0</v>
      </c>
    </row>
    <row r="26" spans="1:19" ht="14.25" customHeight="1" x14ac:dyDescent="0.25">
      <c r="A26" s="6" t="s">
        <v>37</v>
      </c>
      <c r="B26" s="284" t="s">
        <v>193</v>
      </c>
      <c r="C26" s="55"/>
      <c r="D26" s="55"/>
      <c r="E26" s="165" t="str">
        <f t="shared" si="5"/>
        <v/>
      </c>
      <c r="F26" s="165" t="str">
        <f t="shared" si="6"/>
        <v/>
      </c>
      <c r="G26" s="98"/>
      <c r="H26" s="167"/>
      <c r="I26" s="184"/>
      <c r="J26" s="81">
        <f t="shared" si="7"/>
        <v>0</v>
      </c>
      <c r="K26" s="81">
        <f t="shared" si="3"/>
        <v>0</v>
      </c>
      <c r="M26" s="109" t="s">
        <v>42</v>
      </c>
      <c r="N26" s="136">
        <f t="shared" ca="1" si="0"/>
        <v>0</v>
      </c>
      <c r="O26" s="145">
        <f ca="1">IF(N26=0,0,IF(OR(C25="no",C40="no",C55="no",C71="no",C86="no",C101="no",C116="no",C131="no",C147="no",C161="no"),'Emission Factors'!D13,'Emission Factors'!D25))</f>
        <v>0</v>
      </c>
      <c r="P26" s="137" t="str">
        <f t="shared" si="1"/>
        <v/>
      </c>
      <c r="Q26" s="136">
        <f t="shared" ca="1" si="2"/>
        <v>0</v>
      </c>
      <c r="R26" s="136">
        <f t="shared" ca="1" si="4"/>
        <v>0</v>
      </c>
      <c r="S26" s="136">
        <f ca="1">(O11*'Emission Factors'!D13/2000)+('Emission Factors'!D25*S11/2000)</f>
        <v>0</v>
      </c>
    </row>
    <row r="27" spans="1:19" ht="14.25" customHeight="1" x14ac:dyDescent="0.25">
      <c r="A27" s="6" t="s">
        <v>39</v>
      </c>
      <c r="B27" s="55"/>
      <c r="D27" s="55"/>
      <c r="E27" s="165" t="str">
        <f t="shared" si="5"/>
        <v/>
      </c>
      <c r="F27" s="165" t="str">
        <f t="shared" si="6"/>
        <v/>
      </c>
      <c r="G27" s="98"/>
      <c r="H27" s="167"/>
      <c r="I27" s="184"/>
      <c r="J27" s="81">
        <f t="shared" si="7"/>
        <v>0</v>
      </c>
      <c r="K27" s="81">
        <f t="shared" si="3"/>
        <v>0</v>
      </c>
      <c r="M27" s="109" t="s">
        <v>43</v>
      </c>
      <c r="N27" s="136">
        <f t="shared" ca="1" si="0"/>
        <v>0</v>
      </c>
      <c r="O27" s="145">
        <f ca="1">IF(N27=0,0,IF(OR(C25="no",C40="no",C55="no",C71="no",C86="no",C101="no",C116="no",C131="no",C147="no",C161="no"),'Emission Factors'!D5,'Emission Factors'!D17))</f>
        <v>0</v>
      </c>
      <c r="P27" s="136" t="str">
        <f t="shared" si="1"/>
        <v/>
      </c>
      <c r="Q27" s="136">
        <f t="shared" ca="1" si="2"/>
        <v>0</v>
      </c>
      <c r="R27" s="136">
        <f t="shared" ca="1" si="4"/>
        <v>0</v>
      </c>
      <c r="S27" s="136">
        <f ca="1">(O12*'Emission Factors'!D5/2000)+('Emission Factors'!D17*S12/2000)</f>
        <v>0</v>
      </c>
    </row>
    <row r="28" spans="1:19" ht="14.25" customHeight="1" x14ac:dyDescent="0.25">
      <c r="A28" s="6" t="s">
        <v>40</v>
      </c>
      <c r="B28" s="55"/>
      <c r="C28" s="55"/>
      <c r="D28" s="55"/>
      <c r="E28" s="165" t="str">
        <f t="shared" si="5"/>
        <v/>
      </c>
      <c r="F28" s="165" t="str">
        <f t="shared" si="6"/>
        <v/>
      </c>
      <c r="G28" s="98"/>
      <c r="H28" s="167"/>
      <c r="I28" s="184"/>
      <c r="J28" s="81">
        <f t="shared" si="7"/>
        <v>0</v>
      </c>
      <c r="K28" s="81">
        <f t="shared" si="3"/>
        <v>0</v>
      </c>
      <c r="M28" s="108" t="s">
        <v>16</v>
      </c>
      <c r="N28" s="138"/>
      <c r="O28" s="146"/>
      <c r="P28" s="139"/>
      <c r="Q28" s="139"/>
      <c r="R28" s="139"/>
      <c r="S28" s="138"/>
    </row>
    <row r="29" spans="1:19" ht="14.25" customHeight="1" x14ac:dyDescent="0.25">
      <c r="A29" s="6" t="s">
        <v>41</v>
      </c>
      <c r="B29" s="55"/>
      <c r="D29" s="55"/>
      <c r="E29" s="55"/>
      <c r="F29" s="55"/>
      <c r="M29" s="109" t="s">
        <v>38</v>
      </c>
      <c r="N29" s="136">
        <f ca="1">N5</f>
        <v>0</v>
      </c>
      <c r="O29" s="145">
        <f ca="1">IF(N29=0,0,IF(OR(C25="no",C40="no",C55="no",C71="no",C86="no",C101="no",C116="no",C131="no",C147="no",C161="no"),'Emission Factors'!F8,'Emission Factors'!F20))</f>
        <v>0</v>
      </c>
      <c r="P29" s="136" t="str">
        <f t="shared" ref="P29:P36" si="8">IF(OR($C$25="no",$C$40="no",$C$55="no",$C$71="no",$C$86="no",$C$101="no",$C$116="no",$C$131="no",$C$147="no",$C$161="no"),N29*O29,"")</f>
        <v/>
      </c>
      <c r="Q29" s="136">
        <f t="shared" ref="Q29:Q36" ca="1" si="9">IF($F$11&gt;0,$F$11,IF(OR($C$25="no",$C$40="no",$C$55="no",$C$71="no",$C$86="no",$C$101="no",$C$116="no",$C$131="no",$C$147="no",$C$161="no"),"",N29*O29))</f>
        <v>0</v>
      </c>
      <c r="R29" s="136">
        <f ca="1">IF($G$11&gt;0,$G$11,IF($C$9&gt;0,$C$9*O29/2000,IF($C$10&gt;0,$C$10*365*O29/2000,IF($C$11&gt;0,$C$11*365*O29*N29/2000,IF(Q29="",P29*8760/2000,Q29*8760/2000)))))</f>
        <v>0</v>
      </c>
      <c r="S29" s="136">
        <f ca="1">(O5*'Emission Factors'!F8/2000)+('Emission Factors'!F20*S5/2000)</f>
        <v>0</v>
      </c>
    </row>
    <row r="30" spans="1:19" ht="14.25" customHeight="1" x14ac:dyDescent="0.25">
      <c r="A30" s="6" t="s">
        <v>42</v>
      </c>
      <c r="B30" s="55"/>
      <c r="E30" s="88" t="s">
        <v>86</v>
      </c>
      <c r="F30" s="88"/>
      <c r="G30" s="89"/>
      <c r="M30" s="109" t="s">
        <v>36</v>
      </c>
      <c r="N30" s="136">
        <f t="shared" ref="N30:N35" ca="1" si="10">N6</f>
        <v>0</v>
      </c>
      <c r="O30" s="145">
        <f ca="1">IF(N30=0,0,IF(OR(C25="no",C40="no",C55="no",C71="no",C86="no",C101="no",C116="no",C131="no",C147="no",C161="no"),'Emission Factors'!F9,'Emission Factors'!F21))</f>
        <v>0</v>
      </c>
      <c r="P30" s="140" t="str">
        <f t="shared" si="8"/>
        <v/>
      </c>
      <c r="Q30" s="136">
        <f t="shared" ca="1" si="9"/>
        <v>0</v>
      </c>
      <c r="R30" s="136">
        <f t="shared" ref="R30:R35" ca="1" si="11">IF($G$11&gt;0,"",IF($C$9&gt;0,$C$9*O30/2000,IF($C$10&gt;0,$C$10*365*O30/2000,IF($C$11&gt;0,$C$11*365*O30*N30/2000,IF(Q30="",P30*8760/2000,Q30*8760/2000)))))</f>
        <v>0</v>
      </c>
      <c r="S30" s="136">
        <f ca="1">(O6*'Emission Factors'!F9/2000)+('Emission Factors'!F21*S6/2000)</f>
        <v>0</v>
      </c>
    </row>
    <row r="31" spans="1:19" ht="14.25" customHeight="1" x14ac:dyDescent="0.25">
      <c r="A31" s="6" t="s">
        <v>43</v>
      </c>
      <c r="B31" s="55"/>
      <c r="D31" s="90"/>
      <c r="F31" s="91" t="s">
        <v>63</v>
      </c>
      <c r="G31" s="53" t="s">
        <v>87</v>
      </c>
      <c r="H31" s="124" t="s">
        <v>88</v>
      </c>
      <c r="I31" s="53" t="s">
        <v>89</v>
      </c>
      <c r="M31" s="109" t="s">
        <v>37</v>
      </c>
      <c r="N31" s="136">
        <f t="shared" ca="1" si="10"/>
        <v>0</v>
      </c>
      <c r="O31" s="145">
        <f ca="1">IF(N31=0,0,IF(OR(C25="no",C40="no",C55="no",C71="no",C86="no",C101="no",C116="no",C131="no",C147="no",C161="no"),'Emission Factors'!F10,'Emission Factors'!F22))</f>
        <v>0</v>
      </c>
      <c r="P31" s="136" t="str">
        <f t="shared" si="8"/>
        <v/>
      </c>
      <c r="Q31" s="136">
        <f t="shared" ca="1" si="9"/>
        <v>0</v>
      </c>
      <c r="R31" s="136">
        <f t="shared" ca="1" si="11"/>
        <v>0</v>
      </c>
      <c r="S31" s="136">
        <f ca="1">(O7*'Emission Factors'!F10/2000)+('Emission Factors'!F22*S7/2000)</f>
        <v>0</v>
      </c>
    </row>
    <row r="32" spans="1:19" ht="14.25" customHeight="1" x14ac:dyDescent="0.2">
      <c r="B32" s="55"/>
      <c r="F32" s="74"/>
      <c r="G32" s="126"/>
      <c r="H32" s="75"/>
      <c r="I32" s="126"/>
      <c r="M32" s="109" t="s">
        <v>39</v>
      </c>
      <c r="N32" s="136">
        <f t="shared" ca="1" si="10"/>
        <v>0</v>
      </c>
      <c r="O32" s="145">
        <f ca="1">IF(N32=0,0,IF(OR(C25="no",C40="no",C55="no",C71="no",C86="no",C101="no",C116="no",C131="no",C147="no",C161="no"),'Emission Factors'!F12,'Emission Factors'!F24))</f>
        <v>0</v>
      </c>
      <c r="P32" s="136" t="str">
        <f t="shared" si="8"/>
        <v/>
      </c>
      <c r="Q32" s="136">
        <f t="shared" ca="1" si="9"/>
        <v>0</v>
      </c>
      <c r="R32" s="136">
        <f t="shared" ca="1" si="11"/>
        <v>0</v>
      </c>
      <c r="S32" s="136">
        <f ca="1">(O8*'Emission Factors'!F12/2000)+('Emission Factors'!F24*S8/2000)</f>
        <v>0</v>
      </c>
    </row>
    <row r="33" spans="1:19" ht="14.25" customHeight="1" x14ac:dyDescent="0.2">
      <c r="B33" s="55"/>
      <c r="M33" s="109" t="s">
        <v>40</v>
      </c>
      <c r="N33" s="136">
        <f t="shared" ca="1" si="10"/>
        <v>0</v>
      </c>
      <c r="O33" s="145">
        <f ca="1">IF(N33=0,0,IF(OR(C25="no",C40="no",C55="no",C71="no",C86="no",C101="no",C116="no",C131="no",C147="no",C161="no"),'Emission Factors'!F6,'Emission Factors'!F18))</f>
        <v>0</v>
      </c>
      <c r="P33" s="136" t="str">
        <f t="shared" si="8"/>
        <v/>
      </c>
      <c r="Q33" s="136">
        <f t="shared" ca="1" si="9"/>
        <v>0</v>
      </c>
      <c r="R33" s="136">
        <f t="shared" ca="1" si="11"/>
        <v>0</v>
      </c>
      <c r="S33" s="136">
        <f ca="1">(O9*'Emission Factors'!F6/2000)+('Emission Factors'!F18*S9/2000)</f>
        <v>0</v>
      </c>
    </row>
    <row r="34" spans="1:19" ht="14.25" customHeight="1" x14ac:dyDescent="0.2">
      <c r="A34" s="80">
        <f>C21</f>
        <v>0</v>
      </c>
      <c r="M34" s="109" t="s">
        <v>41</v>
      </c>
      <c r="N34" s="136">
        <f t="shared" ca="1" si="10"/>
        <v>0</v>
      </c>
      <c r="O34" s="145">
        <f ca="1">IF(N34=0,0,IF(OR(C25="no",C40="no",C55="no",C71="no",C86="no",C101="no",C116="no",C131="no",C147="no",C161="no"),'Emission Factors'!F7,'Emission Factors'!F19))</f>
        <v>0</v>
      </c>
      <c r="P34" s="136" t="str">
        <f t="shared" si="8"/>
        <v/>
      </c>
      <c r="Q34" s="136">
        <f t="shared" ca="1" si="9"/>
        <v>0</v>
      </c>
      <c r="R34" s="136">
        <f t="shared" ca="1" si="11"/>
        <v>0</v>
      </c>
      <c r="S34" s="136">
        <f ca="1">(O10*'Emission Factors'!F7/2000)+('Emission Factors'!F19*S10/2000)</f>
        <v>0</v>
      </c>
    </row>
    <row r="35" spans="1:19" ht="27" customHeight="1" x14ac:dyDescent="0.25">
      <c r="A35" s="80">
        <f>C36</f>
        <v>0</v>
      </c>
      <c r="B35" s="92" t="str">
        <f>IF('Limestone Plant (LP-10)'!$E$4&gt;1,"CRUSHER PLANT","")</f>
        <v/>
      </c>
      <c r="C35" s="84" t="str">
        <f>IF('Limestone Plant (LP-10)'!$E$4&gt;1,"Site 2","")</f>
        <v/>
      </c>
      <c r="E35" s="213" t="str">
        <f>IF('Limestone Plant (LP-10)'!$E$4&gt;1,"Emission Point #","")</f>
        <v/>
      </c>
      <c r="F35" s="213" t="str">
        <f>IF('Limestone Plant (LP-10)'!$E$4&gt;1,"Emission    Unit #","")</f>
        <v/>
      </c>
      <c r="G35" s="213" t="str">
        <f>IF('Limestone Plant (LP-10)'!$E$4&gt;1,"Processes","")</f>
        <v/>
      </c>
      <c r="H35" s="220" t="str">
        <f>IF('Limestone Plant (LP-10)'!$E$4&gt;1,"Combined Maximum Hourly Design Rate for all Like Processes (tons/hr)","")</f>
        <v/>
      </c>
      <c r="I35" s="213" t="str">
        <f>IF('Limestone Plant (LP-10)'!$E$4&gt;1,('Facility Information'!G5&amp;" Annual Throughput (tons)"),"")</f>
        <v/>
      </c>
      <c r="M35" s="109" t="s">
        <v>42</v>
      </c>
      <c r="N35" s="136">
        <f t="shared" ca="1" si="10"/>
        <v>0</v>
      </c>
      <c r="O35" s="145">
        <f ca="1">IF(N35=0,0,IF(OR(C25="no",C40="no",C55="no",C71="no",C86="no",C101="no",C116="no",C131="no",C147="no",C161="no"),'Emission Factors'!F13,'Emission Factors'!F25))</f>
        <v>0</v>
      </c>
      <c r="P35" s="136" t="str">
        <f t="shared" si="8"/>
        <v/>
      </c>
      <c r="Q35" s="136">
        <f t="shared" ca="1" si="9"/>
        <v>0</v>
      </c>
      <c r="R35" s="136">
        <f t="shared" ca="1" si="11"/>
        <v>0</v>
      </c>
      <c r="S35" s="136">
        <f ca="1">(O11*'Emission Factors'!F13/2000)+('Emission Factors'!F25*S11/2000)</f>
        <v>0</v>
      </c>
    </row>
    <row r="36" spans="1:19" ht="14.25" customHeight="1" x14ac:dyDescent="0.2">
      <c r="A36" s="80">
        <f>C67</f>
        <v>0</v>
      </c>
      <c r="B36" s="94" t="str">
        <f>IF('Limestone Plant (LP-10)'!$E$4&gt;1,"Site Name:","")</f>
        <v/>
      </c>
      <c r="C36" s="76"/>
      <c r="D36" s="55"/>
      <c r="E36" s="166" t="str">
        <f>IF(G36="","","LP-10 EP-1")</f>
        <v/>
      </c>
      <c r="F36" s="166" t="str">
        <f>IF(G36="","",IF(G36="primary crusher","LP-10 EU-1",IF(G36="screening","LP-10 EU-2",IF(G36="secondary crusher","LP-10 EU-3",IF(G36="tertiary crusher","LP-10 EU-4",IF(G36="fines crushing","LP-10 EU-5",IF(G36="fines screening","LP-10 EU-6",IF(G36="wet drilling: unfragmented stone","LP-10 EU-7",IF(G36="conveyor transfer points","LP-10 EU-8")))))))))</f>
        <v/>
      </c>
      <c r="G36" s="98"/>
      <c r="H36" s="167"/>
      <c r="I36" s="184"/>
      <c r="J36" s="81">
        <f t="shared" ref="J36:J43" si="12">IF($C$40="no",I36,0)</f>
        <v>0</v>
      </c>
      <c r="K36" s="81">
        <f t="shared" ref="K36:K43" si="13">IF($C$40="yes",I36,0)</f>
        <v>0</v>
      </c>
      <c r="M36" s="109" t="s">
        <v>43</v>
      </c>
      <c r="N36" s="136">
        <f ca="1">N12</f>
        <v>0</v>
      </c>
      <c r="O36" s="145">
        <f ca="1">IF(N36=0,0,IF(OR(C25="no",C40="no",C55="no",C71="no",C86="no",C101="no",C116="no",C131="no",C147="no",C161="no"),'Emission Factors'!F5,'Emission Factors'!F17))</f>
        <v>0</v>
      </c>
      <c r="P36" s="136" t="str">
        <f t="shared" si="8"/>
        <v/>
      </c>
      <c r="Q36" s="136">
        <f t="shared" ca="1" si="9"/>
        <v>0</v>
      </c>
      <c r="R36" s="136">
        <f ca="1">IF($G$11&gt;0,"",IF($C$9&gt;0,$C$9*O36/2000,IF($C$10&gt;0,$C$10*365*O36/2000,IF($C$11&gt;0,$C$11*365*O36*N36/2000,IF(Q36="",P36*8760/2000,Q36*8760/2000)))))</f>
        <v>0</v>
      </c>
      <c r="S36" s="136">
        <f ca="1">(O12*'Emission Factors'!F5/2000)+('Emission Factors'!F17*S12/2000)</f>
        <v>0</v>
      </c>
    </row>
    <row r="37" spans="1:19" ht="14.25" customHeight="1" x14ac:dyDescent="0.2">
      <c r="A37" s="80">
        <f>C82</f>
        <v>0</v>
      </c>
      <c r="B37" s="94" t="str">
        <f>IF('Limestone Plant (LP-10)'!$E$4&gt;1,"County:","")</f>
        <v/>
      </c>
      <c r="C37" s="76"/>
      <c r="D37" s="55"/>
      <c r="E37" s="166" t="str">
        <f t="shared" ref="E37:E43" si="14">IF(G37="","","LP-10 EP-1")</f>
        <v/>
      </c>
      <c r="F37" s="166" t="str">
        <f t="shared" ref="F37:F43" si="15">IF(G37="","",IF(G37="primary crusher","LP-10 EU-1",IF(G37="screening","LP-10 EU-2",IF(G37="secondary crusher","LP-10 EU-3",IF(G37="tertiary crusher","LP-10 EU-4",IF(G37="fines crushing","LP-10 EU-5",IF(G37="fines screening","LP-10 EU-6",IF(G37="wet drilling: unfragmented stone","LP-10 EU-7",IF(G37="conveyor transfer points","LP-10 EU-8")))))))))</f>
        <v/>
      </c>
      <c r="G37" s="98"/>
      <c r="H37" s="167"/>
      <c r="I37" s="184"/>
      <c r="J37" s="81">
        <f t="shared" si="12"/>
        <v>0</v>
      </c>
      <c r="K37" s="81">
        <f t="shared" si="13"/>
        <v>0</v>
      </c>
      <c r="N37" s="216" t="s">
        <v>295</v>
      </c>
      <c r="O37" s="216" t="s">
        <v>13</v>
      </c>
      <c r="P37" s="345" t="s">
        <v>304</v>
      </c>
      <c r="Q37" s="216" t="s">
        <v>303</v>
      </c>
      <c r="R37" s="216" t="s">
        <v>289</v>
      </c>
      <c r="S37" s="216" t="s">
        <v>300</v>
      </c>
    </row>
    <row r="38" spans="1:19" ht="14.25" customHeight="1" x14ac:dyDescent="0.2">
      <c r="A38" s="80">
        <f>C97</f>
        <v>0</v>
      </c>
      <c r="B38" s="94" t="str">
        <f>IF('Limestone Plant (LP-10)'!$E$4&gt;1,"Crushing Period (Dates):","")</f>
        <v/>
      </c>
      <c r="C38" s="76"/>
      <c r="D38" s="55"/>
      <c r="E38" s="166" t="str">
        <f t="shared" si="14"/>
        <v/>
      </c>
      <c r="F38" s="166" t="str">
        <f t="shared" si="15"/>
        <v/>
      </c>
      <c r="G38" s="98"/>
      <c r="H38" s="167"/>
      <c r="I38" s="184"/>
      <c r="J38" s="81">
        <f t="shared" si="12"/>
        <v>0</v>
      </c>
      <c r="K38" s="81">
        <f t="shared" si="13"/>
        <v>0</v>
      </c>
      <c r="M38" s="81" t="s">
        <v>44</v>
      </c>
      <c r="N38" s="216" t="s">
        <v>296</v>
      </c>
      <c r="O38" s="221" t="s">
        <v>301</v>
      </c>
      <c r="P38" s="345" t="s">
        <v>249</v>
      </c>
      <c r="Q38" s="216" t="s">
        <v>249</v>
      </c>
      <c r="R38" s="216" t="s">
        <v>253</v>
      </c>
      <c r="S38" s="216" t="s">
        <v>253</v>
      </c>
    </row>
    <row r="39" spans="1:19" ht="14.25" customHeight="1" x14ac:dyDescent="0.2">
      <c r="A39" s="80">
        <f>C112</f>
        <v>0</v>
      </c>
      <c r="B39" s="281" t="str">
        <f>IF('Limestone Plant (LP-10)'!$E$4&gt;1,"Controlled with Dust Suppressant or","")</f>
        <v/>
      </c>
      <c r="D39" s="55"/>
      <c r="E39" s="166" t="str">
        <f t="shared" si="14"/>
        <v/>
      </c>
      <c r="F39" s="166" t="str">
        <f t="shared" si="15"/>
        <v/>
      </c>
      <c r="G39" s="98"/>
      <c r="H39" s="167"/>
      <c r="I39" s="184"/>
      <c r="J39" s="81">
        <f t="shared" si="12"/>
        <v>0</v>
      </c>
      <c r="K39" s="81">
        <f t="shared" si="13"/>
        <v>0</v>
      </c>
      <c r="M39" s="111" t="s">
        <v>143</v>
      </c>
      <c r="N39" s="110">
        <f>N14</f>
        <v>0</v>
      </c>
      <c r="O39" s="110">
        <v>3.64</v>
      </c>
      <c r="P39" s="110">
        <f>N39*O39*(1/24)</f>
        <v>0</v>
      </c>
      <c r="Q39" s="110"/>
      <c r="R39" s="110">
        <f>N39*O39*365/2000</f>
        <v>0</v>
      </c>
      <c r="S39" s="110">
        <f>O14*O39/2000</f>
        <v>0</v>
      </c>
    </row>
    <row r="40" spans="1:19" ht="14.25" customHeight="1" x14ac:dyDescent="0.2">
      <c r="A40" s="80">
        <f>C127</f>
        <v>0</v>
      </c>
      <c r="B40" s="282" t="str">
        <f>IF('Limestone Plant (LP-10)'!$E$4&gt;1,"Material Being Processed has","")</f>
        <v/>
      </c>
      <c r="C40" s="280"/>
      <c r="D40" s="55"/>
      <c r="E40" s="166" t="str">
        <f t="shared" si="14"/>
        <v/>
      </c>
      <c r="F40" s="166" t="str">
        <f t="shared" si="15"/>
        <v/>
      </c>
      <c r="G40" s="98"/>
      <c r="H40" s="167"/>
      <c r="I40" s="184"/>
      <c r="J40" s="81">
        <f t="shared" si="12"/>
        <v>0</v>
      </c>
      <c r="K40" s="81">
        <f t="shared" si="13"/>
        <v>0</v>
      </c>
    </row>
    <row r="41" spans="1:19" ht="14.25" customHeight="1" x14ac:dyDescent="0.2">
      <c r="A41" s="80">
        <f>C142</f>
        <v>0</v>
      </c>
      <c r="B41" s="284" t="str">
        <f>IF('Limestone Plant (LP-10)'!$E$4&gt;1,"Moisture Content &gt; 1.5%?","")</f>
        <v/>
      </c>
      <c r="C41" s="55"/>
      <c r="D41" s="55"/>
      <c r="E41" s="166" t="str">
        <f t="shared" si="14"/>
        <v/>
      </c>
      <c r="F41" s="166" t="str">
        <f t="shared" si="15"/>
        <v/>
      </c>
      <c r="G41" s="98"/>
      <c r="H41" s="167"/>
      <c r="I41" s="184"/>
      <c r="J41" s="81">
        <f t="shared" si="12"/>
        <v>0</v>
      </c>
      <c r="K41" s="81">
        <f t="shared" si="13"/>
        <v>0</v>
      </c>
      <c r="N41" s="81"/>
      <c r="O41" s="81"/>
      <c r="P41" s="81"/>
    </row>
    <row r="42" spans="1:19" ht="14.25" customHeight="1" x14ac:dyDescent="0.2">
      <c r="A42" s="80">
        <f>C157</f>
        <v>0</v>
      </c>
      <c r="B42" s="55"/>
      <c r="D42" s="55"/>
      <c r="E42" s="166" t="str">
        <f t="shared" si="14"/>
        <v/>
      </c>
      <c r="F42" s="166" t="str">
        <f t="shared" si="15"/>
        <v/>
      </c>
      <c r="G42" s="98"/>
      <c r="H42" s="167"/>
      <c r="I42" s="184"/>
      <c r="J42" s="81">
        <f t="shared" si="12"/>
        <v>0</v>
      </c>
      <c r="K42" s="81">
        <f t="shared" si="13"/>
        <v>0</v>
      </c>
      <c r="N42" s="81"/>
      <c r="O42" s="81"/>
      <c r="P42" s="81"/>
    </row>
    <row r="43" spans="1:19" ht="14.25" customHeight="1" x14ac:dyDescent="0.2">
      <c r="B43" s="55"/>
      <c r="C43" s="55"/>
      <c r="D43" s="55"/>
      <c r="E43" s="166" t="str">
        <f t="shared" si="14"/>
        <v/>
      </c>
      <c r="F43" s="166" t="str">
        <f t="shared" si="15"/>
        <v/>
      </c>
      <c r="G43" s="98"/>
      <c r="H43" s="167"/>
      <c r="I43" s="184"/>
      <c r="J43" s="81">
        <f t="shared" si="12"/>
        <v>0</v>
      </c>
      <c r="K43" s="81">
        <f t="shared" si="13"/>
        <v>0</v>
      </c>
      <c r="N43" s="81"/>
      <c r="O43" s="81"/>
      <c r="P43" s="81"/>
    </row>
    <row r="44" spans="1:19" ht="14.25" customHeight="1" x14ac:dyDescent="0.2">
      <c r="B44" s="55"/>
      <c r="D44" s="55"/>
      <c r="E44" s="55"/>
      <c r="F44" s="55"/>
      <c r="N44" s="81"/>
      <c r="O44" s="81"/>
      <c r="P44" s="81"/>
    </row>
    <row r="45" spans="1:19" ht="14.25" customHeight="1" x14ac:dyDescent="0.2">
      <c r="B45" s="55"/>
      <c r="E45" s="88" t="str">
        <f>IF('Limestone Plant (LP-10)'!$E$4&gt;1,"Stock Pile Area","")</f>
        <v/>
      </c>
      <c r="F45" s="88"/>
      <c r="G45" s="89"/>
      <c r="N45" s="81"/>
      <c r="O45" s="81"/>
      <c r="P45" s="81"/>
    </row>
    <row r="46" spans="1:19" ht="14.25" customHeight="1" x14ac:dyDescent="0.2">
      <c r="B46" s="55"/>
      <c r="D46" s="90"/>
      <c r="F46" s="60" t="str">
        <f>IF('Limestone Plant (LP-10)'!$E$4&gt;1,"Emission Unit #","")</f>
        <v/>
      </c>
      <c r="G46" s="95" t="str">
        <f>IF('Limestone Plant (LP-10)'!$E$4&gt;1,"Maximum Storage Area (acres)","")</f>
        <v/>
      </c>
      <c r="H46" s="96" t="str">
        <f>IF('Limestone Plant (LP-10)'!$E$4&gt;1,"Actual Storage Area (acres)","")</f>
        <v/>
      </c>
      <c r="I46" s="95" t="str">
        <f>IF('Limestone Plant (LP-10)'!$E$4&gt;1,"Actual Days in Existence (days)","")</f>
        <v/>
      </c>
      <c r="J46" s="97"/>
      <c r="K46" s="97"/>
      <c r="L46" s="90"/>
      <c r="N46" s="81"/>
      <c r="O46" s="81"/>
      <c r="P46" s="81"/>
    </row>
    <row r="47" spans="1:19" ht="14.25" customHeight="1" x14ac:dyDescent="0.2">
      <c r="B47" s="55"/>
      <c r="F47" s="77"/>
      <c r="G47" s="126"/>
      <c r="H47" s="78"/>
      <c r="I47" s="126"/>
      <c r="N47" s="81"/>
      <c r="O47" s="81"/>
      <c r="P47" s="81"/>
    </row>
    <row r="48" spans="1:19" ht="14.25" customHeight="1" x14ac:dyDescent="0.2">
      <c r="B48" s="84"/>
      <c r="C48" s="125"/>
      <c r="D48" s="374"/>
      <c r="E48" s="374"/>
      <c r="F48" s="163"/>
      <c r="G48" s="125"/>
      <c r="H48" s="125"/>
      <c r="N48" s="81"/>
      <c r="O48" s="81"/>
      <c r="P48" s="81"/>
    </row>
    <row r="49" spans="2:16" ht="18.75" customHeight="1" x14ac:dyDescent="0.2">
      <c r="B49" s="84"/>
      <c r="C49" s="218"/>
      <c r="D49" s="374"/>
      <c r="E49" s="374"/>
      <c r="F49" s="218"/>
      <c r="G49" s="218"/>
      <c r="H49" s="218"/>
      <c r="N49" s="81"/>
      <c r="O49" s="81"/>
      <c r="P49" s="81"/>
    </row>
    <row r="50" spans="2:16" ht="30" customHeight="1" x14ac:dyDescent="0.25">
      <c r="B50" s="92" t="str">
        <f>IF('Limestone Plant (LP-10)'!$E$4&gt;2,"CRUSHER PLANT","")</f>
        <v/>
      </c>
      <c r="C50" s="84" t="str">
        <f>IF('Limestone Plant (LP-10)'!$E$4&gt;2,"Site 3","")</f>
        <v/>
      </c>
      <c r="E50" s="213" t="str">
        <f>IF('Limestone Plant (LP-10)'!$E$4&gt;2,"Emission Point #","")</f>
        <v/>
      </c>
      <c r="F50" s="213" t="str">
        <f>IF('Limestone Plant (LP-10)'!$E$4&gt;2,"Emission     Unit #","")</f>
        <v/>
      </c>
      <c r="G50" s="213" t="str">
        <f>IF('Limestone Plant (LP-10)'!$E$4&gt;2,"Processes","")</f>
        <v/>
      </c>
      <c r="H50" s="220" t="str">
        <f>IF('Limestone Plant (LP-10)'!$E$4&gt;2,"Combined Maximum Hourly Design Rate for all Like Processes (tons/hr)","")</f>
        <v/>
      </c>
      <c r="I50" s="213" t="str">
        <f>IF('Limestone Plant (LP-10)'!$E$4&gt;2,('Facility Information'!G5&amp;" Annual Throughput (tons)"),"")</f>
        <v/>
      </c>
      <c r="N50" s="81"/>
      <c r="O50" s="81"/>
      <c r="P50" s="81"/>
    </row>
    <row r="51" spans="2:16" ht="14.25" customHeight="1" x14ac:dyDescent="0.2">
      <c r="B51" s="94" t="str">
        <f>IF('Limestone Plant (LP-10)'!$E$4&gt;2,"Site Name:","")</f>
        <v/>
      </c>
      <c r="C51" s="76"/>
      <c r="D51" s="55"/>
      <c r="E51" s="166" t="str">
        <f>IF(G51="","","LP-10 EP-1")</f>
        <v/>
      </c>
      <c r="F51" s="166" t="str">
        <f>IF(G51="","",IF(G51="primary crusher","LP-10 EU-1",IF(G51="screening","LP-10 EU-2",IF(G51="secondary crusher","LP-10 EU-3",IF(G51="tertiary crusher","LP-10 EU-4",IF(G51="fines crushing","LP-10 EU-5",IF(G51="fines screening","LP-10 EU-6",IF(G51="wet drilling: unfragmented stone","LP-10 EU-7",IF(G51="conveyor transfer points","LP-10 EU-8")))))))))</f>
        <v/>
      </c>
      <c r="G51" s="98"/>
      <c r="H51" s="167"/>
      <c r="I51" s="184"/>
      <c r="J51" s="81">
        <f t="shared" ref="J51:J58" si="16">IF($C$55="no",I51,0)</f>
        <v>0</v>
      </c>
      <c r="K51" s="81">
        <f t="shared" ref="K51:K58" si="17">IF($C$55="yes",I51,0)</f>
        <v>0</v>
      </c>
    </row>
    <row r="52" spans="2:16" ht="14.25" customHeight="1" x14ac:dyDescent="0.2">
      <c r="B52" s="94" t="str">
        <f>IF('Limestone Plant (LP-10)'!$E$4&gt;2,"County:","")</f>
        <v/>
      </c>
      <c r="C52" s="76"/>
      <c r="D52" s="55"/>
      <c r="E52" s="166" t="str">
        <f t="shared" ref="E52:E58" si="18">IF(G52="","","LP-10 EP-1")</f>
        <v/>
      </c>
      <c r="F52" s="166" t="str">
        <f t="shared" ref="F52:F58" si="19">IF(G52="","",IF(G52="primary crusher","LP-10 EU-1",IF(G52="screening","LP-10 EU-2",IF(G52="secondary crusher","LP-10 EU-3",IF(G52="tertiary crusher","LP-10 EU-4",IF(G52="fines crushing","LP-10 EU-5",IF(G52="fines screening","LP-10 EU-6",IF(G52="wet drilling: unfragmented stone","LP-10 EU-7",IF(G52="conveyor transfer points","LP-10 EU-8")))))))))</f>
        <v/>
      </c>
      <c r="G52" s="98"/>
      <c r="H52" s="167"/>
      <c r="I52" s="184"/>
      <c r="J52" s="81">
        <f t="shared" si="16"/>
        <v>0</v>
      </c>
      <c r="K52" s="81">
        <f t="shared" si="17"/>
        <v>0</v>
      </c>
    </row>
    <row r="53" spans="2:16" ht="14.25" customHeight="1" x14ac:dyDescent="0.2">
      <c r="B53" s="94" t="str">
        <f>IF('Limestone Plant (LP-10)'!$E$4&gt;2,"Crushing Period (Dates):","")</f>
        <v/>
      </c>
      <c r="C53" s="76"/>
      <c r="D53" s="55"/>
      <c r="E53" s="166" t="str">
        <f t="shared" si="18"/>
        <v/>
      </c>
      <c r="F53" s="166" t="str">
        <f t="shared" si="19"/>
        <v/>
      </c>
      <c r="G53" s="98"/>
      <c r="H53" s="167"/>
      <c r="I53" s="184"/>
      <c r="J53" s="81">
        <f t="shared" si="16"/>
        <v>0</v>
      </c>
      <c r="K53" s="81">
        <f t="shared" si="17"/>
        <v>0</v>
      </c>
    </row>
    <row r="54" spans="2:16" ht="14.25" customHeight="1" x14ac:dyDescent="0.2">
      <c r="B54" s="281" t="str">
        <f>IF('Limestone Plant (LP-10)'!$E$4&gt;2,"Controlled with Dust Suppressant or","")</f>
        <v/>
      </c>
      <c r="D54" s="55"/>
      <c r="E54" s="166" t="str">
        <f t="shared" si="18"/>
        <v/>
      </c>
      <c r="F54" s="166" t="str">
        <f t="shared" si="19"/>
        <v/>
      </c>
      <c r="G54" s="98"/>
      <c r="H54" s="167"/>
      <c r="I54" s="184"/>
      <c r="J54" s="81">
        <f t="shared" si="16"/>
        <v>0</v>
      </c>
      <c r="K54" s="81">
        <f t="shared" si="17"/>
        <v>0</v>
      </c>
    </row>
    <row r="55" spans="2:16" ht="14.25" customHeight="1" x14ac:dyDescent="0.2">
      <c r="B55" s="282" t="str">
        <f>IF('Limestone Plant (LP-10)'!$E$4&gt;2,"Material Being Processed has","")</f>
        <v/>
      </c>
      <c r="C55" s="280"/>
      <c r="D55" s="55"/>
      <c r="E55" s="166" t="str">
        <f t="shared" si="18"/>
        <v/>
      </c>
      <c r="F55" s="166" t="str">
        <f t="shared" si="19"/>
        <v/>
      </c>
      <c r="G55" s="98"/>
      <c r="H55" s="167"/>
      <c r="I55" s="184"/>
      <c r="J55" s="81">
        <f t="shared" si="16"/>
        <v>0</v>
      </c>
      <c r="K55" s="81">
        <f t="shared" si="17"/>
        <v>0</v>
      </c>
    </row>
    <row r="56" spans="2:16" ht="14.25" customHeight="1" x14ac:dyDescent="0.2">
      <c r="B56" s="284" t="str">
        <f>IF('Limestone Plant (LP-10)'!$E$4&gt;2,"Moisture Content &gt; 1.5%?","")</f>
        <v/>
      </c>
      <c r="C56" s="55"/>
      <c r="D56" s="55"/>
      <c r="E56" s="166" t="str">
        <f t="shared" si="18"/>
        <v/>
      </c>
      <c r="F56" s="166" t="str">
        <f t="shared" si="19"/>
        <v/>
      </c>
      <c r="G56" s="98"/>
      <c r="H56" s="167"/>
      <c r="I56" s="184"/>
      <c r="J56" s="81">
        <f t="shared" si="16"/>
        <v>0</v>
      </c>
      <c r="K56" s="81">
        <f t="shared" si="17"/>
        <v>0</v>
      </c>
    </row>
    <row r="57" spans="2:16" ht="14.25" customHeight="1" x14ac:dyDescent="0.2">
      <c r="B57" s="55"/>
      <c r="D57" s="55"/>
      <c r="E57" s="166" t="str">
        <f t="shared" si="18"/>
        <v/>
      </c>
      <c r="F57" s="166" t="str">
        <f t="shared" si="19"/>
        <v/>
      </c>
      <c r="G57" s="98"/>
      <c r="H57" s="167"/>
      <c r="I57" s="184"/>
      <c r="J57" s="81">
        <f t="shared" si="16"/>
        <v>0</v>
      </c>
      <c r="K57" s="81">
        <f t="shared" si="17"/>
        <v>0</v>
      </c>
    </row>
    <row r="58" spans="2:16" ht="14.25" customHeight="1" x14ac:dyDescent="0.2">
      <c r="B58" s="55"/>
      <c r="C58" s="55"/>
      <c r="D58" s="55"/>
      <c r="E58" s="166" t="str">
        <f t="shared" si="18"/>
        <v/>
      </c>
      <c r="F58" s="166" t="str">
        <f t="shared" si="19"/>
        <v/>
      </c>
      <c r="G58" s="98"/>
      <c r="H58" s="167"/>
      <c r="I58" s="184"/>
      <c r="J58" s="81">
        <f t="shared" si="16"/>
        <v>0</v>
      </c>
      <c r="K58" s="81">
        <f t="shared" si="17"/>
        <v>0</v>
      </c>
    </row>
    <row r="59" spans="2:16" ht="14.25" customHeight="1" x14ac:dyDescent="0.2">
      <c r="B59" s="55"/>
      <c r="D59" s="55"/>
      <c r="E59" s="55"/>
      <c r="F59" s="55"/>
    </row>
    <row r="60" spans="2:16" ht="14.25" customHeight="1" x14ac:dyDescent="0.2">
      <c r="B60" s="55"/>
      <c r="E60" s="88" t="str">
        <f>IF('Limestone Plant (LP-10)'!$E$4&gt;2,"Stock Pile Area","")</f>
        <v/>
      </c>
      <c r="F60" s="88"/>
      <c r="G60" s="89"/>
    </row>
    <row r="61" spans="2:16" ht="14.25" customHeight="1" x14ac:dyDescent="0.2">
      <c r="B61" s="55"/>
      <c r="D61" s="90"/>
      <c r="F61" s="60" t="str">
        <f>IF('Limestone Plant (LP-10)'!$E$4&gt;2,"Emission Unit #","")</f>
        <v/>
      </c>
      <c r="G61" s="95" t="str">
        <f>IF('Limestone Plant (LP-10)'!$E$4&gt;2,"Maximum Storage Area (acres)","")</f>
        <v/>
      </c>
      <c r="H61" s="96" t="str">
        <f>IF('Limestone Plant (LP-10)'!$E$4&gt;2,"Actual Storage Area (acres)","")</f>
        <v/>
      </c>
      <c r="I61" s="95" t="str">
        <f>IF('Limestone Plant (LP-10)'!$E$4&gt;2,"Actual Days in Existence (days)","")</f>
        <v/>
      </c>
    </row>
    <row r="62" spans="2:16" ht="14.25" customHeight="1" x14ac:dyDescent="0.2">
      <c r="B62" s="55"/>
      <c r="F62" s="77"/>
      <c r="G62" s="126"/>
      <c r="H62" s="78"/>
      <c r="I62" s="126"/>
    </row>
    <row r="66" spans="2:11" ht="28.5" customHeight="1" x14ac:dyDescent="0.25">
      <c r="B66" s="92" t="str">
        <f>IF('Limestone Plant (LP-10)'!$E$4&gt;3,"CRUSHER PLANT","")</f>
        <v/>
      </c>
      <c r="C66" s="84" t="str">
        <f>IF('Limestone Plant (LP-10)'!$E$4&gt;3,"Site 4","")</f>
        <v/>
      </c>
      <c r="E66" s="213" t="str">
        <f>IF('Limestone Plant (LP-10)'!$E$4&gt;3,"Emission Point #","")</f>
        <v/>
      </c>
      <c r="F66" s="213" t="str">
        <f>IF('Limestone Plant (LP-10)'!$E$4&gt;3,"Emission     Unit #","")</f>
        <v/>
      </c>
      <c r="G66" s="213" t="str">
        <f>IF('Limestone Plant (LP-10)'!$E$4&gt;3,"Processes","")</f>
        <v/>
      </c>
      <c r="H66" s="220" t="str">
        <f>IF('Limestone Plant (LP-10)'!$E$4&gt;3,"Combined Maximum Hourly Design Rate for all Like Processes (tons/hr)","")</f>
        <v/>
      </c>
      <c r="I66" s="213" t="str">
        <f>IF('Limestone Plant (LP-10)'!$E$4&gt;3,('Facility Information'!G5&amp;" Annual Throughput (tons)"),"")</f>
        <v/>
      </c>
    </row>
    <row r="67" spans="2:11" ht="14.25" customHeight="1" x14ac:dyDescent="0.2">
      <c r="B67" s="94" t="str">
        <f>IF('Limestone Plant (LP-10)'!$E$4&gt;3,"Site Name:","")</f>
        <v/>
      </c>
      <c r="C67" s="76"/>
      <c r="D67" s="55"/>
      <c r="E67" s="166" t="str">
        <f>IF(G67="","","LP-10 EP-1")</f>
        <v/>
      </c>
      <c r="F67" s="166" t="str">
        <f>IF(G67="","",IF(G67="primary crusher","LP-10 EU-1",IF(G67="screening","LP-10 EU-2",IF(G67="secondary crusher","LP-10 EU-3",IF(G67="tertiary crusher","LP-10 EU-4",IF(G67="fines crushing","LP-10 EU-5",IF(G67="fines screening","LP-10 EU-6",IF(G67="wet drilling: unfragmented stone","LP-10 EU-7",IF(G67="conveyor transfer points","LP-10 EU-8")))))))))</f>
        <v/>
      </c>
      <c r="G67" s="98"/>
      <c r="H67" s="167"/>
      <c r="I67" s="184"/>
      <c r="J67" s="81">
        <f t="shared" ref="J67:J74" si="20">IF($C$71="no",I67,0)</f>
        <v>0</v>
      </c>
      <c r="K67" s="81">
        <f t="shared" ref="K67:K74" si="21">IF($C$71="yes",I67,0)</f>
        <v>0</v>
      </c>
    </row>
    <row r="68" spans="2:11" ht="14.25" customHeight="1" x14ac:dyDescent="0.2">
      <c r="B68" s="94" t="str">
        <f>IF('Limestone Plant (LP-10)'!$E$4&gt;3,"County:","")</f>
        <v/>
      </c>
      <c r="C68" s="76"/>
      <c r="D68" s="55"/>
      <c r="E68" s="166" t="str">
        <f t="shared" ref="E68:E74" si="22">IF(G68="","","LP-10 EP-1")</f>
        <v/>
      </c>
      <c r="F68" s="166" t="str">
        <f t="shared" ref="F68:F74" si="23">IF(G68="","",IF(G68="primary crusher","LP-10 EU-1",IF(G68="screening","LP-10 EU-2",IF(G68="secondary crusher","LP-10 EU-3",IF(G68="tertiary crusher","LP-10 EU-4",IF(G68="fines crushing","LP-10 EU-5",IF(G68="fines screening","LP-10 EU-6",IF(G68="wet drilling: unfragmented stone","LP-10 EU-7",IF(G68="conveyor transfer points","LP-10 EU-8")))))))))</f>
        <v/>
      </c>
      <c r="G68" s="98"/>
      <c r="H68" s="167"/>
      <c r="I68" s="184"/>
      <c r="J68" s="81">
        <f t="shared" si="20"/>
        <v>0</v>
      </c>
      <c r="K68" s="81">
        <f t="shared" si="21"/>
        <v>0</v>
      </c>
    </row>
    <row r="69" spans="2:11" ht="14.25" customHeight="1" x14ac:dyDescent="0.2">
      <c r="B69" s="94" t="str">
        <f>IF('Limestone Plant (LP-10)'!$E$4&gt;3,"Crushing Period (Dates):","")</f>
        <v/>
      </c>
      <c r="C69" s="76"/>
      <c r="D69" s="55"/>
      <c r="E69" s="166" t="str">
        <f t="shared" si="22"/>
        <v/>
      </c>
      <c r="F69" s="166" t="str">
        <f t="shared" si="23"/>
        <v/>
      </c>
      <c r="G69" s="98"/>
      <c r="H69" s="167"/>
      <c r="I69" s="184"/>
      <c r="J69" s="81">
        <f t="shared" si="20"/>
        <v>0</v>
      </c>
      <c r="K69" s="81">
        <f t="shared" si="21"/>
        <v>0</v>
      </c>
    </row>
    <row r="70" spans="2:11" ht="14.25" customHeight="1" x14ac:dyDescent="0.2">
      <c r="B70" s="281" t="str">
        <f>IF('Limestone Plant (LP-10)'!$E$4&gt;3,"Controlled with Dust Suppressant or","")</f>
        <v/>
      </c>
      <c r="D70" s="55"/>
      <c r="E70" s="166" t="str">
        <f t="shared" si="22"/>
        <v/>
      </c>
      <c r="F70" s="166" t="str">
        <f t="shared" si="23"/>
        <v/>
      </c>
      <c r="G70" s="98"/>
      <c r="H70" s="167"/>
      <c r="I70" s="184"/>
      <c r="J70" s="81">
        <f t="shared" si="20"/>
        <v>0</v>
      </c>
      <c r="K70" s="81">
        <f t="shared" si="21"/>
        <v>0</v>
      </c>
    </row>
    <row r="71" spans="2:11" ht="14.25" customHeight="1" x14ac:dyDescent="0.2">
      <c r="B71" s="282" t="str">
        <f>IF('Limestone Plant (LP-10)'!$E$4&gt;3,"Material Being Processed has","")</f>
        <v/>
      </c>
      <c r="C71" s="280"/>
      <c r="D71" s="55"/>
      <c r="E71" s="166" t="str">
        <f t="shared" si="22"/>
        <v/>
      </c>
      <c r="F71" s="166" t="str">
        <f t="shared" si="23"/>
        <v/>
      </c>
      <c r="G71" s="98"/>
      <c r="H71" s="167"/>
      <c r="I71" s="184"/>
      <c r="J71" s="81">
        <f t="shared" si="20"/>
        <v>0</v>
      </c>
      <c r="K71" s="81">
        <f t="shared" si="21"/>
        <v>0</v>
      </c>
    </row>
    <row r="72" spans="2:11" ht="14.25" customHeight="1" x14ac:dyDescent="0.2">
      <c r="B72" s="284" t="str">
        <f>IF('Limestone Plant (LP-10)'!$E$4&gt;3,"Moisture Content &gt; 1.5%?","")</f>
        <v/>
      </c>
      <c r="C72" s="55"/>
      <c r="D72" s="55"/>
      <c r="E72" s="166" t="str">
        <f t="shared" si="22"/>
        <v/>
      </c>
      <c r="F72" s="166" t="str">
        <f t="shared" si="23"/>
        <v/>
      </c>
      <c r="G72" s="98"/>
      <c r="H72" s="167"/>
      <c r="I72" s="184"/>
      <c r="J72" s="81">
        <f t="shared" si="20"/>
        <v>0</v>
      </c>
      <c r="K72" s="81">
        <f t="shared" si="21"/>
        <v>0</v>
      </c>
    </row>
    <row r="73" spans="2:11" ht="14.25" customHeight="1" x14ac:dyDescent="0.2">
      <c r="B73" s="55"/>
      <c r="D73" s="55"/>
      <c r="E73" s="166" t="str">
        <f t="shared" si="22"/>
        <v/>
      </c>
      <c r="F73" s="166" t="str">
        <f t="shared" si="23"/>
        <v/>
      </c>
      <c r="G73" s="98"/>
      <c r="H73" s="167"/>
      <c r="I73" s="184"/>
      <c r="J73" s="81">
        <f t="shared" si="20"/>
        <v>0</v>
      </c>
      <c r="K73" s="81">
        <f t="shared" si="21"/>
        <v>0</v>
      </c>
    </row>
    <row r="74" spans="2:11" ht="14.25" customHeight="1" x14ac:dyDescent="0.2">
      <c r="B74" s="55"/>
      <c r="C74" s="55"/>
      <c r="D74" s="55"/>
      <c r="E74" s="166" t="str">
        <f t="shared" si="22"/>
        <v/>
      </c>
      <c r="F74" s="166" t="str">
        <f t="shared" si="23"/>
        <v/>
      </c>
      <c r="G74" s="98"/>
      <c r="H74" s="167"/>
      <c r="I74" s="184"/>
      <c r="J74" s="81">
        <f t="shared" si="20"/>
        <v>0</v>
      </c>
      <c r="K74" s="81">
        <f t="shared" si="21"/>
        <v>0</v>
      </c>
    </row>
    <row r="75" spans="2:11" ht="14.25" customHeight="1" x14ac:dyDescent="0.2">
      <c r="B75" s="55"/>
      <c r="D75" s="55"/>
      <c r="E75" s="55"/>
      <c r="F75" s="55"/>
    </row>
    <row r="76" spans="2:11" ht="14.25" customHeight="1" x14ac:dyDescent="0.2">
      <c r="B76" s="55"/>
      <c r="E76" s="88" t="str">
        <f>IF('Limestone Plant (LP-10)'!$E$4&gt;3,"Stock Pile Area","")</f>
        <v/>
      </c>
      <c r="G76" s="89"/>
    </row>
    <row r="77" spans="2:11" ht="14.25" customHeight="1" x14ac:dyDescent="0.2">
      <c r="B77" s="55"/>
      <c r="D77" s="90"/>
      <c r="F77" s="60" t="str">
        <f>IF('Limestone Plant (LP-10)'!$E$4&gt;3,"Emission Unit #","")</f>
        <v/>
      </c>
      <c r="G77" s="95" t="str">
        <f>IF('Limestone Plant (LP-10)'!$E$4&gt;3,"Maximum Storage Area (acres)","")</f>
        <v/>
      </c>
      <c r="H77" s="96" t="str">
        <f>IF('Limestone Plant (LP-10)'!$E$4&gt;3,"Actual Storage Area (acres)","")</f>
        <v/>
      </c>
      <c r="I77" s="95" t="str">
        <f>IF('Limestone Plant (LP-10)'!$E$4&gt;3,"Actual Days in Existence (days)","")</f>
        <v/>
      </c>
    </row>
    <row r="78" spans="2:11" ht="14.25" customHeight="1" x14ac:dyDescent="0.2">
      <c r="B78" s="55"/>
      <c r="F78" s="77"/>
      <c r="G78" s="126"/>
      <c r="H78" s="78"/>
      <c r="I78" s="126"/>
    </row>
    <row r="81" spans="2:11" ht="28.5" customHeight="1" x14ac:dyDescent="0.25">
      <c r="B81" s="92" t="str">
        <f>IF('Limestone Plant (LP-10)'!$E$4&gt;4,"CRUSHER PLANT","")</f>
        <v/>
      </c>
      <c r="C81" s="84" t="str">
        <f>IF('Limestone Plant (LP-10)'!$E$4&gt;4,"Site 5","")</f>
        <v/>
      </c>
      <c r="E81" s="213" t="str">
        <f>IF('Limestone Plant (LP-10)'!$E$4&gt;4,"Emission Point #","")</f>
        <v/>
      </c>
      <c r="F81" s="213" t="str">
        <f>IF('Limestone Plant (LP-10)'!$E$4&gt;4,"Emission     Unit #","")</f>
        <v/>
      </c>
      <c r="G81" s="213" t="str">
        <f>IF('Limestone Plant (LP-10)'!$E$4&gt;4,"Processes","")</f>
        <v/>
      </c>
      <c r="H81" s="220" t="str">
        <f>IF('Limestone Plant (LP-10)'!$E$4&gt;4,"Combined Maximum Hourly Design Rate for all Like Processes (tons/hr)","")</f>
        <v/>
      </c>
      <c r="I81" s="213" t="str">
        <f>IF('Limestone Plant (LP-10)'!$E$4&gt;4,('Facility Information'!G5&amp;" Annual Throughput (tons)"),"")</f>
        <v/>
      </c>
    </row>
    <row r="82" spans="2:11" ht="14.25" customHeight="1" x14ac:dyDescent="0.2">
      <c r="B82" s="94" t="str">
        <f>IF('Limestone Plant (LP-10)'!$E$4&gt;4,"Site Name:","")</f>
        <v/>
      </c>
      <c r="C82" s="76"/>
      <c r="D82" s="55"/>
      <c r="E82" s="166" t="str">
        <f>IF(G82="","","LP-10 EP-1")</f>
        <v/>
      </c>
      <c r="F82" s="166" t="str">
        <f>IF(G82="","",IF(G82="primary crusher","LP-10 EU-1",IF(G82="screening","LP-10 EU-2",IF(G82="secondary crusher","LP-10 EU-3",IF(G82="tertiary crusher","LP-10 EU-4",IF(G82="fines crushing","LP-10 EU-5",IF(G82="fines screening","LP-10 EU-6",IF(G82="wet drilling: unfragmented stone","LP-10 EU-7",IF(G82="conveyor transfer points","LP-10 EU-8")))))))))</f>
        <v/>
      </c>
      <c r="G82" s="98"/>
      <c r="H82" s="167"/>
      <c r="I82" s="184"/>
      <c r="J82" s="81">
        <f t="shared" ref="J82:J89" si="24">IF($C$86="no",I82,0)</f>
        <v>0</v>
      </c>
      <c r="K82" s="81">
        <f t="shared" ref="K82:K89" si="25">IF($C$86="yes",I82,0)</f>
        <v>0</v>
      </c>
    </row>
    <row r="83" spans="2:11" ht="14.25" customHeight="1" x14ac:dyDescent="0.2">
      <c r="B83" s="94" t="str">
        <f>IF('Limestone Plant (LP-10)'!$E$4&gt;4,"County:","")</f>
        <v/>
      </c>
      <c r="C83" s="76"/>
      <c r="D83" s="55"/>
      <c r="E83" s="166" t="str">
        <f t="shared" ref="E83:E89" si="26">IF(G83="","","LP-10 EP-1")</f>
        <v/>
      </c>
      <c r="F83" s="166" t="str">
        <f t="shared" ref="F83:F89" si="27">IF(G83="","",IF(G83="primary crusher","LP-10 EU-1",IF(G83="screening","LP-10 EU-2",IF(G83="secondary crusher","LP-10 EU-3",IF(G83="tertiary crusher","LP-10 EU-4",IF(G83="fines crushing","LP-10 EU-5",IF(G83="fines screening","LP-10 EU-6",IF(G83="wet drilling: unfragmented stone","LP-10 EU-7",IF(G83="conveyor transfer points","LP-10 EU-8")))))))))</f>
        <v/>
      </c>
      <c r="G83" s="98"/>
      <c r="H83" s="167"/>
      <c r="I83" s="184"/>
      <c r="J83" s="81">
        <f t="shared" si="24"/>
        <v>0</v>
      </c>
      <c r="K83" s="81">
        <f t="shared" si="25"/>
        <v>0</v>
      </c>
    </row>
    <row r="84" spans="2:11" ht="14.25" customHeight="1" x14ac:dyDescent="0.2">
      <c r="B84" s="94" t="str">
        <f>IF('Limestone Plant (LP-10)'!$E$4&gt;4,"Crushing Period (Dates):","")</f>
        <v/>
      </c>
      <c r="C84" s="76"/>
      <c r="D84" s="55"/>
      <c r="E84" s="166" t="str">
        <f t="shared" si="26"/>
        <v/>
      </c>
      <c r="F84" s="166" t="str">
        <f t="shared" si="27"/>
        <v/>
      </c>
      <c r="G84" s="98"/>
      <c r="H84" s="167"/>
      <c r="I84" s="184"/>
      <c r="J84" s="81">
        <f t="shared" si="24"/>
        <v>0</v>
      </c>
      <c r="K84" s="81">
        <f t="shared" si="25"/>
        <v>0</v>
      </c>
    </row>
    <row r="85" spans="2:11" ht="14.25" customHeight="1" x14ac:dyDescent="0.2">
      <c r="B85" s="281" t="str">
        <f>IF('Limestone Plant (LP-10)'!$E$4&gt;4,"Controlled with Dust Suppressant or","")</f>
        <v/>
      </c>
      <c r="D85" s="55"/>
      <c r="E85" s="166" t="str">
        <f t="shared" si="26"/>
        <v/>
      </c>
      <c r="F85" s="166" t="str">
        <f t="shared" si="27"/>
        <v/>
      </c>
      <c r="G85" s="98"/>
      <c r="H85" s="167"/>
      <c r="I85" s="184"/>
      <c r="J85" s="81">
        <f t="shared" si="24"/>
        <v>0</v>
      </c>
      <c r="K85" s="81">
        <f t="shared" si="25"/>
        <v>0</v>
      </c>
    </row>
    <row r="86" spans="2:11" ht="14.25" customHeight="1" x14ac:dyDescent="0.2">
      <c r="B86" s="282" t="str">
        <f>IF('Limestone Plant (LP-10)'!$E$4&gt;4,"Material Being Processed has","")</f>
        <v/>
      </c>
      <c r="C86" s="280"/>
      <c r="D86" s="55"/>
      <c r="E86" s="166" t="str">
        <f t="shared" si="26"/>
        <v/>
      </c>
      <c r="F86" s="166" t="str">
        <f t="shared" si="27"/>
        <v/>
      </c>
      <c r="G86" s="98"/>
      <c r="H86" s="167"/>
      <c r="I86" s="184"/>
      <c r="J86" s="81">
        <f t="shared" si="24"/>
        <v>0</v>
      </c>
      <c r="K86" s="81">
        <f t="shared" si="25"/>
        <v>0</v>
      </c>
    </row>
    <row r="87" spans="2:11" ht="14.25" customHeight="1" x14ac:dyDescent="0.2">
      <c r="B87" s="284" t="str">
        <f>IF('Limestone Plant (LP-10)'!$E$4&gt;4,"Moisture Content &gt; 1.5%?","")</f>
        <v/>
      </c>
      <c r="C87" s="55"/>
      <c r="D87" s="55"/>
      <c r="E87" s="166" t="str">
        <f t="shared" si="26"/>
        <v/>
      </c>
      <c r="F87" s="166" t="str">
        <f t="shared" si="27"/>
        <v/>
      </c>
      <c r="G87" s="98"/>
      <c r="H87" s="167"/>
      <c r="I87" s="184"/>
      <c r="J87" s="81">
        <f t="shared" si="24"/>
        <v>0</v>
      </c>
      <c r="K87" s="81">
        <f t="shared" si="25"/>
        <v>0</v>
      </c>
    </row>
    <row r="88" spans="2:11" ht="14.25" customHeight="1" x14ac:dyDescent="0.2">
      <c r="B88" s="55"/>
      <c r="D88" s="55"/>
      <c r="E88" s="166" t="str">
        <f t="shared" si="26"/>
        <v/>
      </c>
      <c r="F88" s="166" t="str">
        <f t="shared" si="27"/>
        <v/>
      </c>
      <c r="G88" s="98"/>
      <c r="H88" s="167"/>
      <c r="I88" s="184"/>
      <c r="J88" s="81">
        <f t="shared" si="24"/>
        <v>0</v>
      </c>
      <c r="K88" s="81">
        <f t="shared" si="25"/>
        <v>0</v>
      </c>
    </row>
    <row r="89" spans="2:11" ht="14.25" customHeight="1" x14ac:dyDescent="0.2">
      <c r="B89" s="55"/>
      <c r="C89" s="55"/>
      <c r="D89" s="55"/>
      <c r="E89" s="166" t="str">
        <f t="shared" si="26"/>
        <v/>
      </c>
      <c r="F89" s="166" t="str">
        <f t="shared" si="27"/>
        <v/>
      </c>
      <c r="G89" s="98"/>
      <c r="H89" s="167"/>
      <c r="I89" s="184"/>
      <c r="J89" s="81">
        <f t="shared" si="24"/>
        <v>0</v>
      </c>
      <c r="K89" s="81">
        <f t="shared" si="25"/>
        <v>0</v>
      </c>
    </row>
    <row r="90" spans="2:11" ht="14.25" customHeight="1" x14ac:dyDescent="0.2">
      <c r="B90" s="55"/>
      <c r="D90" s="55"/>
      <c r="E90" s="55"/>
      <c r="F90" s="55"/>
    </row>
    <row r="91" spans="2:11" ht="14.25" customHeight="1" x14ac:dyDescent="0.2">
      <c r="B91" s="55"/>
      <c r="E91" s="88" t="str">
        <f>IF('Limestone Plant (LP-10)'!$E$4&gt;4,"Stock Pile Area","")</f>
        <v/>
      </c>
      <c r="F91" s="88"/>
      <c r="G91" s="89"/>
    </row>
    <row r="92" spans="2:11" ht="14.25" customHeight="1" x14ac:dyDescent="0.2">
      <c r="B92" s="55"/>
      <c r="D92" s="90"/>
      <c r="F92" s="60" t="str">
        <f>IF('Limestone Plant (LP-10)'!$E$4&gt;4,"Emission Unit #","")</f>
        <v/>
      </c>
      <c r="G92" s="95" t="str">
        <f>IF('Limestone Plant (LP-10)'!$E$4&gt;4,"Maximum Storage Area (acres)","")</f>
        <v/>
      </c>
      <c r="H92" s="96" t="str">
        <f>IF('Limestone Plant (LP-10)'!$E$4&gt;4,"Actual Storage Area (acres)","")</f>
        <v/>
      </c>
      <c r="I92" s="95" t="str">
        <f>IF('Limestone Plant (LP-10)'!$E$4&gt;4,"Actual Days in Existence (days)","")</f>
        <v/>
      </c>
    </row>
    <row r="93" spans="2:11" ht="14.25" customHeight="1" x14ac:dyDescent="0.2">
      <c r="B93" s="55"/>
      <c r="F93" s="72"/>
      <c r="G93" s="126"/>
      <c r="H93" s="78"/>
      <c r="I93" s="126"/>
    </row>
    <row r="95" spans="2:11" ht="26.25" customHeight="1" x14ac:dyDescent="0.2"/>
    <row r="96" spans="2:11" ht="29.25" customHeight="1" x14ac:dyDescent="0.25">
      <c r="B96" s="92" t="str">
        <f>IF('Limestone Plant (LP-10)'!$E$4&gt;5,"CRUSHER PLANT","")</f>
        <v/>
      </c>
      <c r="C96" s="84" t="str">
        <f>IF('Limestone Plant (LP-10)'!$E$4&gt;5,"Site 6","")</f>
        <v/>
      </c>
      <c r="E96" s="213" t="str">
        <f>IF('Limestone Plant (LP-10)'!$E$4&gt;5,"Emission Point #","")</f>
        <v/>
      </c>
      <c r="F96" s="213" t="str">
        <f>IF('Limestone Plant (LP-10)'!$E$4&gt;5,"Emission     Unit #","")</f>
        <v/>
      </c>
      <c r="G96" s="213" t="str">
        <f>IF('Limestone Plant (LP-10)'!$E$4&gt;5,"Processes","")</f>
        <v/>
      </c>
      <c r="H96" s="220" t="str">
        <f>IF('Limestone Plant (LP-10)'!$E$4&gt;5,"Combined Maximum Hourly Design Rate for all Like Processes (tons/hr)","")</f>
        <v/>
      </c>
      <c r="I96" s="213" t="str">
        <f>IF('Limestone Plant (LP-10)'!$E$4&gt;5,('Facility Information'!G5&amp;" Annual Throughput (tons)"),"")</f>
        <v/>
      </c>
    </row>
    <row r="97" spans="2:11" ht="14.25" customHeight="1" x14ac:dyDescent="0.2">
      <c r="B97" s="94" t="str">
        <f>IF('Limestone Plant (LP-10)'!$E$4&gt;5,"Site Name:","")</f>
        <v/>
      </c>
      <c r="C97" s="76"/>
      <c r="D97" s="55"/>
      <c r="E97" s="166" t="str">
        <f>IF(G97="","","LP-10 EP-1")</f>
        <v/>
      </c>
      <c r="F97" s="166" t="str">
        <f>IF(G97="","",IF(G97="primary crusher","LP-10 EU-1",IF(G97="screening","LP-10 EU-2",IF(G97="secondary crusher","LP-10 EU-3",IF(G97="tertiary crusher","LP-10 EU-4",IF(G97="fines crushing","LP-10 EU-5",IF(G97="fines screening","LP-10 EU-6",IF(G97="wet drilling: unfragmented stone","LP-10 EU-7",IF(G97="conveyor transfer points","LP-10 EU-8")))))))))</f>
        <v/>
      </c>
      <c r="G97" s="98"/>
      <c r="H97" s="167"/>
      <c r="I97" s="184"/>
      <c r="J97" s="81">
        <f t="shared" ref="J97:J104" si="28">IF($C$101="no",I97,0)</f>
        <v>0</v>
      </c>
      <c r="K97" s="81">
        <f t="shared" ref="K97:K104" si="29">IF($C$101="yes",I97,0)</f>
        <v>0</v>
      </c>
    </row>
    <row r="98" spans="2:11" ht="14.25" customHeight="1" x14ac:dyDescent="0.2">
      <c r="B98" s="94" t="str">
        <f>IF('Limestone Plant (LP-10)'!$E$4&gt;5,"County:","")</f>
        <v/>
      </c>
      <c r="C98" s="76"/>
      <c r="D98" s="55"/>
      <c r="E98" s="166" t="str">
        <f t="shared" ref="E98:E104" si="30">IF(G98="","","LP-10 EP-1")</f>
        <v/>
      </c>
      <c r="F98" s="166" t="str">
        <f t="shared" ref="F98:F104" si="31">IF(G98="","",IF(G98="primary crusher","LP-10 EU-1",IF(G98="screening","LP-10 EU-2",IF(G98="secondary crusher","LP-10 EU-3",IF(G98="tertiary crusher","LP-10 EU-4",IF(G98="fines crushing","LP-10 EU-5",IF(G98="fines screening","LP-10 EU-6",IF(G98="wet drilling: unfragmented stone","LP-10 EU-7",IF(G98="conveyor transfer points","LP-10 EU-8")))))))))</f>
        <v/>
      </c>
      <c r="G98" s="98"/>
      <c r="H98" s="167"/>
      <c r="I98" s="184"/>
      <c r="J98" s="81">
        <f t="shared" si="28"/>
        <v>0</v>
      </c>
      <c r="K98" s="81">
        <f t="shared" si="29"/>
        <v>0</v>
      </c>
    </row>
    <row r="99" spans="2:11" ht="14.25" customHeight="1" x14ac:dyDescent="0.2">
      <c r="B99" s="94" t="str">
        <f>IF('Limestone Plant (LP-10)'!$E$4&gt;5,"Crushing Period (Dates):","")</f>
        <v/>
      </c>
      <c r="C99" s="76"/>
      <c r="D99" s="55"/>
      <c r="E99" s="166" t="str">
        <f t="shared" si="30"/>
        <v/>
      </c>
      <c r="F99" s="166" t="str">
        <f t="shared" si="31"/>
        <v/>
      </c>
      <c r="G99" s="98"/>
      <c r="H99" s="167"/>
      <c r="I99" s="184"/>
      <c r="J99" s="81">
        <f t="shared" si="28"/>
        <v>0</v>
      </c>
      <c r="K99" s="81">
        <f t="shared" si="29"/>
        <v>0</v>
      </c>
    </row>
    <row r="100" spans="2:11" ht="14.25" customHeight="1" x14ac:dyDescent="0.2">
      <c r="B100" s="281" t="str">
        <f>IF('Limestone Plant (LP-10)'!$E$4&gt;5,"Controlled with Dust Suppressant or","")</f>
        <v/>
      </c>
      <c r="D100" s="55"/>
      <c r="E100" s="166" t="str">
        <f t="shared" si="30"/>
        <v/>
      </c>
      <c r="F100" s="166" t="str">
        <f t="shared" si="31"/>
        <v/>
      </c>
      <c r="G100" s="98"/>
      <c r="H100" s="167"/>
      <c r="I100" s="184"/>
      <c r="J100" s="81">
        <f t="shared" si="28"/>
        <v>0</v>
      </c>
      <c r="K100" s="81">
        <f t="shared" si="29"/>
        <v>0</v>
      </c>
    </row>
    <row r="101" spans="2:11" ht="14.25" customHeight="1" x14ac:dyDescent="0.2">
      <c r="B101" s="282" t="str">
        <f>IF('Limestone Plant (LP-10)'!$E$4&gt;5,"Material Being Processed has","")</f>
        <v/>
      </c>
      <c r="C101" s="280"/>
      <c r="D101" s="55"/>
      <c r="E101" s="166" t="str">
        <f t="shared" si="30"/>
        <v/>
      </c>
      <c r="F101" s="166" t="str">
        <f t="shared" si="31"/>
        <v/>
      </c>
      <c r="G101" s="98"/>
      <c r="H101" s="167"/>
      <c r="I101" s="184"/>
      <c r="J101" s="81">
        <f t="shared" si="28"/>
        <v>0</v>
      </c>
      <c r="K101" s="81">
        <f t="shared" si="29"/>
        <v>0</v>
      </c>
    </row>
    <row r="102" spans="2:11" ht="14.25" customHeight="1" x14ac:dyDescent="0.2">
      <c r="B102" s="284" t="str">
        <f>IF('Limestone Plant (LP-10)'!$E$4&gt;5,"Moisture Content &gt; 1.5%?","")</f>
        <v/>
      </c>
      <c r="C102" s="55"/>
      <c r="D102" s="55"/>
      <c r="E102" s="166" t="str">
        <f t="shared" si="30"/>
        <v/>
      </c>
      <c r="F102" s="166" t="str">
        <f t="shared" si="31"/>
        <v/>
      </c>
      <c r="G102" s="98"/>
      <c r="H102" s="167"/>
      <c r="I102" s="184"/>
      <c r="J102" s="81">
        <f t="shared" si="28"/>
        <v>0</v>
      </c>
      <c r="K102" s="81">
        <f t="shared" si="29"/>
        <v>0</v>
      </c>
    </row>
    <row r="103" spans="2:11" ht="14.25" customHeight="1" x14ac:dyDescent="0.2">
      <c r="B103" s="55"/>
      <c r="D103" s="55"/>
      <c r="E103" s="166" t="str">
        <f t="shared" si="30"/>
        <v/>
      </c>
      <c r="F103" s="166" t="str">
        <f t="shared" si="31"/>
        <v/>
      </c>
      <c r="G103" s="98"/>
      <c r="H103" s="167"/>
      <c r="I103" s="184"/>
      <c r="J103" s="81">
        <f t="shared" si="28"/>
        <v>0</v>
      </c>
      <c r="K103" s="81">
        <f t="shared" si="29"/>
        <v>0</v>
      </c>
    </row>
    <row r="104" spans="2:11" ht="14.25" customHeight="1" x14ac:dyDescent="0.2">
      <c r="B104" s="55"/>
      <c r="C104" s="55"/>
      <c r="D104" s="55"/>
      <c r="E104" s="166" t="str">
        <f t="shared" si="30"/>
        <v/>
      </c>
      <c r="F104" s="166" t="str">
        <f t="shared" si="31"/>
        <v/>
      </c>
      <c r="G104" s="98"/>
      <c r="H104" s="167"/>
      <c r="I104" s="184"/>
      <c r="J104" s="81">
        <f t="shared" si="28"/>
        <v>0</v>
      </c>
      <c r="K104" s="81">
        <f t="shared" si="29"/>
        <v>0</v>
      </c>
    </row>
    <row r="105" spans="2:11" ht="14.25" customHeight="1" x14ac:dyDescent="0.2">
      <c r="B105" s="55"/>
      <c r="D105" s="55"/>
      <c r="E105" s="55"/>
      <c r="F105" s="55"/>
    </row>
    <row r="106" spans="2:11" ht="14.25" customHeight="1" x14ac:dyDescent="0.2">
      <c r="B106" s="55"/>
      <c r="E106" s="88" t="str">
        <f>IF('Limestone Plant (LP-10)'!$E$4&gt;5,"Stock Pile Area","")</f>
        <v/>
      </c>
      <c r="F106" s="88"/>
      <c r="G106" s="89"/>
    </row>
    <row r="107" spans="2:11" ht="14.25" customHeight="1" x14ac:dyDescent="0.2">
      <c r="B107" s="55"/>
      <c r="D107" s="90"/>
      <c r="F107" s="60" t="str">
        <f>IF('Limestone Plant (LP-10)'!$E$4&gt;5,"Emission Unit #","")</f>
        <v/>
      </c>
      <c r="G107" s="95" t="str">
        <f>IF('Limestone Plant (LP-10)'!$E$4&gt;5,"Maximum Storage Area (acres)","")</f>
        <v/>
      </c>
      <c r="H107" s="96" t="str">
        <f>IF('Limestone Plant (LP-10)'!$E$4&gt;5,"Actual Storage Area (acres)","")</f>
        <v/>
      </c>
      <c r="I107" s="95" t="str">
        <f>IF('Limestone Plant (LP-10)'!$E$4&gt;5,"Actual Days in Existence (days)","")</f>
        <v/>
      </c>
    </row>
    <row r="108" spans="2:11" ht="14.25" customHeight="1" x14ac:dyDescent="0.2">
      <c r="B108" s="55"/>
      <c r="F108" s="77"/>
      <c r="G108" s="126"/>
      <c r="H108" s="78"/>
      <c r="I108" s="126"/>
    </row>
    <row r="111" spans="2:11" ht="28.5" customHeight="1" x14ac:dyDescent="0.25">
      <c r="B111" s="92" t="str">
        <f>IF('Limestone Plant (LP-10)'!$E$4&gt;6,"CRUSHER PLANT","")</f>
        <v/>
      </c>
      <c r="C111" s="84" t="str">
        <f>IF('Limestone Plant (LP-10)'!$E$4&gt;6,"Site 7","")</f>
        <v/>
      </c>
      <c r="E111" s="213" t="str">
        <f>IF('Limestone Plant (LP-10)'!$E$4&gt;6,"Emission Point #","")</f>
        <v/>
      </c>
      <c r="F111" s="213" t="str">
        <f>IF('Limestone Plant (LP-10)'!$E$4&gt;6,"Emission     Unit #","")</f>
        <v/>
      </c>
      <c r="G111" s="213" t="str">
        <f>IF('Limestone Plant (LP-10)'!$E$4&gt;6,"Processes","")</f>
        <v/>
      </c>
      <c r="H111" s="220" t="str">
        <f>IF('Limestone Plant (LP-10)'!$E$4&gt;6,"Combined Maximum Hourly Design Rate for all Like Processes (tons/hr)","")</f>
        <v/>
      </c>
      <c r="I111" s="213" t="str">
        <f>IF('Limestone Plant (LP-10)'!$E$4&gt;6,('Facility Information'!G5&amp;" Annual Throughput (tons)"),"")</f>
        <v/>
      </c>
    </row>
    <row r="112" spans="2:11" ht="14.25" customHeight="1" x14ac:dyDescent="0.2">
      <c r="B112" s="94" t="str">
        <f>IF('Limestone Plant (LP-10)'!$E$4&gt;6,"Site Name:","")</f>
        <v/>
      </c>
      <c r="C112" s="76"/>
      <c r="D112" s="55"/>
      <c r="E112" s="166" t="str">
        <f>IF(G112="","","LP-10 EP-1")</f>
        <v/>
      </c>
      <c r="F112" s="166" t="str">
        <f>IF(G112="","",IF(G112="primary crusher","LP-10 EU-1",IF(G112="screening","LP-10 EU-2",IF(G112="secondary crusher","LP-10 EU-3",IF(G112="tertiary crusher","LP-10 EU-4",IF(G112="fines crushing","LP-10 EU-5",IF(G112="fines screening","LP-10 EU-6",IF(G112="wet drilling: unfragmented stone","LP-10 EU-7",IF(G112="conveyor transfer points","LP-10 EU-8")))))))))</f>
        <v/>
      </c>
      <c r="G112" s="98"/>
      <c r="H112" s="167"/>
      <c r="I112" s="184"/>
      <c r="J112" s="81">
        <f t="shared" ref="J112:J119" si="32">IF($C$116="no",I112,0)</f>
        <v>0</v>
      </c>
      <c r="K112" s="81">
        <f t="shared" ref="K112:K119" si="33">IF($C$116="yes",I112,0)</f>
        <v>0</v>
      </c>
    </row>
    <row r="113" spans="2:11" ht="14.25" customHeight="1" x14ac:dyDescent="0.2">
      <c r="B113" s="94" t="str">
        <f>IF('Limestone Plant (LP-10)'!$E$4&gt;6,"County:","")</f>
        <v/>
      </c>
      <c r="C113" s="76"/>
      <c r="D113" s="55"/>
      <c r="E113" s="166" t="str">
        <f t="shared" ref="E113:E119" si="34">IF(G113="","","LP-10 EP-1")</f>
        <v/>
      </c>
      <c r="F113" s="166" t="str">
        <f t="shared" ref="F113:F119" si="35">IF(G113="","",IF(G113="primary crusher","LP-10 EU-1",IF(G113="screening","LP-10 EU-2",IF(G113="secondary crusher","LP-10 EU-3",IF(G113="tertiary crusher","LP-10 EU-4",IF(G113="fines crushing","LP-10 EU-5",IF(G113="fines screening","LP-10 EU-6",IF(G113="wet drilling: unfragmented stone","LP-10 EU-7",IF(G113="conveyor transfer points","LP-10 EU-8")))))))))</f>
        <v/>
      </c>
      <c r="G113" s="98"/>
      <c r="H113" s="167"/>
      <c r="I113" s="184"/>
      <c r="J113" s="81">
        <f t="shared" si="32"/>
        <v>0</v>
      </c>
      <c r="K113" s="81">
        <f t="shared" si="33"/>
        <v>0</v>
      </c>
    </row>
    <row r="114" spans="2:11" ht="14.25" customHeight="1" x14ac:dyDescent="0.2">
      <c r="B114" s="94" t="str">
        <f>IF('Limestone Plant (LP-10)'!$E$4&gt;6,"Crushing Period (Dates):","")</f>
        <v/>
      </c>
      <c r="C114" s="76"/>
      <c r="D114" s="55"/>
      <c r="E114" s="166" t="str">
        <f t="shared" si="34"/>
        <v/>
      </c>
      <c r="F114" s="166" t="str">
        <f t="shared" si="35"/>
        <v/>
      </c>
      <c r="G114" s="98"/>
      <c r="H114" s="167"/>
      <c r="I114" s="184"/>
      <c r="J114" s="81">
        <f t="shared" si="32"/>
        <v>0</v>
      </c>
      <c r="K114" s="81">
        <f t="shared" si="33"/>
        <v>0</v>
      </c>
    </row>
    <row r="115" spans="2:11" ht="14.25" customHeight="1" x14ac:dyDescent="0.2">
      <c r="B115" s="281" t="str">
        <f>IF('Limestone Plant (LP-10)'!$E$4&gt;6,"Controlled with Dust Suppressant or","")</f>
        <v/>
      </c>
      <c r="D115" s="55"/>
      <c r="E115" s="166" t="str">
        <f t="shared" si="34"/>
        <v/>
      </c>
      <c r="F115" s="166" t="str">
        <f t="shared" si="35"/>
        <v/>
      </c>
      <c r="G115" s="98"/>
      <c r="H115" s="167"/>
      <c r="I115" s="184"/>
      <c r="J115" s="81">
        <f t="shared" si="32"/>
        <v>0</v>
      </c>
      <c r="K115" s="81">
        <f t="shared" si="33"/>
        <v>0</v>
      </c>
    </row>
    <row r="116" spans="2:11" ht="14.25" customHeight="1" x14ac:dyDescent="0.2">
      <c r="B116" s="282" t="str">
        <f>IF('Limestone Plant (LP-10)'!$E$4&gt;6,"Material Being Processed has","")</f>
        <v/>
      </c>
      <c r="C116" s="280"/>
      <c r="D116" s="55"/>
      <c r="E116" s="166" t="str">
        <f t="shared" si="34"/>
        <v/>
      </c>
      <c r="F116" s="166" t="str">
        <f t="shared" si="35"/>
        <v/>
      </c>
      <c r="G116" s="98"/>
      <c r="H116" s="167"/>
      <c r="I116" s="184"/>
      <c r="J116" s="81">
        <f t="shared" si="32"/>
        <v>0</v>
      </c>
      <c r="K116" s="81">
        <f t="shared" si="33"/>
        <v>0</v>
      </c>
    </row>
    <row r="117" spans="2:11" ht="14.25" customHeight="1" x14ac:dyDescent="0.2">
      <c r="B117" s="284" t="str">
        <f>IF('Limestone Plant (LP-10)'!$E$4&gt;6,"Moisture Content &gt; 1.5%?","")</f>
        <v/>
      </c>
      <c r="C117" s="55"/>
      <c r="D117" s="55"/>
      <c r="E117" s="166" t="str">
        <f t="shared" si="34"/>
        <v/>
      </c>
      <c r="F117" s="166" t="str">
        <f t="shared" si="35"/>
        <v/>
      </c>
      <c r="G117" s="98"/>
      <c r="H117" s="167"/>
      <c r="I117" s="184"/>
      <c r="J117" s="81">
        <f t="shared" si="32"/>
        <v>0</v>
      </c>
      <c r="K117" s="81">
        <f t="shared" si="33"/>
        <v>0</v>
      </c>
    </row>
    <row r="118" spans="2:11" ht="14.25" customHeight="1" x14ac:dyDescent="0.2">
      <c r="B118" s="55"/>
      <c r="D118" s="55"/>
      <c r="E118" s="166" t="str">
        <f t="shared" si="34"/>
        <v/>
      </c>
      <c r="F118" s="166" t="str">
        <f t="shared" si="35"/>
        <v/>
      </c>
      <c r="G118" s="98"/>
      <c r="H118" s="167"/>
      <c r="I118" s="184"/>
      <c r="J118" s="81">
        <f t="shared" si="32"/>
        <v>0</v>
      </c>
      <c r="K118" s="81">
        <f t="shared" si="33"/>
        <v>0</v>
      </c>
    </row>
    <row r="119" spans="2:11" ht="14.25" customHeight="1" x14ac:dyDescent="0.2">
      <c r="B119" s="55"/>
      <c r="C119" s="55"/>
      <c r="D119" s="55"/>
      <c r="E119" s="166" t="str">
        <f t="shared" si="34"/>
        <v/>
      </c>
      <c r="F119" s="166" t="str">
        <f t="shared" si="35"/>
        <v/>
      </c>
      <c r="G119" s="98"/>
      <c r="H119" s="167"/>
      <c r="I119" s="184"/>
      <c r="J119" s="81">
        <f t="shared" si="32"/>
        <v>0</v>
      </c>
      <c r="K119" s="81">
        <f t="shared" si="33"/>
        <v>0</v>
      </c>
    </row>
    <row r="120" spans="2:11" ht="14.25" customHeight="1" x14ac:dyDescent="0.2">
      <c r="B120" s="55"/>
      <c r="D120" s="55"/>
      <c r="E120" s="55"/>
      <c r="F120" s="55"/>
    </row>
    <row r="121" spans="2:11" ht="14.25" customHeight="1" x14ac:dyDescent="0.2">
      <c r="B121" s="55"/>
      <c r="E121" s="88" t="str">
        <f>IF('Limestone Plant (LP-10)'!$E$4&gt;6,"Stock Pile Area","")</f>
        <v/>
      </c>
      <c r="F121" s="88"/>
      <c r="G121" s="89"/>
    </row>
    <row r="122" spans="2:11" ht="14.25" customHeight="1" x14ac:dyDescent="0.2">
      <c r="B122" s="55"/>
      <c r="D122" s="90"/>
      <c r="F122" s="60" t="str">
        <f>IF('Limestone Plant (LP-10)'!$E$4&gt;6,"Emission Unit #","")</f>
        <v/>
      </c>
      <c r="G122" s="95" t="str">
        <f>IF('Limestone Plant (LP-10)'!$E$4&gt;6,"Maximum Storage Area (acres)","")</f>
        <v/>
      </c>
      <c r="H122" s="96" t="str">
        <f>IF('Limestone Plant (LP-10)'!$E$4&gt;6,"Actual Storage Area (acres)","")</f>
        <v/>
      </c>
      <c r="I122" s="95" t="str">
        <f>IF('Limestone Plant (LP-10)'!$E$4&gt;6,"Actual Days in Existence (days)","")</f>
        <v/>
      </c>
    </row>
    <row r="123" spans="2:11" ht="14.25" customHeight="1" x14ac:dyDescent="0.2">
      <c r="B123" s="55"/>
      <c r="F123" s="77"/>
      <c r="G123" s="126"/>
      <c r="H123" s="78"/>
      <c r="I123" s="126"/>
    </row>
    <row r="126" spans="2:11" ht="30.75" customHeight="1" x14ac:dyDescent="0.25">
      <c r="B126" s="92" t="str">
        <f>IF('Limestone Plant (LP-10)'!$E$4&gt;7,"CRUSHER PLANT","")</f>
        <v/>
      </c>
      <c r="C126" s="84" t="str">
        <f>IF('Limestone Plant (LP-10)'!$E$4&gt;7,"Site 8","")</f>
        <v/>
      </c>
      <c r="E126" s="213" t="str">
        <f>IF('Limestone Plant (LP-10)'!$E$4&gt;7,"Emission Point #","")</f>
        <v/>
      </c>
      <c r="F126" s="213" t="str">
        <f>IF('Limestone Plant (LP-10)'!$E$4&gt;7,"Emission     Unit #","")</f>
        <v/>
      </c>
      <c r="G126" s="213" t="str">
        <f>IF('Limestone Plant (LP-10)'!$E$4&gt;7,"Processes","")</f>
        <v/>
      </c>
      <c r="H126" s="220" t="str">
        <f>IF('Limestone Plant (LP-10)'!$E$4&gt;7,"Combined Maximum Hourly Design Rate for all Like Processes (tons/hr)","")</f>
        <v/>
      </c>
      <c r="I126" s="213" t="str">
        <f>IF('Limestone Plant (LP-10)'!$E$4&gt;7,('Facility Information'!G5&amp;" Annual Throughput (tons)"),"")</f>
        <v/>
      </c>
    </row>
    <row r="127" spans="2:11" ht="14.25" customHeight="1" x14ac:dyDescent="0.2">
      <c r="B127" s="94" t="str">
        <f>IF('Limestone Plant (LP-10)'!$E$4&gt;7,"Site Name:","")</f>
        <v/>
      </c>
      <c r="C127" s="76"/>
      <c r="D127" s="55"/>
      <c r="E127" s="166" t="str">
        <f>IF(G127="","","LP-10 EP-1")</f>
        <v/>
      </c>
      <c r="F127" s="166" t="str">
        <f>IF(G127="","",IF(G127="primary crusher","LP-10 EU-1",IF(G127="screening","LP-10 EU-2",IF(G127="secondary crusher","LP-10 EU-3",IF(G127="tertiary crusher","LP-10 EU-4",IF(G127="fines crushing","LP-10 EU-5",IF(G127="fines screening","LP-10 EU-6",IF(G127="wet drilling: unfragmented stone","LP-10 EU-7",IF(G127="conveyor transfer points","LP-10 EU-8")))))))))</f>
        <v/>
      </c>
      <c r="G127" s="98"/>
      <c r="H127" s="167"/>
      <c r="I127" s="184"/>
      <c r="J127" s="81">
        <f t="shared" ref="J127:J134" si="36">IF($C$131="no",I127,0)</f>
        <v>0</v>
      </c>
      <c r="K127" s="81">
        <f t="shared" ref="K127:K134" si="37">IF($C$131="yes",I127,0)</f>
        <v>0</v>
      </c>
    </row>
    <row r="128" spans="2:11" ht="14.25" customHeight="1" x14ac:dyDescent="0.2">
      <c r="B128" s="94" t="str">
        <f>IF('Limestone Plant (LP-10)'!$E$4&gt;7,"County:","")</f>
        <v/>
      </c>
      <c r="C128" s="76"/>
      <c r="D128" s="55"/>
      <c r="E128" s="166" t="str">
        <f t="shared" ref="E128:E134" si="38">IF(G128="","","LP-10 EP-1")</f>
        <v/>
      </c>
      <c r="F128" s="166" t="str">
        <f t="shared" ref="F128:F134" si="39">IF(G128="","",IF(G128="primary crusher","LP-10 EU-1",IF(G128="screening","LP-10 EU-2",IF(G128="secondary crusher","LP-10 EU-3",IF(G128="tertiary crusher","LP-10 EU-4",IF(G128="fines crushing","LP-10 EU-5",IF(G128="fines screening","LP-10 EU-6",IF(G128="wet drilling: unfragmented stone","LP-10 EU-7",IF(G128="conveyor transfer points","LP-10 EU-8")))))))))</f>
        <v/>
      </c>
      <c r="G128" s="98"/>
      <c r="H128" s="167"/>
      <c r="I128" s="184"/>
      <c r="J128" s="81">
        <f t="shared" si="36"/>
        <v>0</v>
      </c>
      <c r="K128" s="81">
        <f t="shared" si="37"/>
        <v>0</v>
      </c>
    </row>
    <row r="129" spans="2:11" ht="14.25" customHeight="1" x14ac:dyDescent="0.2">
      <c r="B129" s="94" t="str">
        <f>IF('Limestone Plant (LP-10)'!$E$4&gt;7,"Crushing Period (Dates):","")</f>
        <v/>
      </c>
      <c r="C129" s="76"/>
      <c r="D129" s="55"/>
      <c r="E129" s="166" t="str">
        <f t="shared" si="38"/>
        <v/>
      </c>
      <c r="F129" s="166" t="str">
        <f t="shared" si="39"/>
        <v/>
      </c>
      <c r="G129" s="98"/>
      <c r="H129" s="167"/>
      <c r="I129" s="184"/>
      <c r="J129" s="81">
        <f t="shared" si="36"/>
        <v>0</v>
      </c>
      <c r="K129" s="81">
        <f t="shared" si="37"/>
        <v>0</v>
      </c>
    </row>
    <row r="130" spans="2:11" ht="14.25" customHeight="1" x14ac:dyDescent="0.2">
      <c r="B130" s="281" t="str">
        <f>IF('Limestone Plant (LP-10)'!$E$4&gt;7,"Controlled with Dust Suppressant or","")</f>
        <v/>
      </c>
      <c r="D130" s="55"/>
      <c r="E130" s="166" t="str">
        <f t="shared" si="38"/>
        <v/>
      </c>
      <c r="F130" s="166" t="str">
        <f t="shared" si="39"/>
        <v/>
      </c>
      <c r="G130" s="98"/>
      <c r="H130" s="167"/>
      <c r="I130" s="184"/>
      <c r="J130" s="81">
        <f t="shared" si="36"/>
        <v>0</v>
      </c>
      <c r="K130" s="81">
        <f t="shared" si="37"/>
        <v>0</v>
      </c>
    </row>
    <row r="131" spans="2:11" ht="14.25" customHeight="1" x14ac:dyDescent="0.2">
      <c r="B131" s="282" t="str">
        <f>IF('Limestone Plant (LP-10)'!$E$4&gt;7,"Material Being Processed has","")</f>
        <v/>
      </c>
      <c r="C131" s="280"/>
      <c r="D131" s="55"/>
      <c r="E131" s="166" t="str">
        <f t="shared" si="38"/>
        <v/>
      </c>
      <c r="F131" s="166" t="str">
        <f t="shared" si="39"/>
        <v/>
      </c>
      <c r="G131" s="98"/>
      <c r="H131" s="167"/>
      <c r="I131" s="184"/>
      <c r="J131" s="81">
        <f t="shared" si="36"/>
        <v>0</v>
      </c>
      <c r="K131" s="81">
        <f t="shared" si="37"/>
        <v>0</v>
      </c>
    </row>
    <row r="132" spans="2:11" ht="14.25" customHeight="1" x14ac:dyDescent="0.2">
      <c r="B132" s="284" t="str">
        <f>IF('Limestone Plant (LP-10)'!$E$4&gt;7,"Moisture Content &gt; 1.5%?","")</f>
        <v/>
      </c>
      <c r="C132" s="55"/>
      <c r="D132" s="55"/>
      <c r="E132" s="166" t="str">
        <f t="shared" si="38"/>
        <v/>
      </c>
      <c r="F132" s="166" t="str">
        <f t="shared" si="39"/>
        <v/>
      </c>
      <c r="G132" s="98"/>
      <c r="H132" s="167"/>
      <c r="I132" s="184"/>
      <c r="J132" s="81">
        <f t="shared" si="36"/>
        <v>0</v>
      </c>
      <c r="K132" s="81">
        <f t="shared" si="37"/>
        <v>0</v>
      </c>
    </row>
    <row r="133" spans="2:11" ht="14.25" customHeight="1" x14ac:dyDescent="0.2">
      <c r="B133" s="55"/>
      <c r="D133" s="55"/>
      <c r="E133" s="166" t="str">
        <f t="shared" si="38"/>
        <v/>
      </c>
      <c r="F133" s="166" t="str">
        <f t="shared" si="39"/>
        <v/>
      </c>
      <c r="G133" s="98"/>
      <c r="H133" s="167"/>
      <c r="I133" s="184"/>
      <c r="J133" s="81">
        <f t="shared" si="36"/>
        <v>0</v>
      </c>
      <c r="K133" s="81">
        <f t="shared" si="37"/>
        <v>0</v>
      </c>
    </row>
    <row r="134" spans="2:11" ht="14.25" customHeight="1" x14ac:dyDescent="0.2">
      <c r="B134" s="55"/>
      <c r="C134" s="55"/>
      <c r="D134" s="55"/>
      <c r="E134" s="166" t="str">
        <f t="shared" si="38"/>
        <v/>
      </c>
      <c r="F134" s="166" t="str">
        <f t="shared" si="39"/>
        <v/>
      </c>
      <c r="G134" s="98"/>
      <c r="H134" s="167"/>
      <c r="I134" s="184"/>
      <c r="J134" s="81">
        <f t="shared" si="36"/>
        <v>0</v>
      </c>
      <c r="K134" s="81">
        <f t="shared" si="37"/>
        <v>0</v>
      </c>
    </row>
    <row r="135" spans="2:11" ht="14.25" customHeight="1" x14ac:dyDescent="0.2">
      <c r="B135" s="55"/>
      <c r="D135" s="55"/>
      <c r="E135" s="55"/>
      <c r="F135" s="55"/>
    </row>
    <row r="136" spans="2:11" ht="14.25" customHeight="1" x14ac:dyDescent="0.2">
      <c r="B136" s="55"/>
      <c r="E136" s="88" t="str">
        <f>IF('Limestone Plant (LP-10)'!$E$4&gt;7,"Stock Pile Area","")</f>
        <v/>
      </c>
      <c r="F136" s="88"/>
      <c r="G136" s="89"/>
    </row>
    <row r="137" spans="2:11" ht="14.25" customHeight="1" x14ac:dyDescent="0.2">
      <c r="B137" s="55"/>
      <c r="D137" s="90"/>
      <c r="F137" s="60" t="str">
        <f>IF('Limestone Plant (LP-10)'!$E$4&gt;7,"Emission Unit #","")</f>
        <v/>
      </c>
      <c r="G137" s="95" t="str">
        <f>IF('Limestone Plant (LP-10)'!$E$4&gt;7,"Maximum Storage Area (acres)","")</f>
        <v/>
      </c>
      <c r="H137" s="96" t="str">
        <f>IF('Limestone Plant (LP-10)'!$E$4&gt;7,"Actual Storage Area (acres)","")</f>
        <v/>
      </c>
      <c r="I137" s="95" t="str">
        <f>IF('Limestone Plant (LP-10)'!$E$4&gt;7,"Actual Days in Existence (days)","")</f>
        <v/>
      </c>
    </row>
    <row r="138" spans="2:11" ht="14.25" customHeight="1" x14ac:dyDescent="0.2">
      <c r="B138" s="55"/>
      <c r="F138" s="77"/>
      <c r="G138" s="126"/>
      <c r="H138" s="78"/>
      <c r="I138" s="126"/>
    </row>
    <row r="140" spans="2:11" ht="42.75" customHeight="1" x14ac:dyDescent="0.2"/>
    <row r="141" spans="2:11" ht="27.75" customHeight="1" x14ac:dyDescent="0.25">
      <c r="B141" s="92" t="str">
        <f>IF('Limestone Plant (LP-10)'!$E$4&gt;8,"CRUSHER PLANT","")</f>
        <v/>
      </c>
      <c r="C141" s="84" t="str">
        <f>IF('Limestone Plant (LP-10)'!$E$4&gt;8,"Site 9","")</f>
        <v/>
      </c>
      <c r="E141" s="213" t="str">
        <f>IF('Limestone Plant (LP-10)'!$E$4&gt;8,"Emission Point #","")</f>
        <v/>
      </c>
      <c r="F141" s="213" t="str">
        <f>IF('Limestone Plant (LP-10)'!$E$4&gt;8,"Emission     Unit #","")</f>
        <v/>
      </c>
      <c r="G141" s="213" t="str">
        <f>IF('Limestone Plant (LP-10)'!$E$4&gt;8,"Processes","")</f>
        <v/>
      </c>
      <c r="H141" s="220" t="str">
        <f>IF('Limestone Plant (LP-10)'!$E$4&gt;8,"Combined Maximum Hourly Design Rate for all Like Processes (tons/hr)","")</f>
        <v/>
      </c>
      <c r="I141" s="213" t="str">
        <f>IF('Limestone Plant (LP-10)'!$E$4&gt;8,('Facility Information'!G5&amp;" Annual Throughput (tons)"),"")</f>
        <v/>
      </c>
    </row>
    <row r="142" spans="2:11" ht="14.25" customHeight="1" x14ac:dyDescent="0.2">
      <c r="B142" s="93" t="str">
        <f>IF('Limestone Plant (LP-10)'!$E$4&gt;8,"Permit Number:","")</f>
        <v/>
      </c>
      <c r="C142" s="73"/>
      <c r="D142" s="55"/>
      <c r="E142" s="166" t="str">
        <f>IF(G142="","","LP-10 EP-1")</f>
        <v/>
      </c>
      <c r="F142" s="166" t="str">
        <f>IF(G142="","",IF(G142="primary crusher","LP-10 EU-1",IF(G142="screening","LP-10 EU-2",IF(G142="secondary crusher","LP-10 EU-3",IF(G142="tertiary crusher","LP-10 EU-4",IF(G142="fines crushing","LP-10 EU-5",IF(G142="fines screening","LP-10 EU-6",IF(G142="wet drilling: unfragmented stone","LP-10 EU-7",IF(G142="conveyor transfer points","LP-10 EU-8")))))))))</f>
        <v/>
      </c>
      <c r="G142" s="98"/>
      <c r="H142" s="167"/>
      <c r="I142" s="184"/>
      <c r="J142" s="81">
        <f t="shared" ref="J142:J149" si="40">IF($C$147="no",I142,0)</f>
        <v>0</v>
      </c>
      <c r="K142" s="81">
        <f t="shared" ref="K142:K149" si="41">IF($C$147="yes",I142,0)</f>
        <v>0</v>
      </c>
    </row>
    <row r="143" spans="2:11" ht="14.25" customHeight="1" x14ac:dyDescent="0.2">
      <c r="B143" s="94" t="str">
        <f>IF('Limestone Plant (LP-10)'!$E$4&gt;8,"Site Name:","")</f>
        <v/>
      </c>
      <c r="C143" s="76"/>
      <c r="D143" s="55"/>
      <c r="E143" s="166" t="str">
        <f t="shared" ref="E143:E149" si="42">IF(G143="","","LP-10 EP-1")</f>
        <v/>
      </c>
      <c r="F143" s="166" t="str">
        <f t="shared" ref="F143:F149" si="43">IF(G143="","",IF(G143="primary crusher","LP-10 EU-1",IF(G143="screening","LP-10 EU-2",IF(G143="secondary crusher","LP-10 EU-3",IF(G143="tertiary crusher","LP-10 EU-4",IF(G143="fines crushing","LP-10 EU-5",IF(G143="fines screening","LP-10 EU-6",IF(G143="wet drilling: unfragmented stone","LP-10 EU-7",IF(G143="conveyor transfer points","LP-10 EU-8")))))))))</f>
        <v/>
      </c>
      <c r="G143" s="98"/>
      <c r="H143" s="167"/>
      <c r="I143" s="184"/>
      <c r="J143" s="81">
        <f t="shared" si="40"/>
        <v>0</v>
      </c>
      <c r="K143" s="81">
        <f t="shared" si="41"/>
        <v>0</v>
      </c>
    </row>
    <row r="144" spans="2:11" ht="14.25" customHeight="1" x14ac:dyDescent="0.2">
      <c r="B144" s="94" t="str">
        <f>IF('Limestone Plant (LP-10)'!$E$4&gt;8,"County:","")</f>
        <v/>
      </c>
      <c r="C144" s="76"/>
      <c r="D144" s="55"/>
      <c r="E144" s="166" t="str">
        <f t="shared" si="42"/>
        <v/>
      </c>
      <c r="F144" s="166" t="str">
        <f t="shared" si="43"/>
        <v/>
      </c>
      <c r="G144" s="98"/>
      <c r="H144" s="167"/>
      <c r="I144" s="184"/>
      <c r="J144" s="81">
        <f t="shared" si="40"/>
        <v>0</v>
      </c>
      <c r="K144" s="81">
        <f t="shared" si="41"/>
        <v>0</v>
      </c>
    </row>
    <row r="145" spans="2:11" ht="14.25" customHeight="1" x14ac:dyDescent="0.2">
      <c r="B145" s="94" t="str">
        <f>IF('Limestone Plant (LP-10)'!$E$4&gt;8,"Crushing Period (Dates):","")</f>
        <v/>
      </c>
      <c r="C145" s="76"/>
      <c r="D145" s="55"/>
      <c r="E145" s="166" t="str">
        <f t="shared" si="42"/>
        <v/>
      </c>
      <c r="F145" s="166" t="str">
        <f t="shared" si="43"/>
        <v/>
      </c>
      <c r="G145" s="98"/>
      <c r="H145" s="167"/>
      <c r="I145" s="184"/>
      <c r="J145" s="81">
        <f t="shared" si="40"/>
        <v>0</v>
      </c>
      <c r="K145" s="81">
        <f t="shared" si="41"/>
        <v>0</v>
      </c>
    </row>
    <row r="146" spans="2:11" ht="14.25" customHeight="1" x14ac:dyDescent="0.2">
      <c r="B146" s="281" t="str">
        <f>IF('Limestone Plant (LP-10)'!$E$4&gt;8,"Controlled with Dust Suppressant or","")</f>
        <v/>
      </c>
      <c r="D146" s="55"/>
      <c r="E146" s="166" t="str">
        <f t="shared" si="42"/>
        <v/>
      </c>
      <c r="F146" s="166" t="str">
        <f t="shared" si="43"/>
        <v/>
      </c>
      <c r="G146" s="98"/>
      <c r="H146" s="167"/>
      <c r="I146" s="184"/>
      <c r="J146" s="81">
        <f t="shared" si="40"/>
        <v>0</v>
      </c>
      <c r="K146" s="81">
        <f t="shared" si="41"/>
        <v>0</v>
      </c>
    </row>
    <row r="147" spans="2:11" ht="14.25" customHeight="1" x14ac:dyDescent="0.2">
      <c r="B147" s="282" t="str">
        <f>IF('Limestone Plant (LP-10)'!$E$4&gt;8,"Material Being Processed has","")</f>
        <v/>
      </c>
      <c r="C147" s="280"/>
      <c r="D147" s="55"/>
      <c r="E147" s="166" t="str">
        <f t="shared" si="42"/>
        <v/>
      </c>
      <c r="F147" s="166" t="str">
        <f t="shared" si="43"/>
        <v/>
      </c>
      <c r="G147" s="98"/>
      <c r="H147" s="167"/>
      <c r="I147" s="184"/>
      <c r="J147" s="81">
        <f t="shared" si="40"/>
        <v>0</v>
      </c>
      <c r="K147" s="81">
        <f t="shared" si="41"/>
        <v>0</v>
      </c>
    </row>
    <row r="148" spans="2:11" ht="14.25" customHeight="1" x14ac:dyDescent="0.2">
      <c r="B148" s="284" t="str">
        <f>IF('Limestone Plant (LP-10)'!$E$4&gt;8,"Moisture Content &gt; 1.5%?","")</f>
        <v/>
      </c>
      <c r="C148" s="55"/>
      <c r="D148" s="55"/>
      <c r="E148" s="166" t="str">
        <f t="shared" si="42"/>
        <v/>
      </c>
      <c r="F148" s="166" t="str">
        <f t="shared" si="43"/>
        <v/>
      </c>
      <c r="G148" s="98"/>
      <c r="H148" s="167"/>
      <c r="I148" s="184"/>
      <c r="J148" s="81">
        <f t="shared" si="40"/>
        <v>0</v>
      </c>
      <c r="K148" s="81">
        <f t="shared" si="41"/>
        <v>0</v>
      </c>
    </row>
    <row r="149" spans="2:11" ht="14.25" customHeight="1" x14ac:dyDescent="0.2">
      <c r="B149" s="55"/>
      <c r="D149" s="55"/>
      <c r="E149" s="166" t="str">
        <f t="shared" si="42"/>
        <v/>
      </c>
      <c r="F149" s="166" t="str">
        <f t="shared" si="43"/>
        <v/>
      </c>
      <c r="G149" s="98"/>
      <c r="H149" s="167"/>
      <c r="I149" s="184"/>
      <c r="J149" s="81">
        <f t="shared" si="40"/>
        <v>0</v>
      </c>
      <c r="K149" s="81">
        <f t="shared" si="41"/>
        <v>0</v>
      </c>
    </row>
    <row r="150" spans="2:11" ht="14.25" customHeight="1" x14ac:dyDescent="0.2">
      <c r="B150" s="55"/>
      <c r="C150" s="55"/>
      <c r="D150" s="55"/>
      <c r="E150" s="55"/>
      <c r="F150" s="55"/>
    </row>
    <row r="151" spans="2:11" ht="14.25" customHeight="1" x14ac:dyDescent="0.2">
      <c r="B151" s="55"/>
      <c r="E151" s="88" t="str">
        <f>IF('Limestone Plant (LP-10)'!$E$4&gt;8,"Stock Pile Area","")</f>
        <v/>
      </c>
      <c r="F151" s="88"/>
      <c r="G151" s="89"/>
    </row>
    <row r="152" spans="2:11" ht="14.25" customHeight="1" x14ac:dyDescent="0.2">
      <c r="B152" s="55"/>
      <c r="D152" s="90"/>
      <c r="F152" s="60" t="str">
        <f>IF('Limestone Plant (LP-10)'!$E$4&gt;8,"Emission Unit #","")</f>
        <v/>
      </c>
      <c r="G152" s="95" t="str">
        <f>IF('Limestone Plant (LP-10)'!$E$4&gt;8,"Maximum Storage Area (acres)","")</f>
        <v/>
      </c>
      <c r="H152" s="96" t="str">
        <f>IF('Limestone Plant (LP-10)'!$E$4&gt;8,"Actual Storage Area (acres)","")</f>
        <v/>
      </c>
      <c r="I152" s="95" t="str">
        <f>IF('Limestone Plant (LP-10)'!$E$4&gt;8,"Actual Days in Existence (days)","")</f>
        <v/>
      </c>
    </row>
    <row r="153" spans="2:11" ht="14.25" customHeight="1" x14ac:dyDescent="0.2">
      <c r="B153" s="55"/>
      <c r="F153" s="77"/>
      <c r="G153" s="126"/>
      <c r="H153" s="78"/>
      <c r="I153" s="126"/>
    </row>
    <row r="154" spans="2:11" ht="14.25" customHeight="1" x14ac:dyDescent="0.2">
      <c r="B154" s="55"/>
    </row>
    <row r="156" spans="2:11" ht="27.75" customHeight="1" x14ac:dyDescent="0.25">
      <c r="B156" s="92" t="str">
        <f>IF('Limestone Plant (LP-10)'!$E$4&gt;9,"CRUSHER PLANT","")</f>
        <v/>
      </c>
      <c r="C156" s="84" t="str">
        <f>IF('Limestone Plant (LP-10)'!$E$4&gt;9,"Site 10","")</f>
        <v/>
      </c>
      <c r="E156" s="213" t="str">
        <f>IF('Limestone Plant (LP-10)'!$E$4&gt;9,"Emission Point #","")</f>
        <v/>
      </c>
      <c r="F156" s="213" t="str">
        <f>IF('Limestone Plant (LP-10)'!$E$4&gt;9,"Emission     Unit #","")</f>
        <v/>
      </c>
      <c r="G156" s="213" t="str">
        <f>IF('Limestone Plant (LP-10)'!$E$4&gt;9,"Processes","")</f>
        <v/>
      </c>
      <c r="H156" s="220" t="str">
        <f>IF('Limestone Plant (LP-10)'!$E$4&gt;9,"Combined Maximum Hourly Design Rate for all Like Processes (tons/hr)","")</f>
        <v/>
      </c>
      <c r="I156" s="213" t="str">
        <f>IF('Limestone Plant (LP-10)'!$E$4&gt;9,('Facility Information'!G5&amp;" Annual Throughput (tons)"),"")</f>
        <v/>
      </c>
    </row>
    <row r="157" spans="2:11" ht="14.25" customHeight="1" x14ac:dyDescent="0.2">
      <c r="B157" s="94" t="str">
        <f>IF('Limestone Plant (LP-10)'!$E$4&gt;9,"Site Name:","")</f>
        <v/>
      </c>
      <c r="C157" s="76"/>
      <c r="D157" s="55"/>
      <c r="E157" s="166" t="str">
        <f>IF(G157="","","LP-10 EP-1")</f>
        <v/>
      </c>
      <c r="F157" s="166" t="str">
        <f>IF(G157="","",IF(G157="primary crusher","LP-10 EU-1",IF(G157="screening","LP-10 EU-2",IF(G157="secondary crusher","LP-10 EU-3",IF(G157="tertiary crusher","LP-10 EU-4",IF(G157="fines crushing","LP-10 EU-5",IF(G157="fines screening","LP-10 EU-6",IF(G157="wet drilling: unfragmented stone","LP-10 EU-7",IF(G157="conveyor transfer points","LP-10 EU-8")))))))))</f>
        <v/>
      </c>
      <c r="G157" s="98"/>
      <c r="H157" s="167"/>
      <c r="I157" s="184"/>
      <c r="J157" s="81">
        <f>IF($C161="no",I157,0)</f>
        <v>0</v>
      </c>
      <c r="K157" s="81">
        <f>IF($C161="yes",I157,0)</f>
        <v>0</v>
      </c>
    </row>
    <row r="158" spans="2:11" ht="14.25" customHeight="1" x14ac:dyDescent="0.2">
      <c r="B158" s="94" t="str">
        <f>IF('Limestone Plant (LP-10)'!$E$4&gt;9,"County:","")</f>
        <v/>
      </c>
      <c r="C158" s="76"/>
      <c r="D158" s="55"/>
      <c r="E158" s="166" t="str">
        <f t="shared" ref="E158:E164" si="44">IF(G158="","","LP-10 EP-1")</f>
        <v/>
      </c>
      <c r="F158" s="166" t="str">
        <f t="shared" ref="F158:F164" si="45">IF(G158="","",IF(G158="primary crusher","LP-10 EU-1",IF(G158="screening","LP-10 EU-2",IF(G158="secondary crusher","LP-10 EU-3",IF(G158="tertiary crusher","LP-10 EU-4",IF(G158="fines crushing","LP-10 EU-5",IF(G158="fines screening","LP-10 EU-6",IF(G158="wet drilling: unfragmented stone","LP-10 EU-7",IF(G158="conveyor transfer points","LP-10 EU-8")))))))))</f>
        <v/>
      </c>
      <c r="G158" s="98"/>
      <c r="H158" s="167"/>
      <c r="I158" s="184"/>
      <c r="J158" s="81">
        <f t="shared" ref="J158:J164" si="46">IF($C162="no",I158,0)</f>
        <v>0</v>
      </c>
      <c r="K158" s="81">
        <f t="shared" ref="K158:K164" si="47">IF($C162="yes",I158,0)</f>
        <v>0</v>
      </c>
    </row>
    <row r="159" spans="2:11" ht="14.25" customHeight="1" x14ac:dyDescent="0.2">
      <c r="B159" s="94" t="str">
        <f>IF('Limestone Plant (LP-10)'!$E$4&gt;9,"Crushing Period (Dates):","")</f>
        <v/>
      </c>
      <c r="C159" s="76"/>
      <c r="D159" s="55"/>
      <c r="E159" s="166" t="str">
        <f t="shared" si="44"/>
        <v/>
      </c>
      <c r="F159" s="166" t="str">
        <f t="shared" si="45"/>
        <v/>
      </c>
      <c r="G159" s="98"/>
      <c r="H159" s="167"/>
      <c r="I159" s="184"/>
      <c r="J159" s="81">
        <f t="shared" si="46"/>
        <v>0</v>
      </c>
      <c r="K159" s="81">
        <f t="shared" si="47"/>
        <v>0</v>
      </c>
    </row>
    <row r="160" spans="2:11" ht="14.25" customHeight="1" x14ac:dyDescent="0.2">
      <c r="B160" s="281" t="str">
        <f>IF('Limestone Plant (LP-10)'!$E$4&gt;9,"Controlled with Dust Suppressant or","")</f>
        <v/>
      </c>
      <c r="D160" s="55"/>
      <c r="E160" s="166" t="str">
        <f t="shared" si="44"/>
        <v/>
      </c>
      <c r="F160" s="166" t="str">
        <f t="shared" si="45"/>
        <v/>
      </c>
      <c r="G160" s="98"/>
      <c r="H160" s="167"/>
      <c r="I160" s="184"/>
      <c r="J160" s="81">
        <f t="shared" si="46"/>
        <v>0</v>
      </c>
      <c r="K160" s="81">
        <f t="shared" si="47"/>
        <v>0</v>
      </c>
    </row>
    <row r="161" spans="2:11" ht="14.25" customHeight="1" x14ac:dyDescent="0.2">
      <c r="B161" s="282" t="str">
        <f>IF('Limestone Plant (LP-10)'!$E$4&gt;9,"Material Being Processed has","")</f>
        <v/>
      </c>
      <c r="C161" s="280"/>
      <c r="D161" s="55"/>
      <c r="E161" s="166" t="str">
        <f t="shared" si="44"/>
        <v/>
      </c>
      <c r="F161" s="166" t="str">
        <f t="shared" si="45"/>
        <v/>
      </c>
      <c r="G161" s="98"/>
      <c r="H161" s="167"/>
      <c r="I161" s="184"/>
      <c r="J161" s="81">
        <f t="shared" si="46"/>
        <v>0</v>
      </c>
      <c r="K161" s="81">
        <f t="shared" si="47"/>
        <v>0</v>
      </c>
    </row>
    <row r="162" spans="2:11" ht="14.25" customHeight="1" x14ac:dyDescent="0.2">
      <c r="B162" s="284" t="str">
        <f>IF('Limestone Plant (LP-10)'!$E$4&gt;9,"Moisture Content &gt; 1.5%?","")</f>
        <v/>
      </c>
      <c r="C162" s="55"/>
      <c r="D162" s="55"/>
      <c r="E162" s="166" t="str">
        <f t="shared" si="44"/>
        <v/>
      </c>
      <c r="F162" s="166" t="str">
        <f t="shared" si="45"/>
        <v/>
      </c>
      <c r="G162" s="98"/>
      <c r="H162" s="167"/>
      <c r="I162" s="184"/>
      <c r="J162" s="81">
        <f t="shared" si="46"/>
        <v>0</v>
      </c>
      <c r="K162" s="81">
        <f t="shared" si="47"/>
        <v>0</v>
      </c>
    </row>
    <row r="163" spans="2:11" ht="14.25" customHeight="1" x14ac:dyDescent="0.2">
      <c r="B163" s="55"/>
      <c r="D163" s="55"/>
      <c r="E163" s="166" t="str">
        <f t="shared" si="44"/>
        <v/>
      </c>
      <c r="F163" s="166" t="str">
        <f t="shared" si="45"/>
        <v/>
      </c>
      <c r="G163" s="98"/>
      <c r="H163" s="167"/>
      <c r="I163" s="184"/>
      <c r="J163" s="81">
        <f t="shared" si="46"/>
        <v>0</v>
      </c>
      <c r="K163" s="81">
        <f t="shared" si="47"/>
        <v>0</v>
      </c>
    </row>
    <row r="164" spans="2:11" ht="14.25" customHeight="1" x14ac:dyDescent="0.2">
      <c r="B164" s="55"/>
      <c r="C164" s="55"/>
      <c r="D164" s="55"/>
      <c r="E164" s="166" t="str">
        <f t="shared" si="44"/>
        <v/>
      </c>
      <c r="F164" s="166" t="str">
        <f t="shared" si="45"/>
        <v/>
      </c>
      <c r="G164" s="98"/>
      <c r="H164" s="167"/>
      <c r="I164" s="184"/>
      <c r="J164" s="81">
        <f t="shared" si="46"/>
        <v>0</v>
      </c>
      <c r="K164" s="81">
        <f t="shared" si="47"/>
        <v>0</v>
      </c>
    </row>
    <row r="165" spans="2:11" ht="14.25" customHeight="1" x14ac:dyDescent="0.2">
      <c r="B165" s="55"/>
      <c r="D165" s="55"/>
      <c r="E165" s="55"/>
      <c r="F165" s="55"/>
    </row>
    <row r="166" spans="2:11" ht="14.25" customHeight="1" x14ac:dyDescent="0.2">
      <c r="B166" s="55"/>
      <c r="E166" s="88" t="str">
        <f>IF('Limestone Plant (LP-10)'!$E$4&gt;9,"Stock Pile Area","")</f>
        <v/>
      </c>
      <c r="F166" s="88"/>
      <c r="G166" s="89"/>
    </row>
    <row r="167" spans="2:11" ht="14.25" customHeight="1" x14ac:dyDescent="0.2">
      <c r="B167" s="55"/>
      <c r="D167" s="90"/>
      <c r="F167" s="60" t="str">
        <f>IF('Limestone Plant (LP-10)'!$E$4&gt;9,"Emission Unit #","")</f>
        <v/>
      </c>
      <c r="G167" s="95" t="str">
        <f>IF('Limestone Plant (LP-10)'!$E$4&gt;9,"Maximum Storage Area (acres)","")</f>
        <v/>
      </c>
      <c r="H167" s="96" t="str">
        <f>IF('Limestone Plant (LP-10)'!$E$4&gt;9,"Actual Storage Area (acres)","")</f>
        <v/>
      </c>
      <c r="I167" s="95" t="str">
        <f>IF('Limestone Plant (LP-10)'!$E$4&gt;9,"Actual Days in Existence (days)","")</f>
        <v/>
      </c>
    </row>
    <row r="168" spans="2:11" ht="14.25" customHeight="1" x14ac:dyDescent="0.2">
      <c r="F168" s="77"/>
      <c r="G168" s="126"/>
      <c r="H168" s="78"/>
      <c r="I168" s="126"/>
    </row>
  </sheetData>
  <sheetProtection algorithmName="SHA-512" hashValue="kSYaXH3fd7GXBxuydlU8wUIT753T7dBiQJgREQMd4Oe33/UQboa2blobC0UBSkhpnRyM0S//ZdFY0+9yJkngTQ==" saltValue="0ILCrLBsWg4JcHrhBVeD2Q==" spinCount="100000" sheet="1" objects="1" scenarios="1"/>
  <conditionalFormatting sqref="F46:I46 B157:B159 B127:B129 B112:B114 B97:B99 B82:B84 B67:B69 B51:B53 B36:B38">
    <cfRule type="notContainsBlanks" dxfId="144" priority="75" stopIfTrue="1">
      <formula>LEN(TRIM(B36))&gt;0</formula>
    </cfRule>
  </conditionalFormatting>
  <conditionalFormatting sqref="F46:I47 D35:I35 D46:D47 D44:I45 D36:D43 G36:I43 B43:C47 B42 C40:C41 B35:C38">
    <cfRule type="cellIs" dxfId="143" priority="72" stopIfTrue="1" operator="equal">
      <formula>$B$35="crusher plant"</formula>
    </cfRule>
  </conditionalFormatting>
  <conditionalFormatting sqref="C44 B35:C35">
    <cfRule type="notContainsBlanks" dxfId="142" priority="76" stopIfTrue="1">
      <formula>LEN(TRIM(B35))&gt;0</formula>
    </cfRule>
  </conditionalFormatting>
  <conditionalFormatting sqref="F61:I61">
    <cfRule type="notContainsBlanks" dxfId="141" priority="71" stopIfTrue="1">
      <formula>LEN(TRIM(F61))&gt;0</formula>
    </cfRule>
  </conditionalFormatting>
  <conditionalFormatting sqref="F61:I62 D50:I50 D61:D62 D59:I60 D51:D58 G51:I58 B58:C62 B57 C55:C56 B50:C53">
    <cfRule type="cellIs" dxfId="140" priority="68" stopIfTrue="1" operator="equal">
      <formula>$B$50="crusher plant"</formula>
    </cfRule>
  </conditionalFormatting>
  <conditionalFormatting sqref="C59 B50:C50">
    <cfRule type="notContainsBlanks" dxfId="139" priority="77" stopIfTrue="1">
      <formula>LEN(TRIM(B50))&gt;0</formula>
    </cfRule>
  </conditionalFormatting>
  <conditionalFormatting sqref="F77:I77">
    <cfRule type="notContainsBlanks" dxfId="138" priority="66" stopIfTrue="1">
      <formula>LEN(TRIM(F77))&gt;0</formula>
    </cfRule>
  </conditionalFormatting>
  <conditionalFormatting sqref="G76:I78 F77:F78 D66:I66 D77:D78 D76:E76 D75:I75 D67:D74 G67:I74 B74:C78 B73 C71:C72 B66:C69">
    <cfRule type="cellIs" dxfId="137" priority="63" stopIfTrue="1" operator="equal">
      <formula>$B$66="crusher plant"</formula>
    </cfRule>
  </conditionalFormatting>
  <conditionalFormatting sqref="C75 B66:C66">
    <cfRule type="notContainsBlanks" dxfId="136" priority="67" stopIfTrue="1">
      <formula>LEN(TRIM(B66))&gt;0</formula>
    </cfRule>
  </conditionalFormatting>
  <conditionalFormatting sqref="F92:I92">
    <cfRule type="notContainsBlanks" dxfId="135" priority="61" stopIfTrue="1">
      <formula>LEN(TRIM(F92))&gt;0</formula>
    </cfRule>
  </conditionalFormatting>
  <conditionalFormatting sqref="F92:I93 D81:I81 D92:D93 D90:I91 D82:D89 G82:I89 B89:C93 B88 C86:C87 B81:C84">
    <cfRule type="cellIs" dxfId="134" priority="58" stopIfTrue="1" operator="equal">
      <formula>$B$81="crusher plant"</formula>
    </cfRule>
  </conditionalFormatting>
  <conditionalFormatting sqref="C90 B81:C81">
    <cfRule type="notContainsBlanks" dxfId="133" priority="62" stopIfTrue="1">
      <formula>LEN(TRIM(B81))&gt;0</formula>
    </cfRule>
  </conditionalFormatting>
  <conditionalFormatting sqref="F107:I107">
    <cfRule type="notContainsBlanks" dxfId="132" priority="56" stopIfTrue="1">
      <formula>LEN(TRIM(F107))&gt;0</formula>
    </cfRule>
  </conditionalFormatting>
  <conditionalFormatting sqref="F107:I108 D96:I96 D107:D108 D105:I106 D97:D104 G97:I104 B104:C108 B103 C101:C102 B96:C99">
    <cfRule type="cellIs" dxfId="131" priority="53" stopIfTrue="1" operator="equal">
      <formula>$B$96="crusher plant"</formula>
    </cfRule>
  </conditionalFormatting>
  <conditionalFormatting sqref="C105 B96:C96">
    <cfRule type="notContainsBlanks" dxfId="130" priority="57" stopIfTrue="1">
      <formula>LEN(TRIM(B96))&gt;0</formula>
    </cfRule>
  </conditionalFormatting>
  <conditionalFormatting sqref="F122:I122">
    <cfRule type="notContainsBlanks" dxfId="129" priority="51" stopIfTrue="1">
      <formula>LEN(TRIM(F122))&gt;0</formula>
    </cfRule>
  </conditionalFormatting>
  <conditionalFormatting sqref="F122:I123 D111:I111 D122:D123 D120:I121 D112:D119 G112:I119 B119:C123 B118 C116:C117 B111:C114">
    <cfRule type="cellIs" dxfId="128" priority="48" stopIfTrue="1" operator="equal">
      <formula>$B$111="crusher plant"</formula>
    </cfRule>
  </conditionalFormatting>
  <conditionalFormatting sqref="C120 B111:C111">
    <cfRule type="notContainsBlanks" dxfId="127" priority="52" stopIfTrue="1">
      <formula>LEN(TRIM(B111))&gt;0</formula>
    </cfRule>
  </conditionalFormatting>
  <conditionalFormatting sqref="F137:I137">
    <cfRule type="notContainsBlanks" dxfId="126" priority="46" stopIfTrue="1">
      <formula>LEN(TRIM(F137))&gt;0</formula>
    </cfRule>
  </conditionalFormatting>
  <conditionalFormatting sqref="F137:I138 D126:I126 D137:D138 D135:I136 D127:D134 G127:I134 B134:C138 B133 C131:C132 B126:C129">
    <cfRule type="cellIs" dxfId="125" priority="43" stopIfTrue="1" operator="equal">
      <formula>$B$126="crusher plant"</formula>
    </cfRule>
  </conditionalFormatting>
  <conditionalFormatting sqref="C135 B126:C126">
    <cfRule type="notContainsBlanks" dxfId="124" priority="47" stopIfTrue="1">
      <formula>LEN(TRIM(B126))&gt;0</formula>
    </cfRule>
  </conditionalFormatting>
  <conditionalFormatting sqref="F152:I152">
    <cfRule type="notContainsBlanks" dxfId="123" priority="41" stopIfTrue="1">
      <formula>LEN(TRIM(F152))&gt;0</formula>
    </cfRule>
  </conditionalFormatting>
  <conditionalFormatting sqref="F152:I153 D141:I141 D152:D153 D150:I151 D142:D149 G142:I149 B150:C154 B149 C147:C148 B141:C145">
    <cfRule type="cellIs" dxfId="122" priority="38" stopIfTrue="1" operator="equal">
      <formula>$B$141="crusher plant"</formula>
    </cfRule>
  </conditionalFormatting>
  <conditionalFormatting sqref="C151 B142:B145 B141:C141">
    <cfRule type="notContainsBlanks" dxfId="121" priority="42" stopIfTrue="1">
      <formula>LEN(TRIM(B141))&gt;0</formula>
    </cfRule>
  </conditionalFormatting>
  <conditionalFormatting sqref="F167:I167">
    <cfRule type="notContainsBlanks" dxfId="120" priority="36" stopIfTrue="1">
      <formula>LEN(TRIM(F167))&gt;0</formula>
    </cfRule>
  </conditionalFormatting>
  <conditionalFormatting sqref="F167:I168 D156:I156 D167:D168 D165:I166 D157:D164 G157:I164 B164:C167 B163 C161:C162 B156:C159">
    <cfRule type="cellIs" dxfId="119" priority="33" stopIfTrue="1" operator="equal">
      <formula>$B$156="crusher plant"</formula>
    </cfRule>
  </conditionalFormatting>
  <conditionalFormatting sqref="C165 B156:C156">
    <cfRule type="notContainsBlanks" dxfId="118" priority="37" stopIfTrue="1">
      <formula>LEN(TRIM(B156))&gt;0</formula>
    </cfRule>
  </conditionalFormatting>
  <conditionalFormatting sqref="E36:E43">
    <cfRule type="expression" dxfId="117" priority="31">
      <formula>$B$35="crusher plant"</formula>
    </cfRule>
  </conditionalFormatting>
  <conditionalFormatting sqref="E51:E58">
    <cfRule type="expression" dxfId="116" priority="30">
      <formula>$B$50="crusher plant"</formula>
    </cfRule>
  </conditionalFormatting>
  <conditionalFormatting sqref="E67:E74">
    <cfRule type="expression" dxfId="115" priority="29">
      <formula>$B$66="crusher plant"</formula>
    </cfRule>
  </conditionalFormatting>
  <conditionalFormatting sqref="E82:E89">
    <cfRule type="expression" dxfId="114" priority="28">
      <formula>$B$81="crusher plant"</formula>
    </cfRule>
  </conditionalFormatting>
  <conditionalFormatting sqref="E97:E104">
    <cfRule type="expression" dxfId="113" priority="27">
      <formula>$B$96="crusher plant"</formula>
    </cfRule>
  </conditionalFormatting>
  <conditionalFormatting sqref="E112:E119">
    <cfRule type="expression" dxfId="112" priority="26">
      <formula>$B$111="crusher plant"</formula>
    </cfRule>
  </conditionalFormatting>
  <conditionalFormatting sqref="E127:E134">
    <cfRule type="expression" dxfId="111" priority="25">
      <formula>$B$126="crusher plant"</formula>
    </cfRule>
  </conditionalFormatting>
  <conditionalFormatting sqref="E142:E149">
    <cfRule type="expression" dxfId="110" priority="24">
      <formula>$B$141="crusher plant"</formula>
    </cfRule>
  </conditionalFormatting>
  <conditionalFormatting sqref="E157:E164">
    <cfRule type="expression" dxfId="109" priority="20">
      <formula>$B$156="crusher plant"</formula>
    </cfRule>
  </conditionalFormatting>
  <conditionalFormatting sqref="F21:F28">
    <cfRule type="notContainsBlanks" dxfId="108" priority="19">
      <formula>LEN(TRIM(F21))&gt;0</formula>
    </cfRule>
  </conditionalFormatting>
  <conditionalFormatting sqref="F36:F43">
    <cfRule type="expression" dxfId="107" priority="18">
      <formula>$B$35="crusher plant"</formula>
    </cfRule>
  </conditionalFormatting>
  <conditionalFormatting sqref="F51:F58">
    <cfRule type="expression" dxfId="106" priority="17">
      <formula>$B$50="crusher plant"</formula>
    </cfRule>
  </conditionalFormatting>
  <conditionalFormatting sqref="F67:F74">
    <cfRule type="expression" dxfId="105" priority="16">
      <formula>$B$66="crusher plant"</formula>
    </cfRule>
  </conditionalFormatting>
  <conditionalFormatting sqref="F82:F89">
    <cfRule type="expression" dxfId="104" priority="15">
      <formula>$B$81="crusher plant"</formula>
    </cfRule>
  </conditionalFormatting>
  <conditionalFormatting sqref="F97:F104">
    <cfRule type="expression" dxfId="103" priority="14">
      <formula>$B$96="crusher plant"</formula>
    </cfRule>
  </conditionalFormatting>
  <conditionalFormatting sqref="F112:F119">
    <cfRule type="expression" dxfId="102" priority="13">
      <formula>$B$111="crusher plant"</formula>
    </cfRule>
  </conditionalFormatting>
  <conditionalFormatting sqref="F127:F134">
    <cfRule type="expression" dxfId="101" priority="12">
      <formula>$B$126="crusher plant"</formula>
    </cfRule>
  </conditionalFormatting>
  <conditionalFormatting sqref="F142:F149">
    <cfRule type="expression" dxfId="100" priority="11">
      <formula>$B$141="crusher plant"</formula>
    </cfRule>
  </conditionalFormatting>
  <conditionalFormatting sqref="F157:F164">
    <cfRule type="expression" dxfId="99" priority="10">
      <formula>$B$156="crusher plant"</formula>
    </cfRule>
  </conditionalFormatting>
  <conditionalFormatting sqref="B39:B41">
    <cfRule type="cellIs" dxfId="98" priority="9" stopIfTrue="1" operator="equal">
      <formula>$B$35="crusher plant"</formula>
    </cfRule>
  </conditionalFormatting>
  <conditionalFormatting sqref="B54:B56">
    <cfRule type="cellIs" dxfId="97" priority="8" stopIfTrue="1" operator="equal">
      <formula>$B$35="crusher plant"</formula>
    </cfRule>
  </conditionalFormatting>
  <conditionalFormatting sqref="B70:B72">
    <cfRule type="cellIs" dxfId="96" priority="7" stopIfTrue="1" operator="equal">
      <formula>$B$35="crusher plant"</formula>
    </cfRule>
  </conditionalFormatting>
  <conditionalFormatting sqref="B85:B87">
    <cfRule type="cellIs" dxfId="95" priority="6" stopIfTrue="1" operator="equal">
      <formula>$B$35="crusher plant"</formula>
    </cfRule>
  </conditionalFormatting>
  <conditionalFormatting sqref="B100:B102">
    <cfRule type="cellIs" dxfId="94" priority="5" stopIfTrue="1" operator="equal">
      <formula>$B$35="crusher plant"</formula>
    </cfRule>
  </conditionalFormatting>
  <conditionalFormatting sqref="B115:B117">
    <cfRule type="cellIs" dxfId="93" priority="4" stopIfTrue="1" operator="equal">
      <formula>$B$35="crusher plant"</formula>
    </cfRule>
  </conditionalFormatting>
  <conditionalFormatting sqref="B130:B132">
    <cfRule type="cellIs" dxfId="92" priority="3" stopIfTrue="1" operator="equal">
      <formula>$B$35="crusher plant"</formula>
    </cfRule>
  </conditionalFormatting>
  <conditionalFormatting sqref="B146:B148">
    <cfRule type="cellIs" dxfId="91" priority="2" stopIfTrue="1" operator="equal">
      <formula>$B$35="crusher plant"</formula>
    </cfRule>
  </conditionalFormatting>
  <conditionalFormatting sqref="B160:B162">
    <cfRule type="cellIs" dxfId="90" priority="1" stopIfTrue="1" operator="equal">
      <formula>$B$35="crusher plant"</formula>
    </cfRule>
  </conditionalFormatting>
  <dataValidations count="3">
    <dataValidation type="whole" allowBlank="1" showInputMessage="1" showErrorMessage="1" sqref="C18 E4 D5" xr:uid="{00000000-0002-0000-0A00-000000000000}">
      <formula1>0</formula1>
      <formula2>100</formula2>
    </dataValidation>
    <dataValidation type="list" allowBlank="1" showInputMessage="1" showErrorMessage="1" sqref="G21:G28 G36:G43 G51:G58 G67:G74 G82:G89 G97:G104 G112:G119 G127:G134 G142:G149 G157:G164" xr:uid="{00000000-0002-0000-0A00-000001000000}">
      <formula1>process</formula1>
    </dataValidation>
    <dataValidation type="list" allowBlank="1" showInputMessage="1" showErrorMessage="1" sqref="C25 C40 C55 C71 C86 C101 C116 C131 C147 C161" xr:uid="{00000000-0002-0000-0A00-000002000000}">
      <formula1>CHECK</formula1>
    </dataValidation>
  </dataValidations>
  <pageMargins left="0.7" right="0.7" top="0.75" bottom="0.75" header="0.3" footer="0.3"/>
  <pageSetup scale="70" fitToHeight="0" orientation="landscape"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O50"/>
  <sheetViews>
    <sheetView topLeftCell="B1" workbookViewId="0">
      <selection activeCell="B1" sqref="B1"/>
    </sheetView>
  </sheetViews>
  <sheetFormatPr defaultColWidth="8.85546875" defaultRowHeight="13.5" customHeight="1" x14ac:dyDescent="0.25"/>
  <cols>
    <col min="1" max="1" width="18.85546875" style="6" hidden="1" customWidth="1"/>
    <col min="2" max="2" width="18.42578125" style="6" customWidth="1"/>
    <col min="3" max="3" width="11.7109375" style="6" customWidth="1"/>
    <col min="4" max="4" width="8.7109375" style="6" customWidth="1"/>
    <col min="5" max="5" width="10.42578125" style="6" customWidth="1"/>
    <col min="6" max="6" width="21.42578125" style="6" customWidth="1"/>
    <col min="7" max="7" width="11.140625" style="6" customWidth="1"/>
    <col min="8" max="8" width="10.42578125" style="6" customWidth="1"/>
    <col min="9" max="9" width="13.7109375" style="6" customWidth="1"/>
    <col min="10" max="10" width="10" style="6" customWidth="1"/>
    <col min="11" max="11" width="9.28515625" style="6" customWidth="1"/>
    <col min="12" max="12" width="10.42578125" style="6" customWidth="1"/>
    <col min="13" max="14" width="12.140625" style="6" customWidth="1"/>
    <col min="15" max="15" width="12.28515625" style="6" customWidth="1"/>
    <col min="16" max="16" width="12.140625" style="6" customWidth="1"/>
    <col min="17" max="17" width="9.42578125" style="6" customWidth="1"/>
    <col min="18" max="18" width="11.7109375" style="6" customWidth="1"/>
    <col min="19" max="19" width="13.7109375" style="6" customWidth="1"/>
    <col min="20" max="20" width="14" style="6" customWidth="1"/>
    <col min="21" max="21" width="8.85546875" style="6"/>
    <col min="22" max="22" width="9.85546875" style="6" hidden="1" customWidth="1"/>
    <col min="23" max="23" width="10.42578125" style="6" hidden="1" customWidth="1"/>
    <col min="24" max="24" width="9.42578125" style="6" hidden="1" customWidth="1"/>
    <col min="25" max="25" width="9.42578125" style="6" customWidth="1"/>
    <col min="26" max="26" width="8.85546875" style="6"/>
    <col min="27" max="27" width="9.42578125" style="6" hidden="1" customWidth="1"/>
    <col min="28" max="28" width="10.28515625" style="6" hidden="1" customWidth="1"/>
    <col min="29" max="29" width="9.85546875" style="6" hidden="1" customWidth="1"/>
    <col min="30" max="30" width="9.42578125" style="6" customWidth="1"/>
    <col min="31" max="31" width="11.85546875" style="6" customWidth="1"/>
    <col min="32" max="32" width="16" style="6" customWidth="1"/>
    <col min="33" max="33" width="11.42578125" style="6" customWidth="1"/>
    <col min="34" max="34" width="10.140625" style="6" customWidth="1"/>
    <col min="35" max="35" width="9.28515625" style="6" customWidth="1"/>
    <col min="36" max="36" width="6" style="6" customWidth="1"/>
    <col min="37" max="37" width="5.7109375" style="6" bestFit="1" customWidth="1"/>
    <col min="38" max="38" width="12.42578125" style="6" hidden="1" customWidth="1"/>
    <col min="39" max="39" width="9.85546875" style="6" bestFit="1" customWidth="1"/>
    <col min="40" max="40" width="12.42578125" style="6" hidden="1" customWidth="1"/>
    <col min="41" max="41" width="9.85546875" style="6" bestFit="1" customWidth="1"/>
    <col min="42" max="16384" width="8.85546875" style="6"/>
  </cols>
  <sheetData>
    <row r="1" spans="1:41" ht="18.75" x14ac:dyDescent="0.3">
      <c r="B1" s="25" t="s">
        <v>115</v>
      </c>
      <c r="C1" s="25"/>
    </row>
    <row r="2" spans="1:41" ht="15" x14ac:dyDescent="0.25">
      <c r="B2" s="317" t="s">
        <v>32</v>
      </c>
      <c r="C2" s="318"/>
      <c r="D2" s="318"/>
      <c r="E2" s="318"/>
      <c r="F2" s="318"/>
      <c r="G2" s="39"/>
      <c r="H2" s="39"/>
    </row>
    <row r="3" spans="1:41" s="191" customFormat="1" ht="15" hidden="1" x14ac:dyDescent="0.25">
      <c r="B3" s="193" t="s">
        <v>188</v>
      </c>
      <c r="C3" s="192"/>
      <c r="D3" s="192"/>
      <c r="E3" s="192"/>
      <c r="F3" s="192"/>
      <c r="G3" s="39"/>
      <c r="H3" s="39"/>
    </row>
    <row r="5" spans="1:41" ht="15" customHeight="1" x14ac:dyDescent="0.25">
      <c r="B5" s="223"/>
      <c r="C5" s="299"/>
      <c r="D5" s="300"/>
      <c r="E5" s="224" t="s">
        <v>208</v>
      </c>
      <c r="F5" s="302"/>
      <c r="G5" s="303" t="s">
        <v>209</v>
      </c>
      <c r="H5" s="304"/>
      <c r="I5" s="227" t="s">
        <v>214</v>
      </c>
      <c r="J5" s="305" t="s">
        <v>218</v>
      </c>
      <c r="K5" s="244" t="s">
        <v>218</v>
      </c>
      <c r="L5" s="227" t="s">
        <v>223</v>
      </c>
      <c r="M5" s="296"/>
      <c r="N5" s="296"/>
      <c r="O5" s="296"/>
      <c r="Q5" s="244" t="s">
        <v>231</v>
      </c>
      <c r="R5" s="244" t="s">
        <v>232</v>
      </c>
      <c r="S5" s="244" t="s">
        <v>236</v>
      </c>
      <c r="T5" s="244" t="s">
        <v>240</v>
      </c>
      <c r="U5" s="227" t="s">
        <v>244</v>
      </c>
      <c r="W5" s="227" t="s">
        <v>248</v>
      </c>
      <c r="Z5" s="227" t="s">
        <v>256</v>
      </c>
      <c r="AB5" s="227" t="s">
        <v>248</v>
      </c>
    </row>
    <row r="6" spans="1:41" ht="15" customHeight="1" x14ac:dyDescent="0.25">
      <c r="B6" s="297" t="s">
        <v>200</v>
      </c>
      <c r="C6" s="297" t="s">
        <v>204</v>
      </c>
      <c r="D6" s="232" t="s">
        <v>204</v>
      </c>
      <c r="E6" s="301" t="s">
        <v>206</v>
      </c>
      <c r="F6" s="296"/>
      <c r="G6" s="370" t="s">
        <v>210</v>
      </c>
      <c r="H6" s="368"/>
      <c r="I6" s="229" t="s">
        <v>211</v>
      </c>
      <c r="J6" s="306" t="s">
        <v>215</v>
      </c>
      <c r="K6" s="308" t="s">
        <v>219</v>
      </c>
      <c r="L6" s="229" t="s">
        <v>221</v>
      </c>
      <c r="M6" s="12"/>
      <c r="N6" s="12"/>
      <c r="O6" s="296"/>
      <c r="P6" s="227" t="s">
        <v>228</v>
      </c>
      <c r="Q6" s="308" t="s">
        <v>226</v>
      </c>
      <c r="R6" s="308" t="s">
        <v>233</v>
      </c>
      <c r="S6" s="308" t="s">
        <v>237</v>
      </c>
      <c r="T6" s="308" t="s">
        <v>241</v>
      </c>
      <c r="U6" s="229" t="s">
        <v>245</v>
      </c>
      <c r="V6" s="227" t="s">
        <v>248</v>
      </c>
      <c r="W6" s="229" t="s">
        <v>252</v>
      </c>
      <c r="X6" s="227" t="s">
        <v>248</v>
      </c>
      <c r="Y6" s="227" t="s">
        <v>255</v>
      </c>
      <c r="Z6" s="229" t="s">
        <v>245</v>
      </c>
      <c r="AA6" s="227" t="s">
        <v>248</v>
      </c>
      <c r="AB6" s="229" t="s">
        <v>252</v>
      </c>
      <c r="AC6" s="227" t="s">
        <v>228</v>
      </c>
      <c r="AD6" s="227" t="s">
        <v>255</v>
      </c>
    </row>
    <row r="7" spans="1:41" ht="15" customHeight="1" x14ac:dyDescent="0.25">
      <c r="B7" s="297" t="s">
        <v>126</v>
      </c>
      <c r="C7" s="297" t="s">
        <v>202</v>
      </c>
      <c r="D7" s="232" t="s">
        <v>205</v>
      </c>
      <c r="E7" s="301" t="s">
        <v>203</v>
      </c>
      <c r="F7" s="369" t="s">
        <v>182</v>
      </c>
      <c r="G7" s="231" t="s">
        <v>318</v>
      </c>
      <c r="H7" s="224" t="s">
        <v>316</v>
      </c>
      <c r="I7" s="306" t="s">
        <v>212</v>
      </c>
      <c r="J7" s="306" t="s">
        <v>216</v>
      </c>
      <c r="K7" s="308" t="s">
        <v>216</v>
      </c>
      <c r="L7" s="229" t="s">
        <v>201</v>
      </c>
      <c r="M7" s="312" t="s">
        <v>225</v>
      </c>
      <c r="N7" s="313"/>
      <c r="O7" s="313"/>
      <c r="P7" s="229" t="s">
        <v>226</v>
      </c>
      <c r="Q7" s="308" t="s">
        <v>229</v>
      </c>
      <c r="R7" s="308" t="s">
        <v>234</v>
      </c>
      <c r="S7" s="308" t="s">
        <v>238</v>
      </c>
      <c r="T7" s="308" t="s">
        <v>242</v>
      </c>
      <c r="U7" s="229" t="s">
        <v>246</v>
      </c>
      <c r="V7" s="229" t="s">
        <v>250</v>
      </c>
      <c r="W7" s="229" t="s">
        <v>250</v>
      </c>
      <c r="X7" s="229" t="s">
        <v>250</v>
      </c>
      <c r="Y7" s="229" t="s">
        <v>250</v>
      </c>
      <c r="Z7" s="229" t="s">
        <v>257</v>
      </c>
      <c r="AA7" s="229" t="s">
        <v>258</v>
      </c>
      <c r="AB7" s="229" t="s">
        <v>250</v>
      </c>
      <c r="AC7" s="229" t="s">
        <v>250</v>
      </c>
      <c r="AD7" s="229" t="s">
        <v>250</v>
      </c>
      <c r="AF7" s="6" t="s">
        <v>112</v>
      </c>
      <c r="AH7" s="6" t="s">
        <v>16</v>
      </c>
      <c r="AL7" s="194" t="s">
        <v>112</v>
      </c>
      <c r="AM7" s="194" t="s">
        <v>112</v>
      </c>
      <c r="AN7" s="194" t="s">
        <v>16</v>
      </c>
      <c r="AO7" s="194" t="s">
        <v>16</v>
      </c>
    </row>
    <row r="8" spans="1:41" ht="15" customHeight="1" x14ac:dyDescent="0.25">
      <c r="B8" s="225" t="s">
        <v>201</v>
      </c>
      <c r="C8" s="225" t="s">
        <v>203</v>
      </c>
      <c r="D8" s="233" t="s">
        <v>203</v>
      </c>
      <c r="E8" s="226" t="s">
        <v>207</v>
      </c>
      <c r="F8" s="310"/>
      <c r="G8" s="233" t="s">
        <v>319</v>
      </c>
      <c r="H8" s="226" t="s">
        <v>317</v>
      </c>
      <c r="I8" s="307" t="s">
        <v>213</v>
      </c>
      <c r="J8" s="307" t="s">
        <v>217</v>
      </c>
      <c r="K8" s="245" t="s">
        <v>220</v>
      </c>
      <c r="L8" s="245" t="s">
        <v>222</v>
      </c>
      <c r="M8" s="230" t="s">
        <v>181</v>
      </c>
      <c r="N8" s="222" t="s">
        <v>118</v>
      </c>
      <c r="O8" s="314" t="s">
        <v>119</v>
      </c>
      <c r="P8" s="228" t="s">
        <v>227</v>
      </c>
      <c r="Q8" s="245" t="s">
        <v>230</v>
      </c>
      <c r="R8" s="245" t="s">
        <v>235</v>
      </c>
      <c r="S8" s="245" t="s">
        <v>239</v>
      </c>
      <c r="T8" s="245" t="s">
        <v>243</v>
      </c>
      <c r="U8" s="228" t="s">
        <v>247</v>
      </c>
      <c r="V8" s="228" t="s">
        <v>251</v>
      </c>
      <c r="W8" s="228" t="s">
        <v>251</v>
      </c>
      <c r="X8" s="228" t="s">
        <v>254</v>
      </c>
      <c r="Y8" s="228" t="s">
        <v>254</v>
      </c>
      <c r="Z8" s="228" t="s">
        <v>247</v>
      </c>
      <c r="AA8" s="228" t="s">
        <v>251</v>
      </c>
      <c r="AB8" s="228" t="s">
        <v>251</v>
      </c>
      <c r="AC8" s="228" t="s">
        <v>254</v>
      </c>
      <c r="AD8" s="228" t="s">
        <v>254</v>
      </c>
      <c r="AF8" s="6" t="s">
        <v>126</v>
      </c>
      <c r="AG8" s="6" t="s">
        <v>127</v>
      </c>
      <c r="AH8" s="6" t="s">
        <v>126</v>
      </c>
      <c r="AI8" s="16" t="s">
        <v>127</v>
      </c>
      <c r="AL8" s="153" t="s">
        <v>158</v>
      </c>
      <c r="AM8" s="153" t="s">
        <v>159</v>
      </c>
      <c r="AN8" s="153" t="s">
        <v>158</v>
      </c>
      <c r="AO8" s="153" t="s">
        <v>159</v>
      </c>
    </row>
    <row r="9" spans="1:41" ht="13.5" customHeight="1" x14ac:dyDescent="0.25">
      <c r="A9" s="6" t="s">
        <v>117</v>
      </c>
      <c r="B9" s="295"/>
      <c r="C9" s="295"/>
      <c r="D9" s="298"/>
      <c r="E9" s="298"/>
      <c r="F9" s="15"/>
      <c r="G9" s="309"/>
      <c r="H9" s="309"/>
      <c r="I9" s="298"/>
      <c r="J9" s="172" t="str">
        <f>IF(G9="","",(G9*(I9/100)+H9*(1-(I9/100))))</f>
        <v/>
      </c>
      <c r="K9" s="172" t="str">
        <f>IF(G9="","",H9-G9)</f>
        <v/>
      </c>
      <c r="L9" s="309"/>
      <c r="M9" s="311" t="str">
        <f>IF(E9="","",IF(E9="LP-1",IF('Limestone Plant (LP-1)'!$C$9&gt;0,'Limestone Plant (LP-1)'!$C$9,IF('Limestone Plant (LP-1)'!$C$10&gt;0,'Limestone Plant (LP-1)'!$C$10*365,"")),IF(E9="LP-2",IF('Limestone Plant (LP-2)'!$C$9&gt;0,'Limestone Plant (LP-2)'!$C$9,IF('Limestone Plant (LP-2)'!$C$10&gt;0,'Limestone Plant (LP-2)'!$C$10*365,"")),IF(E9="LP-3",IF('Limestone Plant (LP-3)'!$C$9&gt;0,'Limestone Plant (LP-3)'!$C$9,IF('Limestone Plant (LP-3)'!$C$10&gt;0,'Limestone Plant (LP-3)'!$C$10*365,"")),IF(E9="LP-4",IF('Limestone Plant (LP-4)'!$C$9&gt;0,'Limestone Plant (LP-4)'!$C$9,IF('Limestone Plant (LP-4)'!$C$10&gt;0,'Limestone Plant (LP-4)'!$C$10*365,"")),IF(E9="LP-5",IF('Limestone Plant (LP-5)'!$C$9&gt;0,'Limestone Plant (LP-5)'!$C$9,IF('Limestone Plant (LP-5)'!$C$10&gt;0,'Limestone Plant (LP-5)'!$C$10*365,"")),IF(E9="LP-6",IF('Limestone Plant (LP-6)'!$C$9&gt;0,'Limestone Plant (LP-6)'!$C$9,IF('Limestone Plant (LP-6)'!$C$10&gt;0,'Limestone Plant (LP-6)'!$C$10*365,"")),IF(E9="LP-7",IF('Limestone Plant (LP-7)'!$C$9&gt;0,'Limestone Plant (LP-7)'!$C$9,IF('Limestone Plant (LP-7)'!$C$10&gt;0,'Limestone Plant (LP-7)'!$C$10*365,"")),IF(E9="LP-8",IF('Limestone Plant (LP-8)'!$C$9&gt;0,'Limestone Plant (LP-8)'!$C$9,IF('Limestone Plant (LP-8)'!$C$10&gt;0,'Limestone Plant (LP-8)'!$C$10*365,"")),IF(E9="LP-9",IF('Limestone Plant (LP-9)'!$C$9&gt;0,'Limestone Plant (LP-9)'!$C$9,IF('Limestone Plant (LP-9)'!$C$10&gt;0,'Limestone Plant (LP-9)'!$C$10*365,"")),IF(E9="LP-10",IF('Limestone Plant (LP-10)'!$C$9&gt;0,'Limestone Plant (LP-10)'!$C$9,IF('Limestone Plant (LP-10)'!$C$10&gt;0,'Limestone Plant (LP-10)'!$C$10*365,"")))))))))))))</f>
        <v/>
      </c>
      <c r="N9" s="309"/>
      <c r="O9" s="309"/>
      <c r="P9" s="154" t="str">
        <f t="shared" ref="P9:P38" si="0">IF(B9="","",IF(M9="",N9/K9,M9/K9))</f>
        <v/>
      </c>
      <c r="Q9" s="154" t="str">
        <f>IF(O9="","",O9/K9)</f>
        <v/>
      </c>
      <c r="R9" s="298" t="str">
        <f t="shared" ref="R9:R38" si="1">IF(B9="","",IF(B9="Unpaved Haul Road",8.3,8.2))</f>
        <v/>
      </c>
      <c r="S9" s="298" t="str">
        <f t="shared" ref="S9:S38" si="2">IF(B9="","",100)</f>
        <v/>
      </c>
      <c r="T9" s="315"/>
      <c r="U9" s="316" t="str">
        <f t="shared" ref="U9:U38" si="3">IF(B9="","",IF(B9="unpaved haul road",(0.15*((R9/12)^0.9)*((J9/3)^0.45)*((365-S9)/365)),((0.00054*(R9^0.91)*(J9^1.02))*(1-S9/1460))))</f>
        <v/>
      </c>
      <c r="V9" s="316" t="str">
        <f t="shared" ref="V9:V38" si="4">IF(B9="","",U9*P9*L9/8760)</f>
        <v/>
      </c>
      <c r="W9" s="316" t="str">
        <f t="shared" ref="W9:W38" si="5">IF(B9="","",IF(T9="yes",V9*((100-40)/100),""))</f>
        <v/>
      </c>
      <c r="X9" s="316" t="str">
        <f t="shared" ref="X9:X38" si="6">IF(B9="","",IF(W9="",V9*8760/2000,W9*8760/2000))</f>
        <v/>
      </c>
      <c r="Y9" s="316" t="str">
        <f t="shared" ref="Y9:Y38" si="7">IF(B9="","",IF(T9="yes",Q9*L9*U9/2000*((100-40)/100),Q9*L9*U9/2000))</f>
        <v/>
      </c>
      <c r="Z9" s="316" t="str">
        <f t="shared" ref="Z9:Z38" si="8">IF(B9="","",IF(B9="unpaved haul road",(1.5*((R9/12)^0.9)*((J9/3)^0.45)*((365-S9)/365)),((0.0022*(R9^0.91)*(J9^1.02))*(1-S9/1460))))</f>
        <v/>
      </c>
      <c r="AA9" s="316" t="str">
        <f t="shared" ref="AA9:AA38" si="9">IF(B9="","",Z9*P9*L9/8760)</f>
        <v/>
      </c>
      <c r="AB9" s="316" t="str">
        <f t="shared" ref="AB9:AB38" si="10">IF(B9="","",IF(T9="yes",AA9*((100-40)/100),""))</f>
        <v/>
      </c>
      <c r="AC9" s="316" t="str">
        <f t="shared" ref="AC9:AC39" si="11">IF(B9="","",IF(AB9="",AA9*8760/2000,AB9*8760/2000))</f>
        <v/>
      </c>
      <c r="AD9" s="316" t="str">
        <f t="shared" ref="AD9:AD38" si="12">IF(B9="","",IF(T9="yes",Q9*L9*Z9/2000*((100-40)/100),Q9*L9*Z9/2000))</f>
        <v/>
      </c>
      <c r="AE9" s="6" t="str">
        <f>IF(B9="unpaved haul road","x","")</f>
        <v/>
      </c>
      <c r="AF9" s="172">
        <f t="array" ref="AF9">IF(AND('Limestone Plant (LP-1)'!$C$10="",'Limestone Plant (LP-1)'!$C$9=""),SUMIFS($X$9:$X$38,$E$9:$E$38,"LP-1",$AE$9:$AE$38,"x"),MAX(IF($E$9:$E$38="LP-1",IF($AE$9:$AE$38="x",$X$9:$X$38))))</f>
        <v>0</v>
      </c>
      <c r="AG9" s="172">
        <f t="array" ref="AG9">IF(AND('Limestone Plant (LP-1)'!$C$10="",'Limestone Plant (LP-1)'!$C$9=""),SUMIFS($X$9:$X$38,$E$9:$E$38,"LP-1",AE9:AE38,""),MAX(IF($E$9:$E$38="LP-1",IF($AE$9:$AE$38="",$X$9:$X$38))))</f>
        <v>0</v>
      </c>
      <c r="AH9" s="178">
        <f t="array" ref="AH9">IF(AND('Limestone Plant (LP-1)'!$C$10="",'Limestone Plant (LP-1)'!$C$9=""),SUMIFS($AC$9:$AC$38,$E$9:$E$38,"LP-1",$AE$9:$AE$38,"x"),MAX(IF($E$9:$E$38="LP-1",IF($AE$9:$AE$38="x",$AC$9:$AC$38))))</f>
        <v>0</v>
      </c>
      <c r="AI9" s="172">
        <f t="array" ref="AI9">IF(AND('Limestone Plant (LP-1)'!$C$10="",'Limestone Plant (LP-1)'!$C$9=""),SUMIFS($AC$9:$AC$38,$E$9:$E$38,"LP-1",$AE$9:$AE$38,""),MAX(IF($E$9:$E$38="LP-1",IF($AE$9:$AE$38="",$AC$9:$AC$38))))</f>
        <v>0</v>
      </c>
      <c r="AK9" s="153" t="s">
        <v>157</v>
      </c>
      <c r="AL9" s="172">
        <f t="array" ref="AL9">IF(AND('Limestone Plant (LP-1)'!$C$10="",'Limestone Plant (LP-1)'!$C$9=""),SUMIF($E$9:$E$38,"LP-1",$X$9:$X$38),MAX(IF($E$9:$E$38="LP-1",$X$9:$X$38)))</f>
        <v>0</v>
      </c>
      <c r="AM9" s="172">
        <f>SUMIF($E$9:$E$38,"LP-1",$Y$9:$Y$38)</f>
        <v>0</v>
      </c>
      <c r="AN9" s="172">
        <f t="array" ref="AN9">IF(AND('Limestone Plant (LP-1)'!$C$10="",'Limestone Plant (LP-1)'!$C$9=""),SUMIF($E$9:$E$38,"LP-1",$AC$9:$AC$38),MAX(IF($E$9:$E$38="LP-1",$AC$9:$AC$38)))</f>
        <v>0</v>
      </c>
      <c r="AO9" s="172">
        <f ca="1">SUMIF($E$9:$E438,"LP-1",$AD$9:$AD$38)</f>
        <v>0</v>
      </c>
    </row>
    <row r="10" spans="1:41" ht="13.5" customHeight="1" x14ac:dyDescent="0.25">
      <c r="A10" s="6" t="s">
        <v>27</v>
      </c>
      <c r="B10" s="65"/>
      <c r="C10" s="65"/>
      <c r="D10" s="15"/>
      <c r="E10" s="15"/>
      <c r="F10" s="15"/>
      <c r="G10" s="174"/>
      <c r="H10" s="174"/>
      <c r="I10" s="15"/>
      <c r="J10" s="172" t="str">
        <f t="shared" ref="J10:J38" si="13">IF(G10="","",(G10*(I10/100)+H10*(1-(I10/100))))</f>
        <v/>
      </c>
      <c r="K10" s="172" t="str">
        <f t="shared" ref="K10:K38" si="14">IF(G10="","",H10-G10)</f>
        <v/>
      </c>
      <c r="L10" s="174"/>
      <c r="M10" s="311" t="str">
        <f>IF(E10="","",IF(E10="LP-1",IF('Limestone Plant (LP-1)'!$C$9&gt;0,'Limestone Plant (LP-1)'!$C$9,IF('Limestone Plant (LP-1)'!$C$10&gt;0,'Limestone Plant (LP-1)'!$C$10*365,"")),IF(E10="LP-2",IF('Limestone Plant (LP-2)'!$C$9&gt;0,'Limestone Plant (LP-2)'!$C$9,IF('Limestone Plant (LP-2)'!$C$10&gt;0,'Limestone Plant (LP-2)'!$C$10*365,"")),IF(E10="LP-3",IF('Limestone Plant (LP-3)'!$C$9&gt;0,'Limestone Plant (LP-3)'!$C$9,IF('Limestone Plant (LP-3)'!$C$10&gt;0,'Limestone Plant (LP-3)'!$C$10*365,"")),IF(E10="LP-4",IF('Limestone Plant (LP-4)'!$C$9&gt;0,'Limestone Plant (LP-4)'!$C$9,IF('Limestone Plant (LP-4)'!$C$10&gt;0,'Limestone Plant (LP-4)'!$C$10*365,"")),IF(E10="LP-5",IF('Limestone Plant (LP-5)'!$C$9&gt;0,'Limestone Plant (LP-5)'!$C$9,IF('Limestone Plant (LP-5)'!$C$10&gt;0,'Limestone Plant (LP-5)'!$C$10*365,"")),IF(E10="LP-6",IF('Limestone Plant (LP-6)'!$C$9&gt;0,'Limestone Plant (LP-6)'!$C$9,IF('Limestone Plant (LP-6)'!$C$10&gt;0,'Limestone Plant (LP-6)'!$C$10*365,"")),IF(E10="LP-7",IF('Limestone Plant (LP-7)'!$C$9&gt;0,'Limestone Plant (LP-7)'!$C$9,IF('Limestone Plant (LP-7)'!$C$10&gt;0,'Limestone Plant (LP-7)'!$C$10*365,"")),IF(E10="LP-8",IF('Limestone Plant (LP-8)'!$C$9&gt;0,'Limestone Plant (LP-8)'!$C$9,IF('Limestone Plant (LP-8)'!$C$10&gt;0,'Limestone Plant (LP-8)'!$C$10*365,"")),IF(E10="LP-9",IF('Limestone Plant (LP-9)'!$C$9&gt;0,'Limestone Plant (LP-9)'!$C$9,IF('Limestone Plant (LP-9)'!$C$10&gt;0,'Limestone Plant (LP-9)'!$C$10*365,"")),IF(E10="LP-10",IF('Limestone Plant (LP-10)'!$C$9&gt;0,'Limestone Plant (LP-10)'!$C$9,IF('Limestone Plant (LP-10)'!$C$10&gt;0,'Limestone Plant (LP-10)'!$C$10*365,"")))))))))))))</f>
        <v/>
      </c>
      <c r="N10" s="174"/>
      <c r="O10" s="174"/>
      <c r="P10" s="154" t="str">
        <f t="shared" si="0"/>
        <v/>
      </c>
      <c r="Q10" s="154" t="str">
        <f t="shared" ref="Q10:Q38" si="15">IF(O10="","",O10/K10)</f>
        <v/>
      </c>
      <c r="R10" s="15" t="str">
        <f t="shared" si="1"/>
        <v/>
      </c>
      <c r="S10" s="15" t="str">
        <f t="shared" si="2"/>
        <v/>
      </c>
      <c r="T10" s="176"/>
      <c r="U10" s="172" t="str">
        <f t="shared" si="3"/>
        <v/>
      </c>
      <c r="V10" s="172" t="str">
        <f t="shared" si="4"/>
        <v/>
      </c>
      <c r="W10" s="172" t="str">
        <f t="shared" si="5"/>
        <v/>
      </c>
      <c r="X10" s="172" t="str">
        <f t="shared" si="6"/>
        <v/>
      </c>
      <c r="Y10" s="172" t="str">
        <f t="shared" si="7"/>
        <v/>
      </c>
      <c r="Z10" s="172" t="str">
        <f t="shared" si="8"/>
        <v/>
      </c>
      <c r="AA10" s="172" t="str">
        <f t="shared" si="9"/>
        <v/>
      </c>
      <c r="AB10" s="172" t="str">
        <f t="shared" si="10"/>
        <v/>
      </c>
      <c r="AC10" s="172" t="str">
        <f t="shared" si="11"/>
        <v/>
      </c>
      <c r="AD10" s="172" t="str">
        <f t="shared" si="12"/>
        <v/>
      </c>
      <c r="AE10" s="6" t="str">
        <f t="shared" ref="AE10:AE38" si="16">IF(B10="unpaved haul road","x","")</f>
        <v/>
      </c>
      <c r="AF10" s="172">
        <f t="array" ref="AF10">IF(AND('Limestone Plant (LP-2)'!$C$10="",'Limestone Plant (LP-2)'!$C$9=""),SUMIFS($X$9:$X$38,$E$9:$E$38,"LP-2",$AE$9:$AE$38,"x"),MAX(IF($E$9:$E$38="LP-2",IF($AE$9:$AE$38="x",$X$9:$X$38))))</f>
        <v>0</v>
      </c>
      <c r="AG10" s="172">
        <f t="array" ref="AG10">IF(AND('Limestone Plant (LP-2)'!$C$10="",'Limestone Plant (LP-2)'!$C$9=""),SUMIFS($X$9:$X$38,$E$9:$E$38,"LP-2",AE9:AE38,""),MAX(IF($E$9:$E$38="LP-2",IF($AE$9:$AE$38="",$X$9:$X$38))))</f>
        <v>0</v>
      </c>
      <c r="AH10" s="178">
        <f t="array" ref="AH10">IF(AND('Limestone Plant (LP-2)'!$C$10="",'Limestone Plant (LP-2)'!$C$9=""),SUMIFS($AC$9:$AC$38,$E$9:$E$38,"LP-2",$AE$9:$AE$38,"x"),MAX(IF($E$9:$E$38="LP-2",IF($AE$9:$AE$38="x",$AC$9:$AC$38))))</f>
        <v>0</v>
      </c>
      <c r="AI10" s="172">
        <f t="array" ref="AI10">IF(AND('Limestone Plant (LP-2)'!$C$10="",'Limestone Plant (LP-2)'!$C$9=""),SUMIFS($AC$9:$AC$38,$E$9:$E$38,"LP-2",$AE$9:$AE$38,""),MAX(IF($E$9:$E$38="LP-2",IF($AE$9:$AE$38="",$AC$9:$AC$38))))</f>
        <v>0</v>
      </c>
      <c r="AK10" s="153" t="s">
        <v>160</v>
      </c>
      <c r="AL10" s="172">
        <f t="array" ref="AL10">IF(AND('Limestone Plant (LP-2)'!$C$10="",'Limestone Plant (LP-2)'!$C$9=""),SUMIF($E$9:$E$38,"LP-2",$X$9:$X$38),MAX(IF($E$9:$E$38="LP-2",$X$9:$X$38)))</f>
        <v>0</v>
      </c>
      <c r="AM10" s="172">
        <f>SUMIF($E$9:$E$38,"LP-2",$Y$9:$Y$38)</f>
        <v>0</v>
      </c>
      <c r="AN10" s="172">
        <f t="array" ref="AN10">IF(AND('Limestone Plant (LP-2)'!$C$10="",'Limestone Plant (LP-2)'!$C$9=""),SUMIF($E$9:$E$38,"LP-2",$AC$9:$AC$38),MAX(IF($E$9:$E$38="LP-2",$AC$9:$AC$38)))</f>
        <v>0</v>
      </c>
      <c r="AO10" s="172">
        <f ca="1">SUMIF($E$9:$E439,"LP-2",$AD$9:$AD$38)</f>
        <v>0</v>
      </c>
    </row>
    <row r="11" spans="1:41" ht="13.5" customHeight="1" x14ac:dyDescent="0.25">
      <c r="B11" s="65"/>
      <c r="C11" s="65"/>
      <c r="D11" s="15"/>
      <c r="E11" s="15"/>
      <c r="F11" s="15"/>
      <c r="G11" s="174"/>
      <c r="H11" s="174"/>
      <c r="I11" s="15"/>
      <c r="J11" s="172" t="str">
        <f t="shared" si="13"/>
        <v/>
      </c>
      <c r="K11" s="172" t="str">
        <f t="shared" si="14"/>
        <v/>
      </c>
      <c r="L11" s="174"/>
      <c r="M11" s="311" t="str">
        <f>IF(E11="","",IF(E11="LP-1",IF('Limestone Plant (LP-1)'!$C$9&gt;0,'Limestone Plant (LP-1)'!$C$9,IF('Limestone Plant (LP-1)'!$C$10&gt;0,'Limestone Plant (LP-1)'!$C$10*365,"")),IF(E11="LP-2",IF('Limestone Plant (LP-2)'!$C$9&gt;0,'Limestone Plant (LP-2)'!$C$9,IF('Limestone Plant (LP-2)'!$C$10&gt;0,'Limestone Plant (LP-2)'!$C$10*365,"")),IF(E11="LP-3",IF('Limestone Plant (LP-3)'!$C$9&gt;0,'Limestone Plant (LP-3)'!$C$9,IF('Limestone Plant (LP-3)'!$C$10&gt;0,'Limestone Plant (LP-3)'!$C$10*365,"")),IF(E11="LP-4",IF('Limestone Plant (LP-4)'!$C$9&gt;0,'Limestone Plant (LP-4)'!$C$9,IF('Limestone Plant (LP-4)'!$C$10&gt;0,'Limestone Plant (LP-4)'!$C$10*365,"")),IF(E11="LP-5",IF('Limestone Plant (LP-5)'!$C$9&gt;0,'Limestone Plant (LP-5)'!$C$9,IF('Limestone Plant (LP-5)'!$C$10&gt;0,'Limestone Plant (LP-5)'!$C$10*365,"")),IF(E11="LP-6",IF('Limestone Plant (LP-6)'!$C$9&gt;0,'Limestone Plant (LP-6)'!$C$9,IF('Limestone Plant (LP-6)'!$C$10&gt;0,'Limestone Plant (LP-6)'!$C$10*365,"")),IF(E11="LP-7",IF('Limestone Plant (LP-7)'!$C$9&gt;0,'Limestone Plant (LP-7)'!$C$9,IF('Limestone Plant (LP-7)'!$C$10&gt;0,'Limestone Plant (LP-7)'!$C$10*365,"")),IF(E11="LP-8",IF('Limestone Plant (LP-8)'!$C$9&gt;0,'Limestone Plant (LP-8)'!$C$9,IF('Limestone Plant (LP-8)'!$C$10&gt;0,'Limestone Plant (LP-8)'!$C$10*365,"")),IF(E11="LP-9",IF('Limestone Plant (LP-9)'!$C$9&gt;0,'Limestone Plant (LP-9)'!$C$9,IF('Limestone Plant (LP-9)'!$C$10&gt;0,'Limestone Plant (LP-9)'!$C$10*365,"")),IF(E11="LP-10",IF('Limestone Plant (LP-10)'!$C$9&gt;0,'Limestone Plant (LP-10)'!$C$9,IF('Limestone Plant (LP-10)'!$C$10&gt;0,'Limestone Plant (LP-10)'!$C$10*365,"")))))))))))))</f>
        <v/>
      </c>
      <c r="N11" s="174"/>
      <c r="O11" s="174"/>
      <c r="P11" s="154" t="str">
        <f t="shared" si="0"/>
        <v/>
      </c>
      <c r="Q11" s="154" t="str">
        <f t="shared" si="15"/>
        <v/>
      </c>
      <c r="R11" s="15" t="str">
        <f t="shared" si="1"/>
        <v/>
      </c>
      <c r="S11" s="15" t="str">
        <f t="shared" si="2"/>
        <v/>
      </c>
      <c r="T11" s="176"/>
      <c r="U11" s="172" t="str">
        <f t="shared" si="3"/>
        <v/>
      </c>
      <c r="V11" s="172" t="str">
        <f t="shared" si="4"/>
        <v/>
      </c>
      <c r="W11" s="172" t="str">
        <f t="shared" si="5"/>
        <v/>
      </c>
      <c r="X11" s="172" t="str">
        <f t="shared" si="6"/>
        <v/>
      </c>
      <c r="Y11" s="172" t="str">
        <f t="shared" si="7"/>
        <v/>
      </c>
      <c r="Z11" s="172" t="str">
        <f t="shared" si="8"/>
        <v/>
      </c>
      <c r="AA11" s="172" t="str">
        <f t="shared" si="9"/>
        <v/>
      </c>
      <c r="AB11" s="172" t="str">
        <f t="shared" si="10"/>
        <v/>
      </c>
      <c r="AC11" s="172" t="str">
        <f t="shared" si="11"/>
        <v/>
      </c>
      <c r="AD11" s="172" t="str">
        <f t="shared" si="12"/>
        <v/>
      </c>
      <c r="AE11" s="6" t="str">
        <f t="shared" si="16"/>
        <v/>
      </c>
      <c r="AF11" s="172">
        <f t="array" ref="AF11">IF(AND('Limestone Plant (LP-3)'!$C$10="",'Limestone Plant (LP-3)'!$C$9=""),SUMIFS($X$9:$X$38,$E$9:$E$38,"LP-3",$AE$9:$AE$38,"x"),MAX(IF($E$9:$E$38="LP-3",IF($AE$9:$AE$38="x",$X$9:$X$38))))</f>
        <v>0</v>
      </c>
      <c r="AG11" s="172">
        <f>IF(AND('Limestone Plant (LP-3)'!$C$10="",'Limestone Plant (LP-3)'!$C$9=""),SUMIFS($X$9:$X$38,$E$9:$E$38,"LP-3",AE9:AE38,""),MAX(IF($E$9:$E$38="LP-3",IF($AE$9:$AE$38="",$X$9:$X$38))))</f>
        <v>0</v>
      </c>
      <c r="AH11" s="178">
        <f t="array" ref="AH11">IF(AND('Limestone Plant (LP-3)'!$C$10="",'Limestone Plant (LP-3)'!$C$9=""),SUMIFS($AC$9:$AC$38,$E$9:$E$38,"LP-3",$AE$9:$AE$38,"x"),MAX(IF($E$9:$E$38="LP-3",IF($AE$9:$AE$38="x",$AC$9:$AC$38))))</f>
        <v>0</v>
      </c>
      <c r="AI11" s="172">
        <f t="array" ref="AI11">IF(AND('Limestone Plant (LP-3)'!$C$10="",'Limestone Plant (LP-3)'!$C$9=""),SUMIFS($AC$9:$AC$38,$E$9:$E$38,"LP-3",$AE$9:$AE$38,""),MAX(IF($E$9:$E$38="LP-3",IF($AE$9:$AE$38="",$AC$9:$AC$38))))</f>
        <v>0</v>
      </c>
      <c r="AK11" s="153" t="s">
        <v>161</v>
      </c>
      <c r="AL11" s="172">
        <f t="array" ref="AL11">IF(AND('Limestone Plant (LP-3)'!$C$10="",'Limestone Plant (LP-3)'!$C$9=""),SUMIF($E$9:$E$38,"LP-3",$X$9:$X$38),MAX(IF($E$9:$E$38="LP-3",$X$9:$X$38)))</f>
        <v>0</v>
      </c>
      <c r="AM11" s="172">
        <f>SUMIF($E$9:$E$38,"LP-3",$Y$9:$Y$38)</f>
        <v>0</v>
      </c>
      <c r="AN11" s="172">
        <f t="array" ref="AN11">IF(AND('Limestone Plant (LP-3)'!$C$10="",'Limestone Plant (LP-3)'!$C$9=""),SUMIF($E$9:$E$38,"LP-3",$AC$9:$AC$38),MAX(IF($E$9:$E$38="LP-3",$AC$9:$AC$38)))</f>
        <v>0</v>
      </c>
      <c r="AO11" s="172">
        <f ca="1">SUMIF($E$9:$E440,"LP-3",$AD$9:$AD$38)</f>
        <v>0</v>
      </c>
    </row>
    <row r="12" spans="1:41" ht="13.5" customHeight="1" x14ac:dyDescent="0.25">
      <c r="A12" s="6" t="s">
        <v>120</v>
      </c>
      <c r="B12" s="65"/>
      <c r="C12" s="65"/>
      <c r="D12" s="15"/>
      <c r="E12" s="15"/>
      <c r="F12" s="15"/>
      <c r="G12" s="174"/>
      <c r="H12" s="174"/>
      <c r="I12" s="15"/>
      <c r="J12" s="172" t="str">
        <f t="shared" si="13"/>
        <v/>
      </c>
      <c r="K12" s="172" t="str">
        <f t="shared" si="14"/>
        <v/>
      </c>
      <c r="L12" s="174"/>
      <c r="M12" s="311" t="str">
        <f>IF(E12="","",IF(E12="LP-1",IF('Limestone Plant (LP-1)'!$C$9&gt;0,'Limestone Plant (LP-1)'!$C$9,IF('Limestone Plant (LP-1)'!$C$10&gt;0,'Limestone Plant (LP-1)'!$C$10*365,"")),IF(E12="LP-2",IF('Limestone Plant (LP-2)'!$C$9&gt;0,'Limestone Plant (LP-2)'!$C$9,IF('Limestone Plant (LP-2)'!$C$10&gt;0,'Limestone Plant (LP-2)'!$C$10*365,"")),IF(E12="LP-3",IF('Limestone Plant (LP-3)'!$C$9&gt;0,'Limestone Plant (LP-3)'!$C$9,IF('Limestone Plant (LP-3)'!$C$10&gt;0,'Limestone Plant (LP-3)'!$C$10*365,"")),IF(E12="LP-4",IF('Limestone Plant (LP-4)'!$C$9&gt;0,'Limestone Plant (LP-4)'!$C$9,IF('Limestone Plant (LP-4)'!$C$10&gt;0,'Limestone Plant (LP-4)'!$C$10*365,"")),IF(E12="LP-5",IF('Limestone Plant (LP-5)'!$C$9&gt;0,'Limestone Plant (LP-5)'!$C$9,IF('Limestone Plant (LP-5)'!$C$10&gt;0,'Limestone Plant (LP-5)'!$C$10*365,"")),IF(E12="LP-6",IF('Limestone Plant (LP-6)'!$C$9&gt;0,'Limestone Plant (LP-6)'!$C$9,IF('Limestone Plant (LP-6)'!$C$10&gt;0,'Limestone Plant (LP-6)'!$C$10*365,"")),IF(E12="LP-7",IF('Limestone Plant (LP-7)'!$C$9&gt;0,'Limestone Plant (LP-7)'!$C$9,IF('Limestone Plant (LP-7)'!$C$10&gt;0,'Limestone Plant (LP-7)'!$C$10*365,"")),IF(E12="LP-8",IF('Limestone Plant (LP-8)'!$C$9&gt;0,'Limestone Plant (LP-8)'!$C$9,IF('Limestone Plant (LP-8)'!$C$10&gt;0,'Limestone Plant (LP-8)'!$C$10*365,"")),IF(E12="LP-9",IF('Limestone Plant (LP-9)'!$C$9&gt;0,'Limestone Plant (LP-9)'!$C$9,IF('Limestone Plant (LP-9)'!$C$10&gt;0,'Limestone Plant (LP-9)'!$C$10*365,"")),IF(E12="LP-10",IF('Limestone Plant (LP-10)'!$C$9&gt;0,'Limestone Plant (LP-10)'!$C$9,IF('Limestone Plant (LP-10)'!$C$10&gt;0,'Limestone Plant (LP-10)'!$C$10*365,"")))))))))))))</f>
        <v/>
      </c>
      <c r="N12" s="174"/>
      <c r="O12" s="174"/>
      <c r="P12" s="154" t="str">
        <f t="shared" si="0"/>
        <v/>
      </c>
      <c r="Q12" s="154" t="str">
        <f t="shared" si="15"/>
        <v/>
      </c>
      <c r="R12" s="15" t="str">
        <f t="shared" si="1"/>
        <v/>
      </c>
      <c r="S12" s="15" t="str">
        <f t="shared" si="2"/>
        <v/>
      </c>
      <c r="T12" s="176"/>
      <c r="U12" s="172" t="str">
        <f t="shared" si="3"/>
        <v/>
      </c>
      <c r="V12" s="172" t="str">
        <f t="shared" si="4"/>
        <v/>
      </c>
      <c r="W12" s="172" t="str">
        <f t="shared" si="5"/>
        <v/>
      </c>
      <c r="X12" s="172" t="str">
        <f t="shared" si="6"/>
        <v/>
      </c>
      <c r="Y12" s="172" t="str">
        <f t="shared" si="7"/>
        <v/>
      </c>
      <c r="Z12" s="172" t="str">
        <f t="shared" si="8"/>
        <v/>
      </c>
      <c r="AA12" s="172" t="str">
        <f t="shared" si="9"/>
        <v/>
      </c>
      <c r="AB12" s="172" t="str">
        <f t="shared" si="10"/>
        <v/>
      </c>
      <c r="AC12" s="172" t="str">
        <f t="shared" si="11"/>
        <v/>
      </c>
      <c r="AD12" s="172" t="str">
        <f t="shared" si="12"/>
        <v/>
      </c>
      <c r="AE12" s="6" t="str">
        <f t="shared" si="16"/>
        <v/>
      </c>
      <c r="AF12" s="172">
        <f t="array" ref="AF12">IF(AND('Limestone Plant (LP-4)'!$C$10="",'Limestone Plant (LP-4)'!$C$9=""),SUMIFS($X$9:$X$38,$E$9:$E$38,"LP-4",$AE$9:$AE$38,"x"),MAX(IF($E$9:$E$38="LP-4",IF($AE$9:$AE$38="x",$X$9:$X$38))))</f>
        <v>0</v>
      </c>
      <c r="AG12" s="172">
        <f t="array" ref="AG12">IF(AND('Limestone Plant (LP-4)'!$C$10="",'Limestone Plant (LP-4)'!$C$9=""),SUMIFS($X$9:$X$38,$E$9:$E$38,"LP-4",AE9:AE38,""),MAX(IF($E$9:$E$38="LP-4",IF($AE$9:$AE$38="",$X$9:$X$38))))</f>
        <v>0</v>
      </c>
      <c r="AH12" s="179">
        <f t="array" ref="AH12">IF(AND('Limestone Plant (LP-4)'!$C$10="",'Limestone Plant (LP-4)'!$C$9=""),SUMIFS($AC$9:$AC$38,$E$9:$E$38,"LP-4",$AE$9:$AE$38,"x"),MAX(IF($E$9:$E$38="LP-4",IF($AE$9:$AE$38="x",$AC$9:$AC$38))))</f>
        <v>0</v>
      </c>
      <c r="AI12" s="154">
        <f t="array" ref="AI12">IF(AND('Limestone Plant (LP-4)'!$C$10="",'Limestone Plant (LP-4)'!$C$9=""),SUMIFS($AC$9:$AC$38,$E$9:$E$38,"LP-4",$AE$9:$AE$38,""),MAX(IF($E$9:$E$38="LP-4",IF($AE$9:$AE$38="",$AC$9:$AC$38))))</f>
        <v>0</v>
      </c>
      <c r="AK12" s="153" t="s">
        <v>162</v>
      </c>
      <c r="AL12" s="172">
        <f t="array" ref="AL12">IF(AND('Limestone Plant (LP-4)'!$C$10="",'Limestone Plant (LP-4)'!$C$9=""),SUMIF($E$9:$E$38,"LP-4",$X$9:$X$38),MAX(IF($E$9:$E$38="LP-4",$X$9:$X$38)))</f>
        <v>0</v>
      </c>
      <c r="AM12" s="172">
        <f>SUMIF($E$9:$E$38,"LP-4",$Y$9:$Y$38)</f>
        <v>0</v>
      </c>
      <c r="AN12" s="172">
        <f t="array" ref="AN12">IF(AND('Limestone Plant (LP-4)'!$C$10="",'Limestone Plant (LP-4)'!$C$9=""),SUMIF($E$9:$E$38,"LP-4",$AC$9:$AC$38),MAX(IF($E$9:$E$38="LP-4",$AC$9:$AC$38)))</f>
        <v>0</v>
      </c>
      <c r="AO12" s="172">
        <f ca="1">SUMIF($E$9:$E441,"LP-4",$AD$9:$AD$38)</f>
        <v>0</v>
      </c>
    </row>
    <row r="13" spans="1:41" ht="13.5" customHeight="1" x14ac:dyDescent="0.25">
      <c r="A13" s="6" t="s">
        <v>121</v>
      </c>
      <c r="B13" s="65"/>
      <c r="C13" s="65"/>
      <c r="D13" s="15"/>
      <c r="E13" s="15"/>
      <c r="F13" s="15"/>
      <c r="G13" s="174"/>
      <c r="H13" s="174"/>
      <c r="I13" s="15"/>
      <c r="J13" s="172" t="str">
        <f t="shared" si="13"/>
        <v/>
      </c>
      <c r="K13" s="172" t="str">
        <f t="shared" si="14"/>
        <v/>
      </c>
      <c r="L13" s="174"/>
      <c r="M13" s="311" t="str">
        <f>IF(E13="","",IF(E13="LP-1",IF('Limestone Plant (LP-1)'!$C$9&gt;0,'Limestone Plant (LP-1)'!$C$9,IF('Limestone Plant (LP-1)'!$C$10&gt;0,'Limestone Plant (LP-1)'!$C$10*365,"")),IF(E13="LP-2",IF('Limestone Plant (LP-2)'!$C$9&gt;0,'Limestone Plant (LP-2)'!$C$9,IF('Limestone Plant (LP-2)'!$C$10&gt;0,'Limestone Plant (LP-2)'!$C$10*365,"")),IF(E13="LP-3",IF('Limestone Plant (LP-3)'!$C$9&gt;0,'Limestone Plant (LP-3)'!$C$9,IF('Limestone Plant (LP-3)'!$C$10&gt;0,'Limestone Plant (LP-3)'!$C$10*365,"")),IF(E13="LP-4",IF('Limestone Plant (LP-4)'!$C$9&gt;0,'Limestone Plant (LP-4)'!$C$9,IF('Limestone Plant (LP-4)'!$C$10&gt;0,'Limestone Plant (LP-4)'!$C$10*365,"")),IF(E13="LP-5",IF('Limestone Plant (LP-5)'!$C$9&gt;0,'Limestone Plant (LP-5)'!$C$9,IF('Limestone Plant (LP-5)'!$C$10&gt;0,'Limestone Plant (LP-5)'!$C$10*365,"")),IF(E13="LP-6",IF('Limestone Plant (LP-6)'!$C$9&gt;0,'Limestone Plant (LP-6)'!$C$9,IF('Limestone Plant (LP-6)'!$C$10&gt;0,'Limestone Plant (LP-6)'!$C$10*365,"")),IF(E13="LP-7",IF('Limestone Plant (LP-7)'!$C$9&gt;0,'Limestone Plant (LP-7)'!$C$9,IF('Limestone Plant (LP-7)'!$C$10&gt;0,'Limestone Plant (LP-7)'!$C$10*365,"")),IF(E13="LP-8",IF('Limestone Plant (LP-8)'!$C$9&gt;0,'Limestone Plant (LP-8)'!$C$9,IF('Limestone Plant (LP-8)'!$C$10&gt;0,'Limestone Plant (LP-8)'!$C$10*365,"")),IF(E13="LP-9",IF('Limestone Plant (LP-9)'!$C$9&gt;0,'Limestone Plant (LP-9)'!$C$9,IF('Limestone Plant (LP-9)'!$C$10&gt;0,'Limestone Plant (LP-9)'!$C$10*365,"")),IF(E13="LP-10",IF('Limestone Plant (LP-10)'!$C$9&gt;0,'Limestone Plant (LP-10)'!$C$9,IF('Limestone Plant (LP-10)'!$C$10&gt;0,'Limestone Plant (LP-10)'!$C$10*365,"")))))))))))))</f>
        <v/>
      </c>
      <c r="N13" s="174"/>
      <c r="O13" s="174"/>
      <c r="P13" s="154" t="str">
        <f t="shared" si="0"/>
        <v/>
      </c>
      <c r="Q13" s="154" t="str">
        <f t="shared" si="15"/>
        <v/>
      </c>
      <c r="R13" s="15" t="str">
        <f t="shared" si="1"/>
        <v/>
      </c>
      <c r="S13" s="15" t="str">
        <f t="shared" si="2"/>
        <v/>
      </c>
      <c r="T13" s="176"/>
      <c r="U13" s="172" t="str">
        <f t="shared" si="3"/>
        <v/>
      </c>
      <c r="V13" s="172" t="str">
        <f t="shared" si="4"/>
        <v/>
      </c>
      <c r="W13" s="172" t="str">
        <f t="shared" si="5"/>
        <v/>
      </c>
      <c r="X13" s="172" t="str">
        <f t="shared" si="6"/>
        <v/>
      </c>
      <c r="Y13" s="172" t="str">
        <f t="shared" si="7"/>
        <v/>
      </c>
      <c r="Z13" s="172" t="str">
        <f t="shared" si="8"/>
        <v/>
      </c>
      <c r="AA13" s="172" t="str">
        <f t="shared" si="9"/>
        <v/>
      </c>
      <c r="AB13" s="172" t="str">
        <f t="shared" si="10"/>
        <v/>
      </c>
      <c r="AC13" s="172" t="str">
        <f t="shared" si="11"/>
        <v/>
      </c>
      <c r="AD13" s="172" t="str">
        <f t="shared" si="12"/>
        <v/>
      </c>
      <c r="AE13" s="6" t="str">
        <f t="shared" si="16"/>
        <v/>
      </c>
      <c r="AF13" s="172">
        <f t="array" ref="AF13">IF(AND('Limestone Plant (LP-5)'!$C$10="",'Limestone Plant (LP-5)'!$C$9=""),SUMIFS($X$9:$X$38,$E$9:$E$38,"LP-5",$AE$9:$AE$38,"x"),MAX(IF($E$9:$E$38="LP-5",IF($AE$9:$AE$38="x",$X$9:$X$38))))</f>
        <v>0</v>
      </c>
      <c r="AG13" s="172">
        <f t="array" ref="AG13">IF(AND('Limestone Plant (LP-5)'!$C$10="",'Limestone Plant (LP-5)'!$C$9=""),SUMIFS($X$9:$X$38,$E$9:$E$38,"LP-5",AE9:AE38,""),MAX(IF($E$9:$E$38="LP-5",IF($AE$9:$AE$38="",$X$9:$X$38))))</f>
        <v>0</v>
      </c>
      <c r="AH13" s="180">
        <f t="array" ref="AH13">IF(AND('Limestone Plant (LP-5)'!$C$10="",'Limestone Plant (LP-5)'!$C$9=""),SUMIFS($AC$9:$AC$38,$E$9:$E$38,"LP-5",$AE$9:$AE$38,"x"),MAX(IF($E$9:$E$38="LP-5",IF($AE$9:$AE$38="x",$AC$9:$AC$38))))</f>
        <v>0</v>
      </c>
      <c r="AI13" s="154">
        <f t="array" ref="AI13">IF(AND('Limestone Plant (LP-5)'!$C$10="",'Limestone Plant (LP-5)'!$C$9=""),SUMIFS($AC$9:$AC$38,$E$9:$E$38,"LP-5",$AE$9:$AE$38,""),MAX(IF($E$9:$E$38="LP-5",IF($AE$9:$AE$38="",$AC$9:$AC$38))))</f>
        <v>0</v>
      </c>
      <c r="AK13" s="153" t="s">
        <v>163</v>
      </c>
      <c r="AL13" s="172">
        <f t="array" ref="AL13">IF(AND('Limestone Plant (LP-5)'!$C$10="",'Limestone Plant (LP-5)'!$C$9=""),SUMIF($E$9:$E$38,"LP-5",$X$9:$X$38),MAX(IF($E$9:$E$38="LP-5",$X$9:$X$38)))</f>
        <v>0</v>
      </c>
      <c r="AM13" s="172">
        <f>SUMIF($E$9:$E$38,"LP-5",$Y$9:$Y$38)</f>
        <v>0</v>
      </c>
      <c r="AN13" s="172">
        <f t="array" ref="AN13">IF(AND('Limestone Plant (LP-5)'!$C$10="",'Limestone Plant (LP-5)'!$C$9=""),SUMIF($E$9:$E$38,"LP-5",$AC$9:$AC$38),MAX(IF($E$9:$E$38="LP-5",$AC$9:$AC$38)))</f>
        <v>0</v>
      </c>
      <c r="AO13" s="172">
        <f ca="1">SUMIF($E$9:$E442,"LP-5",$AD$9:$AD$38)</f>
        <v>0</v>
      </c>
    </row>
    <row r="14" spans="1:41" ht="13.5" customHeight="1" x14ac:dyDescent="0.25">
      <c r="B14" s="65"/>
      <c r="C14" s="65"/>
      <c r="D14" s="15"/>
      <c r="E14" s="15"/>
      <c r="F14" s="15"/>
      <c r="G14" s="174"/>
      <c r="H14" s="174"/>
      <c r="I14" s="15"/>
      <c r="J14" s="172" t="str">
        <f t="shared" si="13"/>
        <v/>
      </c>
      <c r="K14" s="172" t="str">
        <f t="shared" si="14"/>
        <v/>
      </c>
      <c r="L14" s="174"/>
      <c r="M14" s="311" t="str">
        <f>IF(E14="","",IF(E14="LP-1",IF('Limestone Plant (LP-1)'!$C$9&gt;0,'Limestone Plant (LP-1)'!$C$9,IF('Limestone Plant (LP-1)'!$C$10&gt;0,'Limestone Plant (LP-1)'!$C$10*365,"")),IF(E14="LP-2",IF('Limestone Plant (LP-2)'!$C$9&gt;0,'Limestone Plant (LP-2)'!$C$9,IF('Limestone Plant (LP-2)'!$C$10&gt;0,'Limestone Plant (LP-2)'!$C$10*365,"")),IF(E14="LP-3",IF('Limestone Plant (LP-3)'!$C$9&gt;0,'Limestone Plant (LP-3)'!$C$9,IF('Limestone Plant (LP-3)'!$C$10&gt;0,'Limestone Plant (LP-3)'!$C$10*365,"")),IF(E14="LP-4",IF('Limestone Plant (LP-4)'!$C$9&gt;0,'Limestone Plant (LP-4)'!$C$9,IF('Limestone Plant (LP-4)'!$C$10&gt;0,'Limestone Plant (LP-4)'!$C$10*365,"")),IF(E14="LP-5",IF('Limestone Plant (LP-5)'!$C$9&gt;0,'Limestone Plant (LP-5)'!$C$9,IF('Limestone Plant (LP-5)'!$C$10&gt;0,'Limestone Plant (LP-5)'!$C$10*365,"")),IF(E14="LP-6",IF('Limestone Plant (LP-6)'!$C$9&gt;0,'Limestone Plant (LP-6)'!$C$9,IF('Limestone Plant (LP-6)'!$C$10&gt;0,'Limestone Plant (LP-6)'!$C$10*365,"")),IF(E14="LP-7",IF('Limestone Plant (LP-7)'!$C$9&gt;0,'Limestone Plant (LP-7)'!$C$9,IF('Limestone Plant (LP-7)'!$C$10&gt;0,'Limestone Plant (LP-7)'!$C$10*365,"")),IF(E14="LP-8",IF('Limestone Plant (LP-8)'!$C$9&gt;0,'Limestone Plant (LP-8)'!$C$9,IF('Limestone Plant (LP-8)'!$C$10&gt;0,'Limestone Plant (LP-8)'!$C$10*365,"")),IF(E14="LP-9",IF('Limestone Plant (LP-9)'!$C$9&gt;0,'Limestone Plant (LP-9)'!$C$9,IF('Limestone Plant (LP-9)'!$C$10&gt;0,'Limestone Plant (LP-9)'!$C$10*365,"")),IF(E14="LP-10",IF('Limestone Plant (LP-10)'!$C$9&gt;0,'Limestone Plant (LP-10)'!$C$9,IF('Limestone Plant (LP-10)'!$C$10&gt;0,'Limestone Plant (LP-10)'!$C$10*365,"")))))))))))))</f>
        <v/>
      </c>
      <c r="N14" s="174"/>
      <c r="O14" s="174"/>
      <c r="P14" s="154" t="str">
        <f t="shared" si="0"/>
        <v/>
      </c>
      <c r="Q14" s="154" t="str">
        <f t="shared" si="15"/>
        <v/>
      </c>
      <c r="R14" s="15" t="str">
        <f t="shared" si="1"/>
        <v/>
      </c>
      <c r="S14" s="15" t="str">
        <f t="shared" si="2"/>
        <v/>
      </c>
      <c r="T14" s="176"/>
      <c r="U14" s="172" t="str">
        <f t="shared" si="3"/>
        <v/>
      </c>
      <c r="V14" s="172" t="str">
        <f t="shared" si="4"/>
        <v/>
      </c>
      <c r="W14" s="172" t="str">
        <f t="shared" si="5"/>
        <v/>
      </c>
      <c r="X14" s="172" t="str">
        <f t="shared" si="6"/>
        <v/>
      </c>
      <c r="Y14" s="172" t="str">
        <f t="shared" si="7"/>
        <v/>
      </c>
      <c r="Z14" s="172" t="str">
        <f t="shared" si="8"/>
        <v/>
      </c>
      <c r="AA14" s="172" t="str">
        <f t="shared" si="9"/>
        <v/>
      </c>
      <c r="AB14" s="172" t="str">
        <f t="shared" si="10"/>
        <v/>
      </c>
      <c r="AC14" s="172" t="str">
        <f t="shared" si="11"/>
        <v/>
      </c>
      <c r="AD14" s="172" t="str">
        <f t="shared" si="12"/>
        <v/>
      </c>
      <c r="AE14" s="6" t="str">
        <f t="shared" si="16"/>
        <v/>
      </c>
      <c r="AF14" s="172">
        <f t="array" ref="AF14">IF(AND('Limestone Plant (LP-6)'!$C$10="",'Limestone Plant (LP-6)'!$C$9=""),SUMIFS($X$9:$X$38,$E$9:$E$38,"LP-6",$AE$9:$AE$38,"x"),MAX(IF($E$9:$E$38="LP-6",IF($AE$9:$AE$38="x",$X$9:$X$38))))</f>
        <v>0</v>
      </c>
      <c r="AG14" s="172">
        <f t="array" ref="AG14">IF(AND('Limestone Plant (LP-6)'!$C$10="",'Limestone Plant (LP-6)'!$C$9=""),SUMIFS($X$9:$X$38,$E$9:$E$38,"LP-6",AE9:AE38,""),MAX(IF($E$9:$E$38="LP-6",IF($AE$9:$AE$38="",$X$9:$X$38))))</f>
        <v>0</v>
      </c>
      <c r="AH14" s="180">
        <f t="array" ref="AH14">IF(AND('Limestone Plant (LP-6)'!$C$10="",'Limestone Plant (LP-6)'!$C$9=""),SUMIFS($AC$9:$AC$38,$E$9:$E$38,"LP-6",$AE$9:$AE$38,"x"),MAX(IF($E$9:$E$38="LP-6",IF($AE$9:$AE$38="x",$AC$9:$AC$38))))</f>
        <v>0</v>
      </c>
      <c r="AI14" s="154">
        <f t="array" ref="AI14">IF(AND('Limestone Plant (LP-6)'!$C$10="",'Limestone Plant (LP-6)'!$C$9=""),SUMIFS($AC$9:$AC$38,$E$9:$E$38,"LP-6",$AE$9:$AE$38,""),MAX(IF($E$9:$E$38="LP-6",IF($AE$9:$AE$38="",$AC$9:$AC$38))))</f>
        <v>0</v>
      </c>
      <c r="AK14" s="153" t="s">
        <v>164</v>
      </c>
      <c r="AL14" s="172">
        <f t="array" ref="AL14">IF(AND('Limestone Plant (LP-6)'!$C$10="",'Limestone Plant (LP-6)'!$C$9=""),SUMIF($E$9:$E$38,"LP-6",$X$9:$X$38),MAX(IF($E$9:$E$38="LP-6",$X$9:$X$38)))</f>
        <v>0</v>
      </c>
      <c r="AM14" s="172">
        <f>SUMIF($E$9:$E$38,"LP-6",$Y$9:$Y$38)</f>
        <v>0</v>
      </c>
      <c r="AN14" s="172">
        <f t="array" ref="AN14">IF(AND('Limestone Plant (LP-6)'!$C$10="",'Limestone Plant (LP-6)'!$C$9=""),SUMIF($E$9:$E$38,"LP-6",$AC$9:$AC$38),MAX(IF($E$9:$E$38="LP-6",$AC$9:$AC$38)))</f>
        <v>0</v>
      </c>
      <c r="AO14" s="172">
        <f ca="1">SUMIF($E$9:$E443,"LP-6",$AD$9:$AD$38)</f>
        <v>0</v>
      </c>
    </row>
    <row r="15" spans="1:41" ht="13.5" customHeight="1" x14ac:dyDescent="0.25">
      <c r="A15" s="6" t="str">
        <f>IF('Facility Information'!$C$21&gt;0,"LP-1","")</f>
        <v/>
      </c>
      <c r="B15" s="65"/>
      <c r="C15" s="65"/>
      <c r="D15" s="15"/>
      <c r="E15" s="15"/>
      <c r="F15" s="15"/>
      <c r="G15" s="174"/>
      <c r="H15" s="174"/>
      <c r="I15" s="15"/>
      <c r="J15" s="172" t="str">
        <f t="shared" si="13"/>
        <v/>
      </c>
      <c r="K15" s="172" t="str">
        <f t="shared" si="14"/>
        <v/>
      </c>
      <c r="L15" s="174"/>
      <c r="M15" s="311" t="str">
        <f>IF(E15="","",IF(E15="LP-1",IF('Limestone Plant (LP-1)'!$C$9&gt;0,'Limestone Plant (LP-1)'!$C$9,IF('Limestone Plant (LP-1)'!$C$10&gt;0,'Limestone Plant (LP-1)'!$C$10*365,"")),IF(E15="LP-2",IF('Limestone Plant (LP-2)'!$C$9&gt;0,'Limestone Plant (LP-2)'!$C$9,IF('Limestone Plant (LP-2)'!$C$10&gt;0,'Limestone Plant (LP-2)'!$C$10*365,"")),IF(E15="LP-3",IF('Limestone Plant (LP-3)'!$C$9&gt;0,'Limestone Plant (LP-3)'!$C$9,IF('Limestone Plant (LP-3)'!$C$10&gt;0,'Limestone Plant (LP-3)'!$C$10*365,"")),IF(E15="LP-4",IF('Limestone Plant (LP-4)'!$C$9&gt;0,'Limestone Plant (LP-4)'!$C$9,IF('Limestone Plant (LP-4)'!$C$10&gt;0,'Limestone Plant (LP-4)'!$C$10*365,"")),IF(E15="LP-5",IF('Limestone Plant (LP-5)'!$C$9&gt;0,'Limestone Plant (LP-5)'!$C$9,IF('Limestone Plant (LP-5)'!$C$10&gt;0,'Limestone Plant (LP-5)'!$C$10*365,"")),IF(E15="LP-6",IF('Limestone Plant (LP-6)'!$C$9&gt;0,'Limestone Plant (LP-6)'!$C$9,IF('Limestone Plant (LP-6)'!$C$10&gt;0,'Limestone Plant (LP-6)'!$C$10*365,"")),IF(E15="LP-7",IF('Limestone Plant (LP-7)'!$C$9&gt;0,'Limestone Plant (LP-7)'!$C$9,IF('Limestone Plant (LP-7)'!$C$10&gt;0,'Limestone Plant (LP-7)'!$C$10*365,"")),IF(E15="LP-8",IF('Limestone Plant (LP-8)'!$C$9&gt;0,'Limestone Plant (LP-8)'!$C$9,IF('Limestone Plant (LP-8)'!$C$10&gt;0,'Limestone Plant (LP-8)'!$C$10*365,"")),IF(E15="LP-9",IF('Limestone Plant (LP-9)'!$C$9&gt;0,'Limestone Plant (LP-9)'!$C$9,IF('Limestone Plant (LP-9)'!$C$10&gt;0,'Limestone Plant (LP-9)'!$C$10*365,"")),IF(E15="LP-10",IF('Limestone Plant (LP-10)'!$C$9&gt;0,'Limestone Plant (LP-10)'!$C$9,IF('Limestone Plant (LP-10)'!$C$10&gt;0,'Limestone Plant (LP-10)'!$C$10*365,"")))))))))))))</f>
        <v/>
      </c>
      <c r="N15" s="174"/>
      <c r="O15" s="174"/>
      <c r="P15" s="154" t="str">
        <f t="shared" si="0"/>
        <v/>
      </c>
      <c r="Q15" s="154" t="str">
        <f t="shared" si="15"/>
        <v/>
      </c>
      <c r="R15" s="15" t="str">
        <f t="shared" si="1"/>
        <v/>
      </c>
      <c r="S15" s="15" t="str">
        <f t="shared" si="2"/>
        <v/>
      </c>
      <c r="T15" s="176"/>
      <c r="U15" s="172" t="str">
        <f t="shared" si="3"/>
        <v/>
      </c>
      <c r="V15" s="172" t="str">
        <f t="shared" si="4"/>
        <v/>
      </c>
      <c r="W15" s="172" t="str">
        <f t="shared" si="5"/>
        <v/>
      </c>
      <c r="X15" s="172" t="str">
        <f t="shared" si="6"/>
        <v/>
      </c>
      <c r="Y15" s="172" t="str">
        <f t="shared" si="7"/>
        <v/>
      </c>
      <c r="Z15" s="172" t="str">
        <f t="shared" si="8"/>
        <v/>
      </c>
      <c r="AA15" s="172" t="str">
        <f t="shared" si="9"/>
        <v/>
      </c>
      <c r="AB15" s="172" t="str">
        <f t="shared" si="10"/>
        <v/>
      </c>
      <c r="AC15" s="172" t="str">
        <f t="shared" si="11"/>
        <v/>
      </c>
      <c r="AD15" s="172" t="str">
        <f t="shared" si="12"/>
        <v/>
      </c>
      <c r="AE15" s="6" t="str">
        <f t="shared" si="16"/>
        <v/>
      </c>
      <c r="AF15" s="172">
        <f t="array" ref="AF15">IF(AND('Limestone Plant (LP-7)'!$C$10="",'Limestone Plant (LP-7)'!$C$9=""),SUMIFS($X$9:$X$38,$E$9:$E$38,"LP-7",$AE$9:$AE$38,"x"),MAX(IF($E$9:$E$38="LP-7",IF($AE$9:$AE$38="x",$X$9:$X$38))))</f>
        <v>0</v>
      </c>
      <c r="AG15" s="172">
        <f t="array" ref="AG15">IF(AND('Limestone Plant (LP-7)'!$C$10="",'Limestone Plant (LP-7)'!$C$9=""),SUMIFS($X$9:$X$38,$E$9:$E$38,"LP-7",AE9:AE38,""),MAX(IF($E$9:$E$38="LP-7",IF($AE$9:$AE$38="",$X$9:$X$38))))</f>
        <v>0</v>
      </c>
      <c r="AH15" s="180">
        <f t="array" ref="AH15">IF(AND('Limestone Plant (LP-7)'!$C$10="",'Limestone Plant (LP-7)'!$C$9=""),SUMIFS($AC$9:$AC$38,$E$9:$E$38,"LP-7",$AE$9:$AE$38,"x"),MAX(IF($E$9:$E$38="LP-7",IF($AE$9:$AE$38="x",$AC$9:$AC$38))))</f>
        <v>0</v>
      </c>
      <c r="AI15" s="154">
        <f t="array" ref="AI15">IF(AND('Limestone Plant (LP-7)'!$C$10="",'Limestone Plant (LP-7)'!$C$9=""),SUMIFS($AC$9:$AC$38,$E$9:$E$38,"LP-7",$AE$9:$AE$38,""),MAX(IF($E$9:$E$38="LP-7",IF($AE$9:$AE$38="",$AC$9:$AC$38))))</f>
        <v>0</v>
      </c>
      <c r="AK15" s="153" t="s">
        <v>165</v>
      </c>
      <c r="AL15" s="172">
        <f t="array" ref="AL15">IF(AND('Limestone Plant (LP-7)'!$C$10="",'Limestone Plant (LP-7)'!$C$9=""),SUMIF($E$9:$E$38,"LP-7",$X$9:$X$38),MAX(IF($E$9:$E$38="LP-7",$X$9:$X$38)))</f>
        <v>0</v>
      </c>
      <c r="AM15" s="172">
        <f>SUMIF($E$9:$E$38,"LP-7",$Y$9:$Y$38)</f>
        <v>0</v>
      </c>
      <c r="AN15" s="172">
        <f t="array" ref="AN15">IF(AND('Limestone Plant (LP-7)'!$C$10="",'Limestone Plant (LP-7)'!$C$9=""),SUMIF($E$9:$E$38,"LP-7",$AC$9:$AC$38),MAX(IF($E$9:$E$38="LP-7",$AC$9:$AC$38)))</f>
        <v>0</v>
      </c>
      <c r="AO15" s="172">
        <f ca="1">SUMIF($E$9:$E444,"LP-7",$AD$9:$AD$38)</f>
        <v>0</v>
      </c>
    </row>
    <row r="16" spans="1:41" ht="13.5" customHeight="1" x14ac:dyDescent="0.25">
      <c r="A16" s="6" t="str">
        <f>IF('Facility Information'!$C$21&gt;1,"LP-2","")</f>
        <v/>
      </c>
      <c r="B16" s="65"/>
      <c r="C16" s="65"/>
      <c r="D16" s="15"/>
      <c r="E16" s="15"/>
      <c r="F16" s="15"/>
      <c r="G16" s="174"/>
      <c r="H16" s="174"/>
      <c r="I16" s="15"/>
      <c r="J16" s="172" t="str">
        <f t="shared" si="13"/>
        <v/>
      </c>
      <c r="K16" s="172" t="str">
        <f t="shared" si="14"/>
        <v/>
      </c>
      <c r="L16" s="174"/>
      <c r="M16" s="311" t="str">
        <f>IF(E16="","",IF(E16="LP-1",IF('Limestone Plant (LP-1)'!$C$9&gt;0,'Limestone Plant (LP-1)'!$C$9,IF('Limestone Plant (LP-1)'!$C$10&gt;0,'Limestone Plant (LP-1)'!$C$10*365,"")),IF(E16="LP-2",IF('Limestone Plant (LP-2)'!$C$9&gt;0,'Limestone Plant (LP-2)'!$C$9,IF('Limestone Plant (LP-2)'!$C$10&gt;0,'Limestone Plant (LP-2)'!$C$10*365,"")),IF(E16="LP-3",IF('Limestone Plant (LP-3)'!$C$9&gt;0,'Limestone Plant (LP-3)'!$C$9,IF('Limestone Plant (LP-3)'!$C$10&gt;0,'Limestone Plant (LP-3)'!$C$10*365,"")),IF(E16="LP-4",IF('Limestone Plant (LP-4)'!$C$9&gt;0,'Limestone Plant (LP-4)'!$C$9,IF('Limestone Plant (LP-4)'!$C$10&gt;0,'Limestone Plant (LP-4)'!$C$10*365,"")),IF(E16="LP-5",IF('Limestone Plant (LP-5)'!$C$9&gt;0,'Limestone Plant (LP-5)'!$C$9,IF('Limestone Plant (LP-5)'!$C$10&gt;0,'Limestone Plant (LP-5)'!$C$10*365,"")),IF(E16="LP-6",IF('Limestone Plant (LP-6)'!$C$9&gt;0,'Limestone Plant (LP-6)'!$C$9,IF('Limestone Plant (LP-6)'!$C$10&gt;0,'Limestone Plant (LP-6)'!$C$10*365,"")),IF(E16="LP-7",IF('Limestone Plant (LP-7)'!$C$9&gt;0,'Limestone Plant (LP-7)'!$C$9,IF('Limestone Plant (LP-7)'!$C$10&gt;0,'Limestone Plant (LP-7)'!$C$10*365,"")),IF(E16="LP-8",IF('Limestone Plant (LP-8)'!$C$9&gt;0,'Limestone Plant (LP-8)'!$C$9,IF('Limestone Plant (LP-8)'!$C$10&gt;0,'Limestone Plant (LP-8)'!$C$10*365,"")),IF(E16="LP-9",IF('Limestone Plant (LP-9)'!$C$9&gt;0,'Limestone Plant (LP-9)'!$C$9,IF('Limestone Plant (LP-9)'!$C$10&gt;0,'Limestone Plant (LP-9)'!$C$10*365,"")),IF(E16="LP-10",IF('Limestone Plant (LP-10)'!$C$9&gt;0,'Limestone Plant (LP-10)'!$C$9,IF('Limestone Plant (LP-10)'!$C$10&gt;0,'Limestone Plant (LP-10)'!$C$10*365,"")))))))))))))</f>
        <v/>
      </c>
      <c r="N16" s="174"/>
      <c r="O16" s="174"/>
      <c r="P16" s="154" t="str">
        <f t="shared" si="0"/>
        <v/>
      </c>
      <c r="Q16" s="154" t="str">
        <f t="shared" si="15"/>
        <v/>
      </c>
      <c r="R16" s="15" t="str">
        <f t="shared" si="1"/>
        <v/>
      </c>
      <c r="S16" s="15" t="str">
        <f t="shared" si="2"/>
        <v/>
      </c>
      <c r="T16" s="176"/>
      <c r="U16" s="172" t="str">
        <f t="shared" si="3"/>
        <v/>
      </c>
      <c r="V16" s="172" t="str">
        <f t="shared" si="4"/>
        <v/>
      </c>
      <c r="W16" s="172" t="str">
        <f t="shared" si="5"/>
        <v/>
      </c>
      <c r="X16" s="172" t="str">
        <f t="shared" si="6"/>
        <v/>
      </c>
      <c r="Y16" s="172" t="str">
        <f t="shared" si="7"/>
        <v/>
      </c>
      <c r="Z16" s="172" t="str">
        <f t="shared" si="8"/>
        <v/>
      </c>
      <c r="AA16" s="172" t="str">
        <f t="shared" si="9"/>
        <v/>
      </c>
      <c r="AB16" s="172" t="str">
        <f t="shared" si="10"/>
        <v/>
      </c>
      <c r="AC16" s="172" t="str">
        <f t="shared" si="11"/>
        <v/>
      </c>
      <c r="AD16" s="172" t="str">
        <f t="shared" si="12"/>
        <v/>
      </c>
      <c r="AE16" s="6" t="str">
        <f t="shared" si="16"/>
        <v/>
      </c>
      <c r="AF16" s="172">
        <f t="array" ref="AF16">IF(AND('Limestone Plant (LP-8)'!$C$10="",'Limestone Plant (LP-8)'!$C$9=""),SUMIFS($X$9:$X$38,$E$9:$E$38,"LP-8",$AE$9:$AE$38,"x"),MAX(IF($E$9:$E$38="LP-8",IF($AE$9:$AE$38="x",$X$9:$X$38))))</f>
        <v>0</v>
      </c>
      <c r="AG16" s="172">
        <f t="array" ref="AG16">IF(AND('Limestone Plant (LP-8)'!$C$10="",'Limestone Plant (LP-8)'!$C$9=""),SUMIFS($X$9:$X$38,$E$9:$E$38,"LP-8",AE9:AE38,""),MAX(IF($E$9:$E$38="LP-8",IF($AE$9:$AE$38="",$X$9:$X$38))))</f>
        <v>0</v>
      </c>
      <c r="AH16" s="180">
        <f t="array" ref="AH16">IF(AND('Limestone Plant (LP-8)'!$C$10="",'Limestone Plant (LP-8)'!$C$9=""),SUMIFS($AC$9:$AC$38,$E$9:$E$38,"LP-8",$AE$9:$AE$38,"x"),MAX(IF($E$9:$E$38="LP-8",IF($AE$9:$AE$38="x",$AC$9:$AC$38))))</f>
        <v>0</v>
      </c>
      <c r="AI16" s="154">
        <f t="array" ref="AI16">IF(AND('Limestone Plant (LP-8)'!$C$10="",'Limestone Plant (LP-8)'!$C$9=""),SUMIFS($AC$9:$AC$38,$E$9:$E$38,"LP-8",$AE$9:$AE$38,""),MAX(IF($E$9:$E$38="LP-8",IF($AE$9:$AE$38="",$AC$9:$AC$38))))</f>
        <v>0</v>
      </c>
      <c r="AK16" s="153" t="s">
        <v>166</v>
      </c>
      <c r="AL16" s="172">
        <f t="array" ref="AL16">IF(AND('Limestone Plant (LP-8)'!$C$10="",'Limestone Plant (LP-8)'!$C$9=""),SUMIF($E$9:$E$38,"LP-8",$X$9:$X$38),MAX(IF($E$9:$E$38="LP-8",$X$9:$X$38)))</f>
        <v>0</v>
      </c>
      <c r="AM16" s="172">
        <f>SUMIF($E$9:$E$38,"LP-8",$Y$9:$Y$38)</f>
        <v>0</v>
      </c>
      <c r="AN16" s="172">
        <f t="array" ref="AN16">IF(AND('Limestone Plant (LP-8)'!$C$10="",'Limestone Plant (LP-8)'!$C$9=""),SUMIF($E$9:$E$38,"LP-8",$AC$9:$AC$38),MAX(IF($E$9:$E$38="LP-8",$AC$9:$AC$38)))</f>
        <v>0</v>
      </c>
      <c r="AO16" s="172">
        <f ca="1">SUMIF($E$9:$E445,"LP-8",$AD$9:$AD$38)</f>
        <v>0</v>
      </c>
    </row>
    <row r="17" spans="1:41" ht="13.5" customHeight="1" x14ac:dyDescent="0.25">
      <c r="A17" s="6" t="str">
        <f>IF('Facility Information'!$C$21&gt;2,"LP-3","")</f>
        <v/>
      </c>
      <c r="B17" s="65"/>
      <c r="C17" s="65"/>
      <c r="D17" s="15"/>
      <c r="E17" s="15"/>
      <c r="F17" s="15"/>
      <c r="G17" s="174"/>
      <c r="H17" s="174"/>
      <c r="I17" s="15"/>
      <c r="J17" s="172" t="str">
        <f t="shared" si="13"/>
        <v/>
      </c>
      <c r="K17" s="172" t="str">
        <f t="shared" si="14"/>
        <v/>
      </c>
      <c r="L17" s="174"/>
      <c r="M17" s="311" t="str">
        <f>IF(E17="","",IF(E17="LP-1",IF('Limestone Plant (LP-1)'!$C$9&gt;0,'Limestone Plant (LP-1)'!$C$9,IF('Limestone Plant (LP-1)'!$C$10&gt;0,'Limestone Plant (LP-1)'!$C$10*365,"")),IF(E17="LP-2",IF('Limestone Plant (LP-2)'!$C$9&gt;0,'Limestone Plant (LP-2)'!$C$9,IF('Limestone Plant (LP-2)'!$C$10&gt;0,'Limestone Plant (LP-2)'!$C$10*365,"")),IF(E17="LP-3",IF('Limestone Plant (LP-3)'!$C$9&gt;0,'Limestone Plant (LP-3)'!$C$9,IF('Limestone Plant (LP-3)'!$C$10&gt;0,'Limestone Plant (LP-3)'!$C$10*365,"")),IF(E17="LP-4",IF('Limestone Plant (LP-4)'!$C$9&gt;0,'Limestone Plant (LP-4)'!$C$9,IF('Limestone Plant (LP-4)'!$C$10&gt;0,'Limestone Plant (LP-4)'!$C$10*365,"")),IF(E17="LP-5",IF('Limestone Plant (LP-5)'!$C$9&gt;0,'Limestone Plant (LP-5)'!$C$9,IF('Limestone Plant (LP-5)'!$C$10&gt;0,'Limestone Plant (LP-5)'!$C$10*365,"")),IF(E17="LP-6",IF('Limestone Plant (LP-6)'!$C$9&gt;0,'Limestone Plant (LP-6)'!$C$9,IF('Limestone Plant (LP-6)'!$C$10&gt;0,'Limestone Plant (LP-6)'!$C$10*365,"")),IF(E17="LP-7",IF('Limestone Plant (LP-7)'!$C$9&gt;0,'Limestone Plant (LP-7)'!$C$9,IF('Limestone Plant (LP-7)'!$C$10&gt;0,'Limestone Plant (LP-7)'!$C$10*365,"")),IF(E17="LP-8",IF('Limestone Plant (LP-8)'!$C$9&gt;0,'Limestone Plant (LP-8)'!$C$9,IF('Limestone Plant (LP-8)'!$C$10&gt;0,'Limestone Plant (LP-8)'!$C$10*365,"")),IF(E17="LP-9",IF('Limestone Plant (LP-9)'!$C$9&gt;0,'Limestone Plant (LP-9)'!$C$9,IF('Limestone Plant (LP-9)'!$C$10&gt;0,'Limestone Plant (LP-9)'!$C$10*365,"")),IF(E17="LP-10",IF('Limestone Plant (LP-10)'!$C$9&gt;0,'Limestone Plant (LP-10)'!$C$9,IF('Limestone Plant (LP-10)'!$C$10&gt;0,'Limestone Plant (LP-10)'!$C$10*365,"")))))))))))))</f>
        <v/>
      </c>
      <c r="N17" s="174"/>
      <c r="O17" s="174"/>
      <c r="P17" s="154" t="str">
        <f t="shared" si="0"/>
        <v/>
      </c>
      <c r="Q17" s="154" t="str">
        <f t="shared" si="15"/>
        <v/>
      </c>
      <c r="R17" s="15" t="str">
        <f t="shared" si="1"/>
        <v/>
      </c>
      <c r="S17" s="15" t="str">
        <f t="shared" si="2"/>
        <v/>
      </c>
      <c r="T17" s="176"/>
      <c r="U17" s="172" t="str">
        <f t="shared" si="3"/>
        <v/>
      </c>
      <c r="V17" s="172" t="str">
        <f t="shared" si="4"/>
        <v/>
      </c>
      <c r="W17" s="172" t="str">
        <f t="shared" si="5"/>
        <v/>
      </c>
      <c r="X17" s="172" t="str">
        <f t="shared" si="6"/>
        <v/>
      </c>
      <c r="Y17" s="172" t="str">
        <f t="shared" si="7"/>
        <v/>
      </c>
      <c r="Z17" s="172" t="str">
        <f t="shared" si="8"/>
        <v/>
      </c>
      <c r="AA17" s="172" t="str">
        <f t="shared" si="9"/>
        <v/>
      </c>
      <c r="AB17" s="172" t="str">
        <f t="shared" si="10"/>
        <v/>
      </c>
      <c r="AC17" s="172" t="str">
        <f t="shared" si="11"/>
        <v/>
      </c>
      <c r="AD17" s="172" t="str">
        <f t="shared" si="12"/>
        <v/>
      </c>
      <c r="AE17" s="6" t="str">
        <f t="shared" si="16"/>
        <v/>
      </c>
      <c r="AF17" s="172">
        <f t="array" ref="AF17">IF(AND('Limestone Plant (LP-9)'!$C$10="",'Limestone Plant (LP-9)'!$C$9=""),SUMIFS($X$9:$X$38,$E$9:$E$38,"LP-9",$AE$9:$AE$38,"x"),MAX(IF($E$9:$E$38="LP-9",IF($AE$9:$AE$38="x",$X$9:$X$38))))</f>
        <v>0</v>
      </c>
      <c r="AG17" s="172">
        <f t="array" ref="AG17">IF(AND('Limestone Plant (LP-9)'!$C$10="",'Limestone Plant (LP-9)'!$C$9=""),SUMIFS($X$9:$X$38,$E$9:$E$38,"LP-9",AE9:AE38,""),MAX(IF($E$9:$E$38="LP-9",IF($AE$9:$AE$38="",$X$9:$X$38))))</f>
        <v>0</v>
      </c>
      <c r="AH17" s="180">
        <f t="array" ref="AH17">IF(AND('Limestone Plant (LP-9)'!$C$10="",'Limestone Plant (LP-9)'!$C$9=""),SUMIFS($AC$9:$AC$38,$E$9:$E$38,"LP-9",$AE$9:$AE$38,"x"),MAX(IF($E$9:$E$38="LP-9",IF($AE$9:$AE$38="x",$AC$9:$AC$38))))</f>
        <v>0</v>
      </c>
      <c r="AI17" s="154">
        <f t="array" ref="AI17">IF(AND('Limestone Plant (LP-9)'!$C$10="",'Limestone Plant (LP-9)'!$C$9=""),SUMIFS($AC$9:$AC$38,$E$9:$E$38,"LP-9",$AE$9:$AE$38,""),MAX(IF($E$9:$E$38="LP-9",IF($AE$9:$AE$38="",$AC$9:$AC$38))))</f>
        <v>0</v>
      </c>
      <c r="AK17" s="153" t="s">
        <v>167</v>
      </c>
      <c r="AL17" s="172">
        <f t="array" ref="AL17">IF(AND('Limestone Plant (LP-9)'!$C$10="",'Limestone Plant (LP-9)'!$C$9=""),SUMIF($E$9:$E$38,"LP-9",$X$9:$X$38),MAX(IF($E$9:$E$38="LP-9",$X$9:$X$38)))</f>
        <v>0</v>
      </c>
      <c r="AM17" s="172">
        <f>SUMIF($E$9:$E$38,"LP-9",$Y$9:$Y$38)</f>
        <v>0</v>
      </c>
      <c r="AN17" s="172">
        <f t="array" ref="AN17">IF(AND('Limestone Plant (LP-9)'!$C$10="",'Limestone Plant (LP-9)'!$C$9=""),SUMIF($E$9:$E$38,"LP-9",$AC$9:$AC$38),MAX(IF($E$9:$E$38="LP-9",$AC$9:$AC$38)))</f>
        <v>0</v>
      </c>
      <c r="AO17" s="172">
        <f ca="1">SUMIF($E$9:$E446,"LP-9",$AD$9:$AD$38)</f>
        <v>0</v>
      </c>
    </row>
    <row r="18" spans="1:41" ht="13.5" customHeight="1" x14ac:dyDescent="0.25">
      <c r="A18" s="6" t="str">
        <f>IF('Facility Information'!$C$21&gt;3,"LP-4","")</f>
        <v/>
      </c>
      <c r="B18" s="65"/>
      <c r="C18" s="65"/>
      <c r="D18" s="15"/>
      <c r="E18" s="15"/>
      <c r="F18" s="15"/>
      <c r="G18" s="174"/>
      <c r="H18" s="174"/>
      <c r="I18" s="15"/>
      <c r="J18" s="172" t="str">
        <f t="shared" si="13"/>
        <v/>
      </c>
      <c r="K18" s="172" t="str">
        <f t="shared" si="14"/>
        <v/>
      </c>
      <c r="L18" s="174"/>
      <c r="M18" s="311" t="str">
        <f>IF(E18="","",IF(E18="LP-1",IF('Limestone Plant (LP-1)'!$C$9&gt;0,'Limestone Plant (LP-1)'!$C$9,IF('Limestone Plant (LP-1)'!$C$10&gt;0,'Limestone Plant (LP-1)'!$C$10*365,"")),IF(E18="LP-2",IF('Limestone Plant (LP-2)'!$C$9&gt;0,'Limestone Plant (LP-2)'!$C$9,IF('Limestone Plant (LP-2)'!$C$10&gt;0,'Limestone Plant (LP-2)'!$C$10*365,"")),IF(E18="LP-3",IF('Limestone Plant (LP-3)'!$C$9&gt;0,'Limestone Plant (LP-3)'!$C$9,IF('Limestone Plant (LP-3)'!$C$10&gt;0,'Limestone Plant (LP-3)'!$C$10*365,"")),IF(E18="LP-4",IF('Limestone Plant (LP-4)'!$C$9&gt;0,'Limestone Plant (LP-4)'!$C$9,IF('Limestone Plant (LP-4)'!$C$10&gt;0,'Limestone Plant (LP-4)'!$C$10*365,"")),IF(E18="LP-5",IF('Limestone Plant (LP-5)'!$C$9&gt;0,'Limestone Plant (LP-5)'!$C$9,IF('Limestone Plant (LP-5)'!$C$10&gt;0,'Limestone Plant (LP-5)'!$C$10*365,"")),IF(E18="LP-6",IF('Limestone Plant (LP-6)'!$C$9&gt;0,'Limestone Plant (LP-6)'!$C$9,IF('Limestone Plant (LP-6)'!$C$10&gt;0,'Limestone Plant (LP-6)'!$C$10*365,"")),IF(E18="LP-7",IF('Limestone Plant (LP-7)'!$C$9&gt;0,'Limestone Plant (LP-7)'!$C$9,IF('Limestone Plant (LP-7)'!$C$10&gt;0,'Limestone Plant (LP-7)'!$C$10*365,"")),IF(E18="LP-8",IF('Limestone Plant (LP-8)'!$C$9&gt;0,'Limestone Plant (LP-8)'!$C$9,IF('Limestone Plant (LP-8)'!$C$10&gt;0,'Limestone Plant (LP-8)'!$C$10*365,"")),IF(E18="LP-9",IF('Limestone Plant (LP-9)'!$C$9&gt;0,'Limestone Plant (LP-9)'!$C$9,IF('Limestone Plant (LP-9)'!$C$10&gt;0,'Limestone Plant (LP-9)'!$C$10*365,"")),IF(E18="LP-10",IF('Limestone Plant (LP-10)'!$C$9&gt;0,'Limestone Plant (LP-10)'!$C$9,IF('Limestone Plant (LP-10)'!$C$10&gt;0,'Limestone Plant (LP-10)'!$C$10*365,"")))))))))))))</f>
        <v/>
      </c>
      <c r="N18" s="174"/>
      <c r="O18" s="174"/>
      <c r="P18" s="154" t="str">
        <f t="shared" si="0"/>
        <v/>
      </c>
      <c r="Q18" s="154" t="str">
        <f t="shared" si="15"/>
        <v/>
      </c>
      <c r="R18" s="15" t="str">
        <f t="shared" si="1"/>
        <v/>
      </c>
      <c r="S18" s="15" t="str">
        <f t="shared" si="2"/>
        <v/>
      </c>
      <c r="T18" s="176"/>
      <c r="U18" s="172" t="str">
        <f t="shared" si="3"/>
        <v/>
      </c>
      <c r="V18" s="172" t="str">
        <f t="shared" si="4"/>
        <v/>
      </c>
      <c r="W18" s="172" t="str">
        <f t="shared" si="5"/>
        <v/>
      </c>
      <c r="X18" s="172" t="str">
        <f t="shared" si="6"/>
        <v/>
      </c>
      <c r="Y18" s="172" t="str">
        <f t="shared" si="7"/>
        <v/>
      </c>
      <c r="Z18" s="172" t="str">
        <f t="shared" si="8"/>
        <v/>
      </c>
      <c r="AA18" s="172" t="str">
        <f t="shared" si="9"/>
        <v/>
      </c>
      <c r="AB18" s="172" t="str">
        <f t="shared" si="10"/>
        <v/>
      </c>
      <c r="AC18" s="172" t="str">
        <f t="shared" si="11"/>
        <v/>
      </c>
      <c r="AD18" s="172" t="str">
        <f t="shared" si="12"/>
        <v/>
      </c>
      <c r="AE18" s="6" t="str">
        <f t="shared" si="16"/>
        <v/>
      </c>
      <c r="AF18" s="172">
        <f t="array" ref="AF18">IF(AND('Limestone Plant (LP-10)'!$C$10="",'Limestone Plant (LP-10)'!$C$9=""),SUMIFS($X$9:$X$38,$E$9:$E$38,"LP-10",$AE$9:$AE$38,"x"),MAX(IF($E$9:$E$38="LP-10",IF($AE$9:$AE$38="x",$X$9:$X$38))))</f>
        <v>0</v>
      </c>
      <c r="AG18" s="172">
        <f t="array" ref="AG18">IF(AND('Limestone Plant (LP-10)'!$C$10="",'Limestone Plant (LP-10)'!$C$9=""),SUMIFS($X$9:$X$38,$E$9:$E$38,"LP-10",AE9:AE38,""),MAX(IF($E$9:$E$38="LP-10",IF($AE$9:$AE$38="",$X$9:$X$38))))</f>
        <v>0</v>
      </c>
      <c r="AH18" s="180">
        <f t="array" ref="AH18">IF(AND('Limestone Plant (LP-10)'!$C$10="",'Limestone Plant (LP-10)'!$C$9=""),SUMIFS($AC$9:$AC$38,$E$9:$E$38,"LP-10",$AE$9:$AE$38,"x"),MAX(IF($E$9:$E$38="LP-10",IF($AE$9:$AE$38="x",$AC$9:$AC$38))))</f>
        <v>0</v>
      </c>
      <c r="AI18" s="154">
        <f t="array" ref="AI18">IF(AND('Limestone Plant (LP-10)'!$C$10="",'Limestone Plant (LP-10)'!$C$9=""),SUMIFS($AC$9:$AC$38,$E$9:$E$38,"LP-10",$AE$9:$AE$38,""),MAX(IF($E$9:$E$38="LP-10",IF($AE$9:$AE$38="",$AC$9:$AC$38))))</f>
        <v>0</v>
      </c>
      <c r="AK18" s="153" t="s">
        <v>168</v>
      </c>
      <c r="AL18" s="172">
        <f t="array" ref="AL18">IF(AND('Limestone Plant (LP-10)'!$C$10="",'Limestone Plant (LP-10)'!$C$9=""),SUMIF($E$9:$E$38,"LP-10",$X$9:$X$38),MAX(IF($E$9:$E$38="LP-10",$X$9:$X$38)))</f>
        <v>0</v>
      </c>
      <c r="AM18" s="172">
        <f>SUMIF($E$9:$E$38,"LP-10",$Y$9:$Y$38)</f>
        <v>0</v>
      </c>
      <c r="AN18" s="172">
        <f t="array" ref="AN18">IF(AND('Limestone Plant (LP-10)'!$C$10="",'Limestone Plant (LP-10)'!$C$9=""),SUMIF($E$9:$E$38,"LP-10",$AC$9:$AC$38),MAX(IF($E$9:$E$38="LP-10",$AC$9:$AC$38)))</f>
        <v>0</v>
      </c>
      <c r="AO18" s="172">
        <f ca="1">SUMIF($E$9:$E447,"LP-10",$AD$9:$AD$38)</f>
        <v>0</v>
      </c>
    </row>
    <row r="19" spans="1:41" ht="13.5" customHeight="1" x14ac:dyDescent="0.25">
      <c r="A19" s="6" t="str">
        <f>IF('Facility Information'!$C$21&gt;4,"LP-5","")</f>
        <v/>
      </c>
      <c r="B19" s="65"/>
      <c r="C19" s="65"/>
      <c r="D19" s="15"/>
      <c r="E19" s="15"/>
      <c r="F19" s="15"/>
      <c r="G19" s="174"/>
      <c r="H19" s="174"/>
      <c r="I19" s="15"/>
      <c r="J19" s="172" t="str">
        <f t="shared" ref="J19:J28" si="17">IF(G19="","",(G19*(I19/100)+H19*(1-(I19/100))))</f>
        <v/>
      </c>
      <c r="K19" s="172" t="str">
        <f t="shared" ref="K19:K28" si="18">IF(G19="","",H19-G19)</f>
        <v/>
      </c>
      <c r="L19" s="174"/>
      <c r="M19" s="311" t="str">
        <f>IF(E19="","",IF(E19="LP-1",IF('Limestone Plant (LP-1)'!$C$9&gt;0,'Limestone Plant (LP-1)'!$C$9,IF('Limestone Plant (LP-1)'!$C$10&gt;0,'Limestone Plant (LP-1)'!$C$10*365,"")),IF(E19="LP-2",IF('Limestone Plant (LP-2)'!$C$9&gt;0,'Limestone Plant (LP-2)'!$C$9,IF('Limestone Plant (LP-2)'!$C$10&gt;0,'Limestone Plant (LP-2)'!$C$10*365,"")),IF(E19="LP-3",IF('Limestone Plant (LP-3)'!$C$9&gt;0,'Limestone Plant (LP-3)'!$C$9,IF('Limestone Plant (LP-3)'!$C$10&gt;0,'Limestone Plant (LP-3)'!$C$10*365,"")),IF(E19="LP-4",IF('Limestone Plant (LP-4)'!$C$9&gt;0,'Limestone Plant (LP-4)'!$C$9,IF('Limestone Plant (LP-4)'!$C$10&gt;0,'Limestone Plant (LP-4)'!$C$10*365,"")),IF(E19="LP-5",IF('Limestone Plant (LP-5)'!$C$9&gt;0,'Limestone Plant (LP-5)'!$C$9,IF('Limestone Plant (LP-5)'!$C$10&gt;0,'Limestone Plant (LP-5)'!$C$10*365,"")),IF(E19="LP-6",IF('Limestone Plant (LP-6)'!$C$9&gt;0,'Limestone Plant (LP-6)'!$C$9,IF('Limestone Plant (LP-6)'!$C$10&gt;0,'Limestone Plant (LP-6)'!$C$10*365,"")),IF(E19="LP-7",IF('Limestone Plant (LP-7)'!$C$9&gt;0,'Limestone Plant (LP-7)'!$C$9,IF('Limestone Plant (LP-7)'!$C$10&gt;0,'Limestone Plant (LP-7)'!$C$10*365,"")),IF(E19="LP-8",IF('Limestone Plant (LP-8)'!$C$9&gt;0,'Limestone Plant (LP-8)'!$C$9,IF('Limestone Plant (LP-8)'!$C$10&gt;0,'Limestone Plant (LP-8)'!$C$10*365,"")),IF(E19="LP-9",IF('Limestone Plant (LP-9)'!$C$9&gt;0,'Limestone Plant (LP-9)'!$C$9,IF('Limestone Plant (LP-9)'!$C$10&gt;0,'Limestone Plant (LP-9)'!$C$10*365,"")),IF(E19="LP-10",IF('Limestone Plant (LP-10)'!$C$9&gt;0,'Limestone Plant (LP-10)'!$C$9,IF('Limestone Plant (LP-10)'!$C$10&gt;0,'Limestone Plant (LP-10)'!$C$10*365,"")))))))))))))</f>
        <v/>
      </c>
      <c r="N19" s="174"/>
      <c r="O19" s="174"/>
      <c r="P19" s="154" t="str">
        <f t="shared" si="0"/>
        <v/>
      </c>
      <c r="Q19" s="154" t="str">
        <f t="shared" ref="Q19:Q28" si="19">IF(O19="","",O19/K19)</f>
        <v/>
      </c>
      <c r="R19" s="15" t="str">
        <f t="shared" si="1"/>
        <v/>
      </c>
      <c r="S19" s="15" t="str">
        <f t="shared" si="2"/>
        <v/>
      </c>
      <c r="T19" s="176"/>
      <c r="U19" s="172" t="str">
        <f t="shared" si="3"/>
        <v/>
      </c>
      <c r="V19" s="172" t="str">
        <f t="shared" si="4"/>
        <v/>
      </c>
      <c r="W19" s="172" t="str">
        <f t="shared" si="5"/>
        <v/>
      </c>
      <c r="X19" s="172" t="str">
        <f t="shared" si="6"/>
        <v/>
      </c>
      <c r="Y19" s="172" t="str">
        <f t="shared" si="7"/>
        <v/>
      </c>
      <c r="Z19" s="172" t="str">
        <f t="shared" si="8"/>
        <v/>
      </c>
      <c r="AA19" s="172" t="str">
        <f t="shared" si="9"/>
        <v/>
      </c>
      <c r="AB19" s="172" t="str">
        <f t="shared" si="10"/>
        <v/>
      </c>
      <c r="AC19" s="172" t="str">
        <f t="shared" si="11"/>
        <v/>
      </c>
      <c r="AD19" s="172" t="str">
        <f t="shared" si="12"/>
        <v/>
      </c>
      <c r="AE19" s="6" t="str">
        <f t="shared" si="16"/>
        <v/>
      </c>
      <c r="AL19" s="155"/>
      <c r="AM19" s="155"/>
      <c r="AN19" s="155"/>
      <c r="AO19" s="155"/>
    </row>
    <row r="20" spans="1:41" ht="13.5" customHeight="1" x14ac:dyDescent="0.25">
      <c r="A20" s="6" t="str">
        <f>IF('Facility Information'!$C$21&gt;5,"LP-6","")</f>
        <v/>
      </c>
      <c r="B20" s="65"/>
      <c r="C20" s="65"/>
      <c r="D20" s="15"/>
      <c r="E20" s="15"/>
      <c r="F20" s="15"/>
      <c r="G20" s="174"/>
      <c r="H20" s="174"/>
      <c r="I20" s="15"/>
      <c r="J20" s="172" t="str">
        <f t="shared" si="17"/>
        <v/>
      </c>
      <c r="K20" s="172" t="str">
        <f t="shared" si="18"/>
        <v/>
      </c>
      <c r="L20" s="174"/>
      <c r="M20" s="311" t="str">
        <f>IF(E20="","",IF(E20="LP-1",IF('Limestone Plant (LP-1)'!$C$9&gt;0,'Limestone Plant (LP-1)'!$C$9,IF('Limestone Plant (LP-1)'!$C$10&gt;0,'Limestone Plant (LP-1)'!$C$10*365,"")),IF(E20="LP-2",IF('Limestone Plant (LP-2)'!$C$9&gt;0,'Limestone Plant (LP-2)'!$C$9,IF('Limestone Plant (LP-2)'!$C$10&gt;0,'Limestone Plant (LP-2)'!$C$10*365,"")),IF(E20="LP-3",IF('Limestone Plant (LP-3)'!$C$9&gt;0,'Limestone Plant (LP-3)'!$C$9,IF('Limestone Plant (LP-3)'!$C$10&gt;0,'Limestone Plant (LP-3)'!$C$10*365,"")),IF(E20="LP-4",IF('Limestone Plant (LP-4)'!$C$9&gt;0,'Limestone Plant (LP-4)'!$C$9,IF('Limestone Plant (LP-4)'!$C$10&gt;0,'Limestone Plant (LP-4)'!$C$10*365,"")),IF(E20="LP-5",IF('Limestone Plant (LP-5)'!$C$9&gt;0,'Limestone Plant (LP-5)'!$C$9,IF('Limestone Plant (LP-5)'!$C$10&gt;0,'Limestone Plant (LP-5)'!$C$10*365,"")),IF(E20="LP-6",IF('Limestone Plant (LP-6)'!$C$9&gt;0,'Limestone Plant (LP-6)'!$C$9,IF('Limestone Plant (LP-6)'!$C$10&gt;0,'Limestone Plant (LP-6)'!$C$10*365,"")),IF(E20="LP-7",IF('Limestone Plant (LP-7)'!$C$9&gt;0,'Limestone Plant (LP-7)'!$C$9,IF('Limestone Plant (LP-7)'!$C$10&gt;0,'Limestone Plant (LP-7)'!$C$10*365,"")),IF(E20="LP-8",IF('Limestone Plant (LP-8)'!$C$9&gt;0,'Limestone Plant (LP-8)'!$C$9,IF('Limestone Plant (LP-8)'!$C$10&gt;0,'Limestone Plant (LP-8)'!$C$10*365,"")),IF(E20="LP-9",IF('Limestone Plant (LP-9)'!$C$9&gt;0,'Limestone Plant (LP-9)'!$C$9,IF('Limestone Plant (LP-9)'!$C$10&gt;0,'Limestone Plant (LP-9)'!$C$10*365,"")),IF(E20="LP-10",IF('Limestone Plant (LP-10)'!$C$9&gt;0,'Limestone Plant (LP-10)'!$C$9,IF('Limestone Plant (LP-10)'!$C$10&gt;0,'Limestone Plant (LP-10)'!$C$10*365,"")))))))))))))</f>
        <v/>
      </c>
      <c r="N20" s="174"/>
      <c r="O20" s="174"/>
      <c r="P20" s="154" t="str">
        <f t="shared" si="0"/>
        <v/>
      </c>
      <c r="Q20" s="154" t="str">
        <f t="shared" si="19"/>
        <v/>
      </c>
      <c r="R20" s="15" t="str">
        <f t="shared" si="1"/>
        <v/>
      </c>
      <c r="S20" s="15" t="str">
        <f t="shared" si="2"/>
        <v/>
      </c>
      <c r="T20" s="176"/>
      <c r="U20" s="172" t="str">
        <f t="shared" si="3"/>
        <v/>
      </c>
      <c r="V20" s="172" t="str">
        <f t="shared" si="4"/>
        <v/>
      </c>
      <c r="W20" s="172" t="str">
        <f t="shared" si="5"/>
        <v/>
      </c>
      <c r="X20" s="172" t="str">
        <f t="shared" si="6"/>
        <v/>
      </c>
      <c r="Y20" s="172" t="str">
        <f t="shared" si="7"/>
        <v/>
      </c>
      <c r="Z20" s="172" t="str">
        <f t="shared" si="8"/>
        <v/>
      </c>
      <c r="AA20" s="172" t="str">
        <f t="shared" si="9"/>
        <v/>
      </c>
      <c r="AB20" s="172" t="str">
        <f t="shared" si="10"/>
        <v/>
      </c>
      <c r="AC20" s="172" t="str">
        <f t="shared" si="11"/>
        <v/>
      </c>
      <c r="AD20" s="172" t="str">
        <f t="shared" si="12"/>
        <v/>
      </c>
      <c r="AE20" s="6" t="str">
        <f t="shared" si="16"/>
        <v/>
      </c>
      <c r="AF20" s="153" t="s">
        <v>157</v>
      </c>
      <c r="AG20" s="181" t="str">
        <f>IF('Limestone Plant (LP-1)'!$C$9&gt;0,'Limestone Plant (LP-1)'!$C$9,IF('Limestone Plant (LP-1)'!$C$10&gt;0,'Limestone Plant (LP-1)'!$C$10*365,""))</f>
        <v/>
      </c>
      <c r="AL20" s="155"/>
      <c r="AM20" s="155"/>
      <c r="AN20" s="155"/>
      <c r="AO20" s="155"/>
    </row>
    <row r="21" spans="1:41" ht="13.5" customHeight="1" x14ac:dyDescent="0.25">
      <c r="A21" s="6" t="str">
        <f>IF('Facility Information'!$C$21&gt;6,"LP-7","")</f>
        <v/>
      </c>
      <c r="B21" s="65"/>
      <c r="C21" s="65"/>
      <c r="D21" s="15"/>
      <c r="E21" s="15"/>
      <c r="F21" s="15"/>
      <c r="G21" s="174"/>
      <c r="H21" s="174"/>
      <c r="I21" s="15"/>
      <c r="J21" s="172" t="str">
        <f t="shared" si="17"/>
        <v/>
      </c>
      <c r="K21" s="172" t="str">
        <f t="shared" si="18"/>
        <v/>
      </c>
      <c r="L21" s="174"/>
      <c r="M21" s="311" t="str">
        <f>IF(E21="","",IF(E21="LP-1",IF('Limestone Plant (LP-1)'!$C$9&gt;0,'Limestone Plant (LP-1)'!$C$9,IF('Limestone Plant (LP-1)'!$C$10&gt;0,'Limestone Plant (LP-1)'!$C$10*365,"")),IF(E21="LP-2",IF('Limestone Plant (LP-2)'!$C$9&gt;0,'Limestone Plant (LP-2)'!$C$9,IF('Limestone Plant (LP-2)'!$C$10&gt;0,'Limestone Plant (LP-2)'!$C$10*365,"")),IF(E21="LP-3",IF('Limestone Plant (LP-3)'!$C$9&gt;0,'Limestone Plant (LP-3)'!$C$9,IF('Limestone Plant (LP-3)'!$C$10&gt;0,'Limestone Plant (LP-3)'!$C$10*365,"")),IF(E21="LP-4",IF('Limestone Plant (LP-4)'!$C$9&gt;0,'Limestone Plant (LP-4)'!$C$9,IF('Limestone Plant (LP-4)'!$C$10&gt;0,'Limestone Plant (LP-4)'!$C$10*365,"")),IF(E21="LP-5",IF('Limestone Plant (LP-5)'!$C$9&gt;0,'Limestone Plant (LP-5)'!$C$9,IF('Limestone Plant (LP-5)'!$C$10&gt;0,'Limestone Plant (LP-5)'!$C$10*365,"")),IF(E21="LP-6",IF('Limestone Plant (LP-6)'!$C$9&gt;0,'Limestone Plant (LP-6)'!$C$9,IF('Limestone Plant (LP-6)'!$C$10&gt;0,'Limestone Plant (LP-6)'!$C$10*365,"")),IF(E21="LP-7",IF('Limestone Plant (LP-7)'!$C$9&gt;0,'Limestone Plant (LP-7)'!$C$9,IF('Limestone Plant (LP-7)'!$C$10&gt;0,'Limestone Plant (LP-7)'!$C$10*365,"")),IF(E21="LP-8",IF('Limestone Plant (LP-8)'!$C$9&gt;0,'Limestone Plant (LP-8)'!$C$9,IF('Limestone Plant (LP-8)'!$C$10&gt;0,'Limestone Plant (LP-8)'!$C$10*365,"")),IF(E21="LP-9",IF('Limestone Plant (LP-9)'!$C$9&gt;0,'Limestone Plant (LP-9)'!$C$9,IF('Limestone Plant (LP-9)'!$C$10&gt;0,'Limestone Plant (LP-9)'!$C$10*365,"")),IF(E21="LP-10",IF('Limestone Plant (LP-10)'!$C$9&gt;0,'Limestone Plant (LP-10)'!$C$9,IF('Limestone Plant (LP-10)'!$C$10&gt;0,'Limestone Plant (LP-10)'!$C$10*365,"")))))))))))))</f>
        <v/>
      </c>
      <c r="N21" s="174"/>
      <c r="O21" s="174"/>
      <c r="P21" s="154" t="str">
        <f t="shared" si="0"/>
        <v/>
      </c>
      <c r="Q21" s="154" t="str">
        <f t="shared" si="19"/>
        <v/>
      </c>
      <c r="R21" s="15" t="str">
        <f t="shared" si="1"/>
        <v/>
      </c>
      <c r="S21" s="15" t="str">
        <f t="shared" si="2"/>
        <v/>
      </c>
      <c r="T21" s="176"/>
      <c r="U21" s="172" t="str">
        <f t="shared" si="3"/>
        <v/>
      </c>
      <c r="V21" s="172" t="str">
        <f t="shared" si="4"/>
        <v/>
      </c>
      <c r="W21" s="172" t="str">
        <f t="shared" si="5"/>
        <v/>
      </c>
      <c r="X21" s="172" t="str">
        <f t="shared" si="6"/>
        <v/>
      </c>
      <c r="Y21" s="172" t="str">
        <f t="shared" si="7"/>
        <v/>
      </c>
      <c r="Z21" s="172" t="str">
        <f t="shared" si="8"/>
        <v/>
      </c>
      <c r="AA21" s="172" t="str">
        <f t="shared" si="9"/>
        <v/>
      </c>
      <c r="AB21" s="172" t="str">
        <f t="shared" si="10"/>
        <v/>
      </c>
      <c r="AC21" s="172" t="str">
        <f t="shared" si="11"/>
        <v/>
      </c>
      <c r="AD21" s="172" t="str">
        <f t="shared" si="12"/>
        <v/>
      </c>
      <c r="AE21" s="6" t="str">
        <f t="shared" si="16"/>
        <v/>
      </c>
      <c r="AF21" s="153" t="s">
        <v>160</v>
      </c>
      <c r="AG21" s="181" t="str">
        <f>IF('Limestone Plant (LP-2)'!$C$9&gt;0,'Limestone Plant (LP-2)'!$C$9,IF('Limestone Plant (LP-2)'!$C$10&gt;0,'Limestone Plant (LP-2)'!$C$10*365,""))</f>
        <v/>
      </c>
    </row>
    <row r="22" spans="1:41" ht="13.5" customHeight="1" x14ac:dyDescent="0.25">
      <c r="A22" s="6" t="str">
        <f>IF('Facility Information'!$C$21&gt;7,"LP-8","")</f>
        <v/>
      </c>
      <c r="B22" s="65"/>
      <c r="C22" s="65"/>
      <c r="D22" s="15"/>
      <c r="E22" s="15"/>
      <c r="F22" s="15"/>
      <c r="G22" s="174"/>
      <c r="H22" s="174"/>
      <c r="I22" s="15"/>
      <c r="J22" s="172" t="str">
        <f t="shared" si="17"/>
        <v/>
      </c>
      <c r="K22" s="172" t="str">
        <f t="shared" si="18"/>
        <v/>
      </c>
      <c r="L22" s="174"/>
      <c r="M22" s="311" t="str">
        <f>IF(E22="","",IF(E22="LP-1",IF('Limestone Plant (LP-1)'!$C$9&gt;0,'Limestone Plant (LP-1)'!$C$9,IF('Limestone Plant (LP-1)'!$C$10&gt;0,'Limestone Plant (LP-1)'!$C$10*365,"")),IF(E22="LP-2",IF('Limestone Plant (LP-2)'!$C$9&gt;0,'Limestone Plant (LP-2)'!$C$9,IF('Limestone Plant (LP-2)'!$C$10&gt;0,'Limestone Plant (LP-2)'!$C$10*365,"")),IF(E22="LP-3",IF('Limestone Plant (LP-3)'!$C$9&gt;0,'Limestone Plant (LP-3)'!$C$9,IF('Limestone Plant (LP-3)'!$C$10&gt;0,'Limestone Plant (LP-3)'!$C$10*365,"")),IF(E22="LP-4",IF('Limestone Plant (LP-4)'!$C$9&gt;0,'Limestone Plant (LP-4)'!$C$9,IF('Limestone Plant (LP-4)'!$C$10&gt;0,'Limestone Plant (LP-4)'!$C$10*365,"")),IF(E22="LP-5",IF('Limestone Plant (LP-5)'!$C$9&gt;0,'Limestone Plant (LP-5)'!$C$9,IF('Limestone Plant (LP-5)'!$C$10&gt;0,'Limestone Plant (LP-5)'!$C$10*365,"")),IF(E22="LP-6",IF('Limestone Plant (LP-6)'!$C$9&gt;0,'Limestone Plant (LP-6)'!$C$9,IF('Limestone Plant (LP-6)'!$C$10&gt;0,'Limestone Plant (LP-6)'!$C$10*365,"")),IF(E22="LP-7",IF('Limestone Plant (LP-7)'!$C$9&gt;0,'Limestone Plant (LP-7)'!$C$9,IF('Limestone Plant (LP-7)'!$C$10&gt;0,'Limestone Plant (LP-7)'!$C$10*365,"")),IF(E22="LP-8",IF('Limestone Plant (LP-8)'!$C$9&gt;0,'Limestone Plant (LP-8)'!$C$9,IF('Limestone Plant (LP-8)'!$C$10&gt;0,'Limestone Plant (LP-8)'!$C$10*365,"")),IF(E22="LP-9",IF('Limestone Plant (LP-9)'!$C$9&gt;0,'Limestone Plant (LP-9)'!$C$9,IF('Limestone Plant (LP-9)'!$C$10&gt;0,'Limestone Plant (LP-9)'!$C$10*365,"")),IF(E22="LP-10",IF('Limestone Plant (LP-10)'!$C$9&gt;0,'Limestone Plant (LP-10)'!$C$9,IF('Limestone Plant (LP-10)'!$C$10&gt;0,'Limestone Plant (LP-10)'!$C$10*365,"")))))))))))))</f>
        <v/>
      </c>
      <c r="N22" s="174"/>
      <c r="O22" s="174"/>
      <c r="P22" s="154" t="str">
        <f t="shared" si="0"/>
        <v/>
      </c>
      <c r="Q22" s="154" t="str">
        <f t="shared" si="19"/>
        <v/>
      </c>
      <c r="R22" s="15" t="str">
        <f t="shared" si="1"/>
        <v/>
      </c>
      <c r="S22" s="15" t="str">
        <f t="shared" si="2"/>
        <v/>
      </c>
      <c r="T22" s="176"/>
      <c r="U22" s="172" t="str">
        <f t="shared" si="3"/>
        <v/>
      </c>
      <c r="V22" s="172" t="str">
        <f t="shared" si="4"/>
        <v/>
      </c>
      <c r="W22" s="172" t="str">
        <f t="shared" si="5"/>
        <v/>
      </c>
      <c r="X22" s="172" t="str">
        <f t="shared" si="6"/>
        <v/>
      </c>
      <c r="Y22" s="172" t="str">
        <f t="shared" si="7"/>
        <v/>
      </c>
      <c r="Z22" s="172" t="str">
        <f t="shared" si="8"/>
        <v/>
      </c>
      <c r="AA22" s="172" t="str">
        <f t="shared" si="9"/>
        <v/>
      </c>
      <c r="AB22" s="172" t="str">
        <f t="shared" si="10"/>
        <v/>
      </c>
      <c r="AC22" s="172" t="str">
        <f t="shared" si="11"/>
        <v/>
      </c>
      <c r="AD22" s="172" t="str">
        <f t="shared" si="12"/>
        <v/>
      </c>
      <c r="AE22" s="6" t="str">
        <f t="shared" si="16"/>
        <v/>
      </c>
      <c r="AF22" s="153" t="s">
        <v>161</v>
      </c>
      <c r="AG22" s="181" t="str">
        <f>IF('Limestone Plant (LP-3)'!$C$9&gt;0,'Limestone Plant (LP-3)'!$C$9,IF('Limestone Plant (LP-3)'!$C$10&gt;0,'Limestone Plant (LP-3)'!$C$10*365,""))</f>
        <v/>
      </c>
    </row>
    <row r="23" spans="1:41" ht="13.5" customHeight="1" x14ac:dyDescent="0.25">
      <c r="A23" s="6" t="str">
        <f>IF('Facility Information'!$C$21&gt;8,"LP-9","")</f>
        <v/>
      </c>
      <c r="B23" s="65"/>
      <c r="C23" s="65"/>
      <c r="D23" s="15"/>
      <c r="E23" s="15"/>
      <c r="F23" s="15"/>
      <c r="G23" s="174"/>
      <c r="H23" s="174"/>
      <c r="I23" s="15"/>
      <c r="J23" s="172" t="str">
        <f t="shared" si="17"/>
        <v/>
      </c>
      <c r="K23" s="172" t="str">
        <f t="shared" si="18"/>
        <v/>
      </c>
      <c r="L23" s="174"/>
      <c r="M23" s="311" t="str">
        <f>IF(E23="","",IF(E23="LP-1",IF('Limestone Plant (LP-1)'!$C$9&gt;0,'Limestone Plant (LP-1)'!$C$9,IF('Limestone Plant (LP-1)'!$C$10&gt;0,'Limestone Plant (LP-1)'!$C$10*365,"")),IF(E23="LP-2",IF('Limestone Plant (LP-2)'!$C$9&gt;0,'Limestone Plant (LP-2)'!$C$9,IF('Limestone Plant (LP-2)'!$C$10&gt;0,'Limestone Plant (LP-2)'!$C$10*365,"")),IF(E23="LP-3",IF('Limestone Plant (LP-3)'!$C$9&gt;0,'Limestone Plant (LP-3)'!$C$9,IF('Limestone Plant (LP-3)'!$C$10&gt;0,'Limestone Plant (LP-3)'!$C$10*365,"")),IF(E23="LP-4",IF('Limestone Plant (LP-4)'!$C$9&gt;0,'Limestone Plant (LP-4)'!$C$9,IF('Limestone Plant (LP-4)'!$C$10&gt;0,'Limestone Plant (LP-4)'!$C$10*365,"")),IF(E23="LP-5",IF('Limestone Plant (LP-5)'!$C$9&gt;0,'Limestone Plant (LP-5)'!$C$9,IF('Limestone Plant (LP-5)'!$C$10&gt;0,'Limestone Plant (LP-5)'!$C$10*365,"")),IF(E23="LP-6",IF('Limestone Plant (LP-6)'!$C$9&gt;0,'Limestone Plant (LP-6)'!$C$9,IF('Limestone Plant (LP-6)'!$C$10&gt;0,'Limestone Plant (LP-6)'!$C$10*365,"")),IF(E23="LP-7",IF('Limestone Plant (LP-7)'!$C$9&gt;0,'Limestone Plant (LP-7)'!$C$9,IF('Limestone Plant (LP-7)'!$C$10&gt;0,'Limestone Plant (LP-7)'!$C$10*365,"")),IF(E23="LP-8",IF('Limestone Plant (LP-8)'!$C$9&gt;0,'Limestone Plant (LP-8)'!$C$9,IF('Limestone Plant (LP-8)'!$C$10&gt;0,'Limestone Plant (LP-8)'!$C$10*365,"")),IF(E23="LP-9",IF('Limestone Plant (LP-9)'!$C$9&gt;0,'Limestone Plant (LP-9)'!$C$9,IF('Limestone Plant (LP-9)'!$C$10&gt;0,'Limestone Plant (LP-9)'!$C$10*365,"")),IF(E23="LP-10",IF('Limestone Plant (LP-10)'!$C$9&gt;0,'Limestone Plant (LP-10)'!$C$9,IF('Limestone Plant (LP-10)'!$C$10&gt;0,'Limestone Plant (LP-10)'!$C$10*365,"")))))))))))))</f>
        <v/>
      </c>
      <c r="N23" s="174"/>
      <c r="O23" s="174"/>
      <c r="P23" s="154" t="str">
        <f t="shared" si="0"/>
        <v/>
      </c>
      <c r="Q23" s="154" t="str">
        <f t="shared" si="19"/>
        <v/>
      </c>
      <c r="R23" s="15" t="str">
        <f t="shared" si="1"/>
        <v/>
      </c>
      <c r="S23" s="15" t="str">
        <f t="shared" si="2"/>
        <v/>
      </c>
      <c r="T23" s="176"/>
      <c r="U23" s="172" t="str">
        <f t="shared" si="3"/>
        <v/>
      </c>
      <c r="V23" s="172" t="str">
        <f t="shared" si="4"/>
        <v/>
      </c>
      <c r="W23" s="172" t="str">
        <f t="shared" si="5"/>
        <v/>
      </c>
      <c r="X23" s="172" t="str">
        <f t="shared" si="6"/>
        <v/>
      </c>
      <c r="Y23" s="172" t="str">
        <f t="shared" si="7"/>
        <v/>
      </c>
      <c r="Z23" s="172" t="str">
        <f t="shared" si="8"/>
        <v/>
      </c>
      <c r="AA23" s="172" t="str">
        <f t="shared" si="9"/>
        <v/>
      </c>
      <c r="AB23" s="172" t="str">
        <f t="shared" si="10"/>
        <v/>
      </c>
      <c r="AC23" s="172" t="str">
        <f t="shared" si="11"/>
        <v/>
      </c>
      <c r="AD23" s="172" t="str">
        <f t="shared" si="12"/>
        <v/>
      </c>
      <c r="AE23" s="6" t="str">
        <f t="shared" si="16"/>
        <v/>
      </c>
      <c r="AF23" s="153" t="s">
        <v>162</v>
      </c>
      <c r="AG23" s="181" t="str">
        <f>IF('Limestone Plant (LP-4)'!$C$9&gt;0,'Limestone Plant (LP-4)'!$C$9,IF('Limestone Plant (LP-4)'!$C$10&gt;0,'Limestone Plant (LP-4)'!$C$10*365,""))</f>
        <v/>
      </c>
    </row>
    <row r="24" spans="1:41" ht="13.5" customHeight="1" x14ac:dyDescent="0.25">
      <c r="A24" s="6" t="str">
        <f>IF('Facility Information'!$C$21&gt;9,"LP-10","")</f>
        <v/>
      </c>
      <c r="B24" s="65"/>
      <c r="C24" s="65"/>
      <c r="D24" s="15"/>
      <c r="E24" s="15"/>
      <c r="F24" s="15"/>
      <c r="G24" s="174"/>
      <c r="H24" s="174"/>
      <c r="I24" s="15"/>
      <c r="J24" s="172" t="str">
        <f t="shared" si="17"/>
        <v/>
      </c>
      <c r="K24" s="172" t="str">
        <f t="shared" si="18"/>
        <v/>
      </c>
      <c r="L24" s="174"/>
      <c r="M24" s="311" t="str">
        <f>IF(E24="","",IF(E24="LP-1",IF('Limestone Plant (LP-1)'!$C$9&gt;0,'Limestone Plant (LP-1)'!$C$9,IF('Limestone Plant (LP-1)'!$C$10&gt;0,'Limestone Plant (LP-1)'!$C$10*365,"")),IF(E24="LP-2",IF('Limestone Plant (LP-2)'!$C$9&gt;0,'Limestone Plant (LP-2)'!$C$9,IF('Limestone Plant (LP-2)'!$C$10&gt;0,'Limestone Plant (LP-2)'!$C$10*365,"")),IF(E24="LP-3",IF('Limestone Plant (LP-3)'!$C$9&gt;0,'Limestone Plant (LP-3)'!$C$9,IF('Limestone Plant (LP-3)'!$C$10&gt;0,'Limestone Plant (LP-3)'!$C$10*365,"")),IF(E24="LP-4",IF('Limestone Plant (LP-4)'!$C$9&gt;0,'Limestone Plant (LP-4)'!$C$9,IF('Limestone Plant (LP-4)'!$C$10&gt;0,'Limestone Plant (LP-4)'!$C$10*365,"")),IF(E24="LP-5",IF('Limestone Plant (LP-5)'!$C$9&gt;0,'Limestone Plant (LP-5)'!$C$9,IF('Limestone Plant (LP-5)'!$C$10&gt;0,'Limestone Plant (LP-5)'!$C$10*365,"")),IF(E24="LP-6",IF('Limestone Plant (LP-6)'!$C$9&gt;0,'Limestone Plant (LP-6)'!$C$9,IF('Limestone Plant (LP-6)'!$C$10&gt;0,'Limestone Plant (LP-6)'!$C$10*365,"")),IF(E24="LP-7",IF('Limestone Plant (LP-7)'!$C$9&gt;0,'Limestone Plant (LP-7)'!$C$9,IF('Limestone Plant (LP-7)'!$C$10&gt;0,'Limestone Plant (LP-7)'!$C$10*365,"")),IF(E24="LP-8",IF('Limestone Plant (LP-8)'!$C$9&gt;0,'Limestone Plant (LP-8)'!$C$9,IF('Limestone Plant (LP-8)'!$C$10&gt;0,'Limestone Plant (LP-8)'!$C$10*365,"")),IF(E24="LP-9",IF('Limestone Plant (LP-9)'!$C$9&gt;0,'Limestone Plant (LP-9)'!$C$9,IF('Limestone Plant (LP-9)'!$C$10&gt;0,'Limestone Plant (LP-9)'!$C$10*365,"")),IF(E24="LP-10",IF('Limestone Plant (LP-10)'!$C$9&gt;0,'Limestone Plant (LP-10)'!$C$9,IF('Limestone Plant (LP-10)'!$C$10&gt;0,'Limestone Plant (LP-10)'!$C$10*365,"")))))))))))))</f>
        <v/>
      </c>
      <c r="N24" s="174"/>
      <c r="O24" s="174"/>
      <c r="P24" s="154" t="str">
        <f t="shared" si="0"/>
        <v/>
      </c>
      <c r="Q24" s="154" t="str">
        <f t="shared" si="19"/>
        <v/>
      </c>
      <c r="R24" s="15" t="str">
        <f t="shared" si="1"/>
        <v/>
      </c>
      <c r="S24" s="15" t="str">
        <f t="shared" si="2"/>
        <v/>
      </c>
      <c r="T24" s="176"/>
      <c r="U24" s="172" t="str">
        <f t="shared" si="3"/>
        <v/>
      </c>
      <c r="V24" s="172" t="str">
        <f t="shared" si="4"/>
        <v/>
      </c>
      <c r="W24" s="172" t="str">
        <f t="shared" si="5"/>
        <v/>
      </c>
      <c r="X24" s="172" t="str">
        <f t="shared" si="6"/>
        <v/>
      </c>
      <c r="Y24" s="172" t="str">
        <f t="shared" si="7"/>
        <v/>
      </c>
      <c r="Z24" s="172" t="str">
        <f t="shared" si="8"/>
        <v/>
      </c>
      <c r="AA24" s="172" t="str">
        <f t="shared" si="9"/>
        <v/>
      </c>
      <c r="AB24" s="172" t="str">
        <f t="shared" si="10"/>
        <v/>
      </c>
      <c r="AC24" s="172" t="str">
        <f t="shared" si="11"/>
        <v/>
      </c>
      <c r="AD24" s="172" t="str">
        <f t="shared" si="12"/>
        <v/>
      </c>
      <c r="AE24" s="6" t="str">
        <f t="shared" si="16"/>
        <v/>
      </c>
      <c r="AF24" s="153" t="s">
        <v>163</v>
      </c>
      <c r="AG24" s="181" t="str">
        <f>IF('Limestone Plant (LP-5)'!$C$9&gt;0,'Limestone Plant (LP-5)'!$C$9,IF('Limestone Plant (LP-5)'!$C$10&gt;0,'Limestone Plant (LP-5)'!$C$10*365,""))</f>
        <v/>
      </c>
    </row>
    <row r="25" spans="1:41" ht="13.5" customHeight="1" x14ac:dyDescent="0.25">
      <c r="B25" s="65"/>
      <c r="C25" s="65"/>
      <c r="D25" s="15"/>
      <c r="E25" s="15"/>
      <c r="F25" s="15"/>
      <c r="G25" s="174"/>
      <c r="H25" s="174"/>
      <c r="I25" s="15"/>
      <c r="J25" s="172" t="str">
        <f t="shared" si="17"/>
        <v/>
      </c>
      <c r="K25" s="172" t="str">
        <f t="shared" si="18"/>
        <v/>
      </c>
      <c r="L25" s="174"/>
      <c r="M25" s="311" t="str">
        <f>IF(E25="","",IF(E25="LP-1",IF('Limestone Plant (LP-1)'!$C$9&gt;0,'Limestone Plant (LP-1)'!$C$9,IF('Limestone Plant (LP-1)'!$C$10&gt;0,'Limestone Plant (LP-1)'!$C$10*365,"")),IF(E25="LP-2",IF('Limestone Plant (LP-2)'!$C$9&gt;0,'Limestone Plant (LP-2)'!$C$9,IF('Limestone Plant (LP-2)'!$C$10&gt;0,'Limestone Plant (LP-2)'!$C$10*365,"")),IF(E25="LP-3",IF('Limestone Plant (LP-3)'!$C$9&gt;0,'Limestone Plant (LP-3)'!$C$9,IF('Limestone Plant (LP-3)'!$C$10&gt;0,'Limestone Plant (LP-3)'!$C$10*365,"")),IF(E25="LP-4",IF('Limestone Plant (LP-4)'!$C$9&gt;0,'Limestone Plant (LP-4)'!$C$9,IF('Limestone Plant (LP-4)'!$C$10&gt;0,'Limestone Plant (LP-4)'!$C$10*365,"")),IF(E25="LP-5",IF('Limestone Plant (LP-5)'!$C$9&gt;0,'Limestone Plant (LP-5)'!$C$9,IF('Limestone Plant (LP-5)'!$C$10&gt;0,'Limestone Plant (LP-5)'!$C$10*365,"")),IF(E25="LP-6",IF('Limestone Plant (LP-6)'!$C$9&gt;0,'Limestone Plant (LP-6)'!$C$9,IF('Limestone Plant (LP-6)'!$C$10&gt;0,'Limestone Plant (LP-6)'!$C$10*365,"")),IF(E25="LP-7",IF('Limestone Plant (LP-7)'!$C$9&gt;0,'Limestone Plant (LP-7)'!$C$9,IF('Limestone Plant (LP-7)'!$C$10&gt;0,'Limestone Plant (LP-7)'!$C$10*365,"")),IF(E25="LP-8",IF('Limestone Plant (LP-8)'!$C$9&gt;0,'Limestone Plant (LP-8)'!$C$9,IF('Limestone Plant (LP-8)'!$C$10&gt;0,'Limestone Plant (LP-8)'!$C$10*365,"")),IF(E25="LP-9",IF('Limestone Plant (LP-9)'!$C$9&gt;0,'Limestone Plant (LP-9)'!$C$9,IF('Limestone Plant (LP-9)'!$C$10&gt;0,'Limestone Plant (LP-9)'!$C$10*365,"")),IF(E25="LP-10",IF('Limestone Plant (LP-10)'!$C$9&gt;0,'Limestone Plant (LP-10)'!$C$9,IF('Limestone Plant (LP-10)'!$C$10&gt;0,'Limestone Plant (LP-10)'!$C$10*365,"")))))))))))))</f>
        <v/>
      </c>
      <c r="N25" s="174"/>
      <c r="O25" s="174"/>
      <c r="P25" s="154" t="str">
        <f t="shared" si="0"/>
        <v/>
      </c>
      <c r="Q25" s="154" t="str">
        <f t="shared" si="19"/>
        <v/>
      </c>
      <c r="R25" s="15" t="str">
        <f t="shared" si="1"/>
        <v/>
      </c>
      <c r="S25" s="15" t="str">
        <f t="shared" si="2"/>
        <v/>
      </c>
      <c r="T25" s="176"/>
      <c r="U25" s="172" t="str">
        <f t="shared" si="3"/>
        <v/>
      </c>
      <c r="V25" s="172" t="str">
        <f t="shared" si="4"/>
        <v/>
      </c>
      <c r="W25" s="172" t="str">
        <f t="shared" si="5"/>
        <v/>
      </c>
      <c r="X25" s="172" t="str">
        <f t="shared" si="6"/>
        <v/>
      </c>
      <c r="Y25" s="172" t="str">
        <f t="shared" si="7"/>
        <v/>
      </c>
      <c r="Z25" s="172" t="str">
        <f t="shared" si="8"/>
        <v/>
      </c>
      <c r="AA25" s="172" t="str">
        <f t="shared" si="9"/>
        <v/>
      </c>
      <c r="AB25" s="172" t="str">
        <f t="shared" si="10"/>
        <v/>
      </c>
      <c r="AC25" s="172" t="str">
        <f t="shared" si="11"/>
        <v/>
      </c>
      <c r="AD25" s="172" t="str">
        <f t="shared" si="12"/>
        <v/>
      </c>
      <c r="AE25" s="6" t="str">
        <f t="shared" si="16"/>
        <v/>
      </c>
      <c r="AF25" s="153" t="s">
        <v>164</v>
      </c>
      <c r="AG25" s="181" t="str">
        <f>IF('Limestone Plant (LP-6)'!$C$9&gt;0,'Limestone Plant (LP-6)'!$C$9,IF('Limestone Plant (LP-6)'!$C$10&gt;0,'Limestone Plant (LP-6)'!$C$10*365,""))</f>
        <v/>
      </c>
    </row>
    <row r="26" spans="1:41" ht="13.5" customHeight="1" x14ac:dyDescent="0.25">
      <c r="B26" s="65"/>
      <c r="C26" s="65"/>
      <c r="D26" s="15"/>
      <c r="E26" s="15"/>
      <c r="F26" s="15"/>
      <c r="G26" s="174"/>
      <c r="H26" s="174"/>
      <c r="I26" s="15"/>
      <c r="J26" s="172" t="str">
        <f t="shared" si="17"/>
        <v/>
      </c>
      <c r="K26" s="172" t="str">
        <f t="shared" si="18"/>
        <v/>
      </c>
      <c r="L26" s="174"/>
      <c r="M26" s="311" t="str">
        <f>IF(E26="","",IF(E26="LP-1",IF('Limestone Plant (LP-1)'!$C$9&gt;0,'Limestone Plant (LP-1)'!$C$9,IF('Limestone Plant (LP-1)'!$C$10&gt;0,'Limestone Plant (LP-1)'!$C$10*365,"")),IF(E26="LP-2",IF('Limestone Plant (LP-2)'!$C$9&gt;0,'Limestone Plant (LP-2)'!$C$9,IF('Limestone Plant (LP-2)'!$C$10&gt;0,'Limestone Plant (LP-2)'!$C$10*365,"")),IF(E26="LP-3",IF('Limestone Plant (LP-3)'!$C$9&gt;0,'Limestone Plant (LP-3)'!$C$9,IF('Limestone Plant (LP-3)'!$C$10&gt;0,'Limestone Plant (LP-3)'!$C$10*365,"")),IF(E26="LP-4",IF('Limestone Plant (LP-4)'!$C$9&gt;0,'Limestone Plant (LP-4)'!$C$9,IF('Limestone Plant (LP-4)'!$C$10&gt;0,'Limestone Plant (LP-4)'!$C$10*365,"")),IF(E26="LP-5",IF('Limestone Plant (LP-5)'!$C$9&gt;0,'Limestone Plant (LP-5)'!$C$9,IF('Limestone Plant (LP-5)'!$C$10&gt;0,'Limestone Plant (LP-5)'!$C$10*365,"")),IF(E26="LP-6",IF('Limestone Plant (LP-6)'!$C$9&gt;0,'Limestone Plant (LP-6)'!$C$9,IF('Limestone Plant (LP-6)'!$C$10&gt;0,'Limestone Plant (LP-6)'!$C$10*365,"")),IF(E26="LP-7",IF('Limestone Plant (LP-7)'!$C$9&gt;0,'Limestone Plant (LP-7)'!$C$9,IF('Limestone Plant (LP-7)'!$C$10&gt;0,'Limestone Plant (LP-7)'!$C$10*365,"")),IF(E26="LP-8",IF('Limestone Plant (LP-8)'!$C$9&gt;0,'Limestone Plant (LP-8)'!$C$9,IF('Limestone Plant (LP-8)'!$C$10&gt;0,'Limestone Plant (LP-8)'!$C$10*365,"")),IF(E26="LP-9",IF('Limestone Plant (LP-9)'!$C$9&gt;0,'Limestone Plant (LP-9)'!$C$9,IF('Limestone Plant (LP-9)'!$C$10&gt;0,'Limestone Plant (LP-9)'!$C$10*365,"")),IF(E26="LP-10",IF('Limestone Plant (LP-10)'!$C$9&gt;0,'Limestone Plant (LP-10)'!$C$9,IF('Limestone Plant (LP-10)'!$C$10&gt;0,'Limestone Plant (LP-10)'!$C$10*365,"")))))))))))))</f>
        <v/>
      </c>
      <c r="N26" s="174"/>
      <c r="O26" s="174"/>
      <c r="P26" s="154" t="str">
        <f t="shared" si="0"/>
        <v/>
      </c>
      <c r="Q26" s="154" t="str">
        <f t="shared" si="19"/>
        <v/>
      </c>
      <c r="R26" s="15" t="str">
        <f t="shared" si="1"/>
        <v/>
      </c>
      <c r="S26" s="15" t="str">
        <f t="shared" si="2"/>
        <v/>
      </c>
      <c r="T26" s="176"/>
      <c r="U26" s="172" t="str">
        <f t="shared" si="3"/>
        <v/>
      </c>
      <c r="V26" s="172" t="str">
        <f t="shared" si="4"/>
        <v/>
      </c>
      <c r="W26" s="172" t="str">
        <f t="shared" si="5"/>
        <v/>
      </c>
      <c r="X26" s="172" t="str">
        <f t="shared" si="6"/>
        <v/>
      </c>
      <c r="Y26" s="172" t="str">
        <f t="shared" si="7"/>
        <v/>
      </c>
      <c r="Z26" s="172" t="str">
        <f t="shared" si="8"/>
        <v/>
      </c>
      <c r="AA26" s="172" t="str">
        <f t="shared" si="9"/>
        <v/>
      </c>
      <c r="AB26" s="172" t="str">
        <f t="shared" si="10"/>
        <v/>
      </c>
      <c r="AC26" s="172" t="str">
        <f t="shared" si="11"/>
        <v/>
      </c>
      <c r="AD26" s="172" t="str">
        <f t="shared" si="12"/>
        <v/>
      </c>
      <c r="AE26" s="6" t="str">
        <f t="shared" si="16"/>
        <v/>
      </c>
      <c r="AF26" s="153" t="s">
        <v>165</v>
      </c>
      <c r="AG26" s="181" t="str">
        <f>IF('Limestone Plant (LP-7)'!$C$9&gt;0,'Limestone Plant (LP-7)'!$C$9,IF('Limestone Plant (LP-7)'!$C$10&gt;0,'Limestone Plant (LP-7)'!$C$10*365,""))</f>
        <v/>
      </c>
    </row>
    <row r="27" spans="1:41" ht="13.5" customHeight="1" x14ac:dyDescent="0.25">
      <c r="B27" s="65"/>
      <c r="C27" s="65"/>
      <c r="D27" s="15"/>
      <c r="E27" s="15"/>
      <c r="F27" s="15"/>
      <c r="G27" s="174"/>
      <c r="H27" s="174"/>
      <c r="I27" s="15"/>
      <c r="J27" s="172" t="str">
        <f t="shared" si="17"/>
        <v/>
      </c>
      <c r="K27" s="172" t="str">
        <f t="shared" si="18"/>
        <v/>
      </c>
      <c r="L27" s="174"/>
      <c r="M27" s="311" t="str">
        <f>IF(E27="","",IF(E27="LP-1",IF('Limestone Plant (LP-1)'!$C$9&gt;0,'Limestone Plant (LP-1)'!$C$9,IF('Limestone Plant (LP-1)'!$C$10&gt;0,'Limestone Plant (LP-1)'!$C$10*365,"")),IF(E27="LP-2",IF('Limestone Plant (LP-2)'!$C$9&gt;0,'Limestone Plant (LP-2)'!$C$9,IF('Limestone Plant (LP-2)'!$C$10&gt;0,'Limestone Plant (LP-2)'!$C$10*365,"")),IF(E27="LP-3",IF('Limestone Plant (LP-3)'!$C$9&gt;0,'Limestone Plant (LP-3)'!$C$9,IF('Limestone Plant (LP-3)'!$C$10&gt;0,'Limestone Plant (LP-3)'!$C$10*365,"")),IF(E27="LP-4",IF('Limestone Plant (LP-4)'!$C$9&gt;0,'Limestone Plant (LP-4)'!$C$9,IF('Limestone Plant (LP-4)'!$C$10&gt;0,'Limestone Plant (LP-4)'!$C$10*365,"")),IF(E27="LP-5",IF('Limestone Plant (LP-5)'!$C$9&gt;0,'Limestone Plant (LP-5)'!$C$9,IF('Limestone Plant (LP-5)'!$C$10&gt;0,'Limestone Plant (LP-5)'!$C$10*365,"")),IF(E27="LP-6",IF('Limestone Plant (LP-6)'!$C$9&gt;0,'Limestone Plant (LP-6)'!$C$9,IF('Limestone Plant (LP-6)'!$C$10&gt;0,'Limestone Plant (LP-6)'!$C$10*365,"")),IF(E27="LP-7",IF('Limestone Plant (LP-7)'!$C$9&gt;0,'Limestone Plant (LP-7)'!$C$9,IF('Limestone Plant (LP-7)'!$C$10&gt;0,'Limestone Plant (LP-7)'!$C$10*365,"")),IF(E27="LP-8",IF('Limestone Plant (LP-8)'!$C$9&gt;0,'Limestone Plant (LP-8)'!$C$9,IF('Limestone Plant (LP-8)'!$C$10&gt;0,'Limestone Plant (LP-8)'!$C$10*365,"")),IF(E27="LP-9",IF('Limestone Plant (LP-9)'!$C$9&gt;0,'Limestone Plant (LP-9)'!$C$9,IF('Limestone Plant (LP-9)'!$C$10&gt;0,'Limestone Plant (LP-9)'!$C$10*365,"")),IF(E27="LP-10",IF('Limestone Plant (LP-10)'!$C$9&gt;0,'Limestone Plant (LP-10)'!$C$9,IF('Limestone Plant (LP-10)'!$C$10&gt;0,'Limestone Plant (LP-10)'!$C$10*365,"")))))))))))))</f>
        <v/>
      </c>
      <c r="N27" s="174"/>
      <c r="O27" s="174"/>
      <c r="P27" s="154" t="str">
        <f t="shared" si="0"/>
        <v/>
      </c>
      <c r="Q27" s="154" t="str">
        <f t="shared" si="19"/>
        <v/>
      </c>
      <c r="R27" s="15" t="str">
        <f t="shared" si="1"/>
        <v/>
      </c>
      <c r="S27" s="15" t="str">
        <f t="shared" si="2"/>
        <v/>
      </c>
      <c r="T27" s="176"/>
      <c r="U27" s="172" t="str">
        <f t="shared" si="3"/>
        <v/>
      </c>
      <c r="V27" s="172" t="str">
        <f t="shared" si="4"/>
        <v/>
      </c>
      <c r="W27" s="172" t="str">
        <f t="shared" si="5"/>
        <v/>
      </c>
      <c r="X27" s="172" t="str">
        <f t="shared" si="6"/>
        <v/>
      </c>
      <c r="Y27" s="172" t="str">
        <f t="shared" si="7"/>
        <v/>
      </c>
      <c r="Z27" s="172" t="str">
        <f t="shared" si="8"/>
        <v/>
      </c>
      <c r="AA27" s="172" t="str">
        <f t="shared" si="9"/>
        <v/>
      </c>
      <c r="AB27" s="172" t="str">
        <f t="shared" si="10"/>
        <v/>
      </c>
      <c r="AC27" s="172" t="str">
        <f t="shared" si="11"/>
        <v/>
      </c>
      <c r="AD27" s="172" t="str">
        <f t="shared" si="12"/>
        <v/>
      </c>
      <c r="AE27" s="6" t="str">
        <f t="shared" si="16"/>
        <v/>
      </c>
      <c r="AF27" s="153" t="s">
        <v>166</v>
      </c>
      <c r="AG27" s="181" t="str">
        <f>IF('Limestone Plant (LP-8)'!$C$9&gt;0,'Limestone Plant (LP-8)'!$C$9,IF('Limestone Plant (LP-8)'!$C$10&gt;0,'Limestone Plant (LP-8)'!$C$10*365,""))</f>
        <v/>
      </c>
    </row>
    <row r="28" spans="1:41" ht="13.5" customHeight="1" x14ac:dyDescent="0.25">
      <c r="B28" s="65"/>
      <c r="C28" s="65"/>
      <c r="D28" s="15"/>
      <c r="E28" s="15"/>
      <c r="F28" s="15"/>
      <c r="G28" s="174"/>
      <c r="H28" s="174"/>
      <c r="I28" s="15"/>
      <c r="J28" s="172" t="str">
        <f t="shared" si="17"/>
        <v/>
      </c>
      <c r="K28" s="172" t="str">
        <f t="shared" si="18"/>
        <v/>
      </c>
      <c r="L28" s="174"/>
      <c r="M28" s="311" t="str">
        <f>IF(E28="","",IF(E28="LP-1",IF('Limestone Plant (LP-1)'!$C$9&gt;0,'Limestone Plant (LP-1)'!$C$9,IF('Limestone Plant (LP-1)'!$C$10&gt;0,'Limestone Plant (LP-1)'!$C$10*365,"")),IF(E28="LP-2",IF('Limestone Plant (LP-2)'!$C$9&gt;0,'Limestone Plant (LP-2)'!$C$9,IF('Limestone Plant (LP-2)'!$C$10&gt;0,'Limestone Plant (LP-2)'!$C$10*365,"")),IF(E28="LP-3",IF('Limestone Plant (LP-3)'!$C$9&gt;0,'Limestone Plant (LP-3)'!$C$9,IF('Limestone Plant (LP-3)'!$C$10&gt;0,'Limestone Plant (LP-3)'!$C$10*365,"")),IF(E28="LP-4",IF('Limestone Plant (LP-4)'!$C$9&gt;0,'Limestone Plant (LP-4)'!$C$9,IF('Limestone Plant (LP-4)'!$C$10&gt;0,'Limestone Plant (LP-4)'!$C$10*365,"")),IF(E28="LP-5",IF('Limestone Plant (LP-5)'!$C$9&gt;0,'Limestone Plant (LP-5)'!$C$9,IF('Limestone Plant (LP-5)'!$C$10&gt;0,'Limestone Plant (LP-5)'!$C$10*365,"")),IF(E28="LP-6",IF('Limestone Plant (LP-6)'!$C$9&gt;0,'Limestone Plant (LP-6)'!$C$9,IF('Limestone Plant (LP-6)'!$C$10&gt;0,'Limestone Plant (LP-6)'!$C$10*365,"")),IF(E28="LP-7",IF('Limestone Plant (LP-7)'!$C$9&gt;0,'Limestone Plant (LP-7)'!$C$9,IF('Limestone Plant (LP-7)'!$C$10&gt;0,'Limestone Plant (LP-7)'!$C$10*365,"")),IF(E28="LP-8",IF('Limestone Plant (LP-8)'!$C$9&gt;0,'Limestone Plant (LP-8)'!$C$9,IF('Limestone Plant (LP-8)'!$C$10&gt;0,'Limestone Plant (LP-8)'!$C$10*365,"")),IF(E28="LP-9",IF('Limestone Plant (LP-9)'!$C$9&gt;0,'Limestone Plant (LP-9)'!$C$9,IF('Limestone Plant (LP-9)'!$C$10&gt;0,'Limestone Plant (LP-9)'!$C$10*365,"")),IF(E28="LP-10",IF('Limestone Plant (LP-10)'!$C$9&gt;0,'Limestone Plant (LP-10)'!$C$9,IF('Limestone Plant (LP-10)'!$C$10&gt;0,'Limestone Plant (LP-10)'!$C$10*365,"")))))))))))))</f>
        <v/>
      </c>
      <c r="N28" s="174"/>
      <c r="O28" s="174"/>
      <c r="P28" s="154" t="str">
        <f t="shared" si="0"/>
        <v/>
      </c>
      <c r="Q28" s="154" t="str">
        <f t="shared" si="19"/>
        <v/>
      </c>
      <c r="R28" s="15" t="str">
        <f t="shared" si="1"/>
        <v/>
      </c>
      <c r="S28" s="15" t="str">
        <f t="shared" si="2"/>
        <v/>
      </c>
      <c r="T28" s="176"/>
      <c r="U28" s="172" t="str">
        <f t="shared" si="3"/>
        <v/>
      </c>
      <c r="V28" s="172" t="str">
        <f t="shared" si="4"/>
        <v/>
      </c>
      <c r="W28" s="172" t="str">
        <f t="shared" si="5"/>
        <v/>
      </c>
      <c r="X28" s="172" t="str">
        <f t="shared" si="6"/>
        <v/>
      </c>
      <c r="Y28" s="172" t="str">
        <f t="shared" si="7"/>
        <v/>
      </c>
      <c r="Z28" s="172" t="str">
        <f t="shared" si="8"/>
        <v/>
      </c>
      <c r="AA28" s="172" t="str">
        <f t="shared" si="9"/>
        <v/>
      </c>
      <c r="AB28" s="172" t="str">
        <f t="shared" si="10"/>
        <v/>
      </c>
      <c r="AC28" s="172" t="str">
        <f t="shared" si="11"/>
        <v/>
      </c>
      <c r="AD28" s="172" t="str">
        <f t="shared" si="12"/>
        <v/>
      </c>
      <c r="AE28" s="6" t="str">
        <f t="shared" si="16"/>
        <v/>
      </c>
      <c r="AF28" s="153" t="s">
        <v>167</v>
      </c>
      <c r="AG28" s="181" t="str">
        <f>IF('Limestone Plant (LP-9)'!$C$9&gt;0,'Limestone Plant (LP-9)'!$C$9,IF('Limestone Plant (LP-9)'!$C$10&gt;0,'Limestone Plant (LP-9)'!$C$10*365,""))</f>
        <v/>
      </c>
    </row>
    <row r="29" spans="1:41" ht="13.5" customHeight="1" x14ac:dyDescent="0.25">
      <c r="B29" s="65"/>
      <c r="C29" s="65"/>
      <c r="D29" s="15"/>
      <c r="E29" s="15"/>
      <c r="F29" s="15"/>
      <c r="G29" s="174"/>
      <c r="H29" s="174"/>
      <c r="I29" s="15"/>
      <c r="J29" s="172" t="str">
        <f t="shared" si="13"/>
        <v/>
      </c>
      <c r="K29" s="172" t="str">
        <f t="shared" si="14"/>
        <v/>
      </c>
      <c r="L29" s="174"/>
      <c r="M29" s="311" t="str">
        <f>IF(E29="","",IF(E29="LP-1",IF('Limestone Plant (LP-1)'!$C$9&gt;0,'Limestone Plant (LP-1)'!$C$9,IF('Limestone Plant (LP-1)'!$C$10&gt;0,'Limestone Plant (LP-1)'!$C$10*365,"")),IF(E29="LP-2",IF('Limestone Plant (LP-2)'!$C$9&gt;0,'Limestone Plant (LP-2)'!$C$9,IF('Limestone Plant (LP-2)'!$C$10&gt;0,'Limestone Plant (LP-2)'!$C$10*365,"")),IF(E29="LP-3",IF('Limestone Plant (LP-3)'!$C$9&gt;0,'Limestone Plant (LP-3)'!$C$9,IF('Limestone Plant (LP-3)'!$C$10&gt;0,'Limestone Plant (LP-3)'!$C$10*365,"")),IF(E29="LP-4",IF('Limestone Plant (LP-4)'!$C$9&gt;0,'Limestone Plant (LP-4)'!$C$9,IF('Limestone Plant (LP-4)'!$C$10&gt;0,'Limestone Plant (LP-4)'!$C$10*365,"")),IF(E29="LP-5",IF('Limestone Plant (LP-5)'!$C$9&gt;0,'Limestone Plant (LP-5)'!$C$9,IF('Limestone Plant (LP-5)'!$C$10&gt;0,'Limestone Plant (LP-5)'!$C$10*365,"")),IF(E29="LP-6",IF('Limestone Plant (LP-6)'!$C$9&gt;0,'Limestone Plant (LP-6)'!$C$9,IF('Limestone Plant (LP-6)'!$C$10&gt;0,'Limestone Plant (LP-6)'!$C$10*365,"")),IF(E29="LP-7",IF('Limestone Plant (LP-7)'!$C$9&gt;0,'Limestone Plant (LP-7)'!$C$9,IF('Limestone Plant (LP-7)'!$C$10&gt;0,'Limestone Plant (LP-7)'!$C$10*365,"")),IF(E29="LP-8",IF('Limestone Plant (LP-8)'!$C$9&gt;0,'Limestone Plant (LP-8)'!$C$9,IF('Limestone Plant (LP-8)'!$C$10&gt;0,'Limestone Plant (LP-8)'!$C$10*365,"")),IF(E29="LP-9",IF('Limestone Plant (LP-9)'!$C$9&gt;0,'Limestone Plant (LP-9)'!$C$9,IF('Limestone Plant (LP-9)'!$C$10&gt;0,'Limestone Plant (LP-9)'!$C$10*365,"")),IF(E29="LP-10",IF('Limestone Plant (LP-10)'!$C$9&gt;0,'Limestone Plant (LP-10)'!$C$9,IF('Limestone Plant (LP-10)'!$C$10&gt;0,'Limestone Plant (LP-10)'!$C$10*365,"")))))))))))))</f>
        <v/>
      </c>
      <c r="N29" s="174"/>
      <c r="O29" s="174"/>
      <c r="P29" s="154" t="str">
        <f t="shared" si="0"/>
        <v/>
      </c>
      <c r="Q29" s="154" t="str">
        <f t="shared" si="15"/>
        <v/>
      </c>
      <c r="R29" s="15" t="str">
        <f t="shared" si="1"/>
        <v/>
      </c>
      <c r="S29" s="15" t="str">
        <f t="shared" si="2"/>
        <v/>
      </c>
      <c r="T29" s="176"/>
      <c r="U29" s="172" t="str">
        <f t="shared" si="3"/>
        <v/>
      </c>
      <c r="V29" s="172" t="str">
        <f t="shared" si="4"/>
        <v/>
      </c>
      <c r="W29" s="172" t="str">
        <f t="shared" si="5"/>
        <v/>
      </c>
      <c r="X29" s="172" t="str">
        <f t="shared" si="6"/>
        <v/>
      </c>
      <c r="Y29" s="172" t="str">
        <f t="shared" si="7"/>
        <v/>
      </c>
      <c r="Z29" s="172" t="str">
        <f t="shared" si="8"/>
        <v/>
      </c>
      <c r="AA29" s="172" t="str">
        <f t="shared" si="9"/>
        <v/>
      </c>
      <c r="AB29" s="172" t="str">
        <f t="shared" si="10"/>
        <v/>
      </c>
      <c r="AC29" s="172" t="str">
        <f t="shared" si="11"/>
        <v/>
      </c>
      <c r="AD29" s="172" t="str">
        <f t="shared" si="12"/>
        <v/>
      </c>
      <c r="AE29" s="6" t="str">
        <f t="shared" si="16"/>
        <v/>
      </c>
      <c r="AF29" s="153" t="s">
        <v>168</v>
      </c>
      <c r="AG29" s="181" t="str">
        <f>IF('Limestone Plant (LP-10)'!$C$9&gt;0,'Limestone Plant (LP-10)'!$C$9,IF('Limestone Plant (LP-10)'!$C$10&gt;0,'Limestone Plant (LP-10)'!$C$10*365,""))</f>
        <v/>
      </c>
    </row>
    <row r="30" spans="1:41" ht="13.5" customHeight="1" x14ac:dyDescent="0.25">
      <c r="B30" s="65"/>
      <c r="C30" s="65"/>
      <c r="D30" s="15"/>
      <c r="E30" s="15"/>
      <c r="F30" s="15"/>
      <c r="G30" s="174"/>
      <c r="H30" s="174"/>
      <c r="I30" s="15"/>
      <c r="J30" s="172" t="str">
        <f t="shared" si="13"/>
        <v/>
      </c>
      <c r="K30" s="172" t="str">
        <f t="shared" si="14"/>
        <v/>
      </c>
      <c r="L30" s="174"/>
      <c r="M30" s="311" t="str">
        <f>IF(E30="","",IF(E30="LP-1",IF('Limestone Plant (LP-1)'!$C$9&gt;0,'Limestone Plant (LP-1)'!$C$9,IF('Limestone Plant (LP-1)'!$C$10&gt;0,'Limestone Plant (LP-1)'!$C$10*365,"")),IF(E30="LP-2",IF('Limestone Plant (LP-2)'!$C$9&gt;0,'Limestone Plant (LP-2)'!$C$9,IF('Limestone Plant (LP-2)'!$C$10&gt;0,'Limestone Plant (LP-2)'!$C$10*365,"")),IF(E30="LP-3",IF('Limestone Plant (LP-3)'!$C$9&gt;0,'Limestone Plant (LP-3)'!$C$9,IF('Limestone Plant (LP-3)'!$C$10&gt;0,'Limestone Plant (LP-3)'!$C$10*365,"")),IF(E30="LP-4",IF('Limestone Plant (LP-4)'!$C$9&gt;0,'Limestone Plant (LP-4)'!$C$9,IF('Limestone Plant (LP-4)'!$C$10&gt;0,'Limestone Plant (LP-4)'!$C$10*365,"")),IF(E30="LP-5",IF('Limestone Plant (LP-5)'!$C$9&gt;0,'Limestone Plant (LP-5)'!$C$9,IF('Limestone Plant (LP-5)'!$C$10&gt;0,'Limestone Plant (LP-5)'!$C$10*365,"")),IF(E30="LP-6",IF('Limestone Plant (LP-6)'!$C$9&gt;0,'Limestone Plant (LP-6)'!$C$9,IF('Limestone Plant (LP-6)'!$C$10&gt;0,'Limestone Plant (LP-6)'!$C$10*365,"")),IF(E30="LP-7",IF('Limestone Plant (LP-7)'!$C$9&gt;0,'Limestone Plant (LP-7)'!$C$9,IF('Limestone Plant (LP-7)'!$C$10&gt;0,'Limestone Plant (LP-7)'!$C$10*365,"")),IF(E30="LP-8",IF('Limestone Plant (LP-8)'!$C$9&gt;0,'Limestone Plant (LP-8)'!$C$9,IF('Limestone Plant (LP-8)'!$C$10&gt;0,'Limestone Plant (LP-8)'!$C$10*365,"")),IF(E30="LP-9",IF('Limestone Plant (LP-9)'!$C$9&gt;0,'Limestone Plant (LP-9)'!$C$9,IF('Limestone Plant (LP-9)'!$C$10&gt;0,'Limestone Plant (LP-9)'!$C$10*365,"")),IF(E30="LP-10",IF('Limestone Plant (LP-10)'!$C$9&gt;0,'Limestone Plant (LP-10)'!$C$9,IF('Limestone Plant (LP-10)'!$C$10&gt;0,'Limestone Plant (LP-10)'!$C$10*365,"")))))))))))))</f>
        <v/>
      </c>
      <c r="N30" s="174"/>
      <c r="O30" s="174"/>
      <c r="P30" s="154" t="str">
        <f t="shared" si="0"/>
        <v/>
      </c>
      <c r="Q30" s="154" t="str">
        <f t="shared" si="15"/>
        <v/>
      </c>
      <c r="R30" s="15" t="str">
        <f t="shared" si="1"/>
        <v/>
      </c>
      <c r="S30" s="15" t="str">
        <f t="shared" si="2"/>
        <v/>
      </c>
      <c r="T30" s="176"/>
      <c r="U30" s="172" t="str">
        <f t="shared" si="3"/>
        <v/>
      </c>
      <c r="V30" s="172" t="str">
        <f t="shared" si="4"/>
        <v/>
      </c>
      <c r="W30" s="172" t="str">
        <f t="shared" si="5"/>
        <v/>
      </c>
      <c r="X30" s="172" t="str">
        <f t="shared" si="6"/>
        <v/>
      </c>
      <c r="Y30" s="172" t="str">
        <f t="shared" si="7"/>
        <v/>
      </c>
      <c r="Z30" s="172" t="str">
        <f t="shared" si="8"/>
        <v/>
      </c>
      <c r="AA30" s="172" t="str">
        <f t="shared" si="9"/>
        <v/>
      </c>
      <c r="AB30" s="172" t="str">
        <f t="shared" si="10"/>
        <v/>
      </c>
      <c r="AC30" s="172" t="str">
        <f t="shared" si="11"/>
        <v/>
      </c>
      <c r="AD30" s="172" t="str">
        <f t="shared" si="12"/>
        <v/>
      </c>
      <c r="AE30" s="6" t="str">
        <f t="shared" si="16"/>
        <v/>
      </c>
    </row>
    <row r="31" spans="1:41" ht="13.5" customHeight="1" x14ac:dyDescent="0.25">
      <c r="B31" s="65"/>
      <c r="C31" s="65"/>
      <c r="D31" s="15"/>
      <c r="E31" s="15"/>
      <c r="F31" s="15"/>
      <c r="G31" s="174"/>
      <c r="H31" s="174"/>
      <c r="I31" s="15"/>
      <c r="J31" s="172" t="str">
        <f t="shared" si="13"/>
        <v/>
      </c>
      <c r="K31" s="172" t="str">
        <f t="shared" si="14"/>
        <v/>
      </c>
      <c r="L31" s="174"/>
      <c r="M31" s="311" t="str">
        <f>IF(E31="","",IF(E31="LP-1",IF('Limestone Plant (LP-1)'!$C$9&gt;0,'Limestone Plant (LP-1)'!$C$9,IF('Limestone Plant (LP-1)'!$C$10&gt;0,'Limestone Plant (LP-1)'!$C$10*365,"")),IF(E31="LP-2",IF('Limestone Plant (LP-2)'!$C$9&gt;0,'Limestone Plant (LP-2)'!$C$9,IF('Limestone Plant (LP-2)'!$C$10&gt;0,'Limestone Plant (LP-2)'!$C$10*365,"")),IF(E31="LP-3",IF('Limestone Plant (LP-3)'!$C$9&gt;0,'Limestone Plant (LP-3)'!$C$9,IF('Limestone Plant (LP-3)'!$C$10&gt;0,'Limestone Plant (LP-3)'!$C$10*365,"")),IF(E31="LP-4",IF('Limestone Plant (LP-4)'!$C$9&gt;0,'Limestone Plant (LP-4)'!$C$9,IF('Limestone Plant (LP-4)'!$C$10&gt;0,'Limestone Plant (LP-4)'!$C$10*365,"")),IF(E31="LP-5",IF('Limestone Plant (LP-5)'!$C$9&gt;0,'Limestone Plant (LP-5)'!$C$9,IF('Limestone Plant (LP-5)'!$C$10&gt;0,'Limestone Plant (LP-5)'!$C$10*365,"")),IF(E31="LP-6",IF('Limestone Plant (LP-6)'!$C$9&gt;0,'Limestone Plant (LP-6)'!$C$9,IF('Limestone Plant (LP-6)'!$C$10&gt;0,'Limestone Plant (LP-6)'!$C$10*365,"")),IF(E31="LP-7",IF('Limestone Plant (LP-7)'!$C$9&gt;0,'Limestone Plant (LP-7)'!$C$9,IF('Limestone Plant (LP-7)'!$C$10&gt;0,'Limestone Plant (LP-7)'!$C$10*365,"")),IF(E31="LP-8",IF('Limestone Plant (LP-8)'!$C$9&gt;0,'Limestone Plant (LP-8)'!$C$9,IF('Limestone Plant (LP-8)'!$C$10&gt;0,'Limestone Plant (LP-8)'!$C$10*365,"")),IF(E31="LP-9",IF('Limestone Plant (LP-9)'!$C$9&gt;0,'Limestone Plant (LP-9)'!$C$9,IF('Limestone Plant (LP-9)'!$C$10&gt;0,'Limestone Plant (LP-9)'!$C$10*365,"")),IF(E31="LP-10",IF('Limestone Plant (LP-10)'!$C$9&gt;0,'Limestone Plant (LP-10)'!$C$9,IF('Limestone Plant (LP-10)'!$C$10&gt;0,'Limestone Plant (LP-10)'!$C$10*365,"")))))))))))))</f>
        <v/>
      </c>
      <c r="N31" s="174"/>
      <c r="O31" s="174"/>
      <c r="P31" s="154" t="str">
        <f t="shared" si="0"/>
        <v/>
      </c>
      <c r="Q31" s="154" t="str">
        <f t="shared" si="15"/>
        <v/>
      </c>
      <c r="R31" s="15" t="str">
        <f t="shared" si="1"/>
        <v/>
      </c>
      <c r="S31" s="15" t="str">
        <f t="shared" si="2"/>
        <v/>
      </c>
      <c r="T31" s="176"/>
      <c r="U31" s="172" t="str">
        <f t="shared" si="3"/>
        <v/>
      </c>
      <c r="V31" s="172" t="str">
        <f t="shared" si="4"/>
        <v/>
      </c>
      <c r="W31" s="172" t="str">
        <f t="shared" si="5"/>
        <v/>
      </c>
      <c r="X31" s="172" t="str">
        <f t="shared" si="6"/>
        <v/>
      </c>
      <c r="Y31" s="172" t="str">
        <f t="shared" si="7"/>
        <v/>
      </c>
      <c r="Z31" s="172" t="str">
        <f t="shared" si="8"/>
        <v/>
      </c>
      <c r="AA31" s="172" t="str">
        <f t="shared" si="9"/>
        <v/>
      </c>
      <c r="AB31" s="172" t="str">
        <f t="shared" si="10"/>
        <v/>
      </c>
      <c r="AC31" s="172" t="str">
        <f t="shared" si="11"/>
        <v/>
      </c>
      <c r="AD31" s="172" t="str">
        <f t="shared" si="12"/>
        <v/>
      </c>
      <c r="AE31" s="6" t="str">
        <f t="shared" si="16"/>
        <v/>
      </c>
    </row>
    <row r="32" spans="1:41" ht="13.5" customHeight="1" x14ac:dyDescent="0.25">
      <c r="B32" s="65"/>
      <c r="C32" s="65"/>
      <c r="D32" s="15"/>
      <c r="E32" s="15"/>
      <c r="F32" s="15"/>
      <c r="G32" s="174"/>
      <c r="H32" s="174"/>
      <c r="I32" s="15"/>
      <c r="J32" s="172" t="str">
        <f t="shared" si="13"/>
        <v/>
      </c>
      <c r="K32" s="172" t="str">
        <f t="shared" si="14"/>
        <v/>
      </c>
      <c r="L32" s="174"/>
      <c r="M32" s="311" t="str">
        <f>IF(E32="","",IF(E32="LP-1",IF('Limestone Plant (LP-1)'!$C$9&gt;0,'Limestone Plant (LP-1)'!$C$9,IF('Limestone Plant (LP-1)'!$C$10&gt;0,'Limestone Plant (LP-1)'!$C$10*365,"")),IF(E32="LP-2",IF('Limestone Plant (LP-2)'!$C$9&gt;0,'Limestone Plant (LP-2)'!$C$9,IF('Limestone Plant (LP-2)'!$C$10&gt;0,'Limestone Plant (LP-2)'!$C$10*365,"")),IF(E32="LP-3",IF('Limestone Plant (LP-3)'!$C$9&gt;0,'Limestone Plant (LP-3)'!$C$9,IF('Limestone Plant (LP-3)'!$C$10&gt;0,'Limestone Plant (LP-3)'!$C$10*365,"")),IF(E32="LP-4",IF('Limestone Plant (LP-4)'!$C$9&gt;0,'Limestone Plant (LP-4)'!$C$9,IF('Limestone Plant (LP-4)'!$C$10&gt;0,'Limestone Plant (LP-4)'!$C$10*365,"")),IF(E32="LP-5",IF('Limestone Plant (LP-5)'!$C$9&gt;0,'Limestone Plant (LP-5)'!$C$9,IF('Limestone Plant (LP-5)'!$C$10&gt;0,'Limestone Plant (LP-5)'!$C$10*365,"")),IF(E32="LP-6",IF('Limestone Plant (LP-6)'!$C$9&gt;0,'Limestone Plant (LP-6)'!$C$9,IF('Limestone Plant (LP-6)'!$C$10&gt;0,'Limestone Plant (LP-6)'!$C$10*365,"")),IF(E32="LP-7",IF('Limestone Plant (LP-7)'!$C$9&gt;0,'Limestone Plant (LP-7)'!$C$9,IF('Limestone Plant (LP-7)'!$C$10&gt;0,'Limestone Plant (LP-7)'!$C$10*365,"")),IF(E32="LP-8",IF('Limestone Plant (LP-8)'!$C$9&gt;0,'Limestone Plant (LP-8)'!$C$9,IF('Limestone Plant (LP-8)'!$C$10&gt;0,'Limestone Plant (LP-8)'!$C$10*365,"")),IF(E32="LP-9",IF('Limestone Plant (LP-9)'!$C$9&gt;0,'Limestone Plant (LP-9)'!$C$9,IF('Limestone Plant (LP-9)'!$C$10&gt;0,'Limestone Plant (LP-9)'!$C$10*365,"")),IF(E32="LP-10",IF('Limestone Plant (LP-10)'!$C$9&gt;0,'Limestone Plant (LP-10)'!$C$9,IF('Limestone Plant (LP-10)'!$C$10&gt;0,'Limestone Plant (LP-10)'!$C$10*365,"")))))))))))))</f>
        <v/>
      </c>
      <c r="N32" s="174"/>
      <c r="O32" s="174"/>
      <c r="P32" s="154" t="str">
        <f t="shared" si="0"/>
        <v/>
      </c>
      <c r="Q32" s="154" t="str">
        <f t="shared" si="15"/>
        <v/>
      </c>
      <c r="R32" s="15" t="str">
        <f t="shared" si="1"/>
        <v/>
      </c>
      <c r="S32" s="15" t="str">
        <f t="shared" si="2"/>
        <v/>
      </c>
      <c r="T32" s="176"/>
      <c r="U32" s="172" t="str">
        <f t="shared" si="3"/>
        <v/>
      </c>
      <c r="V32" s="172" t="str">
        <f t="shared" si="4"/>
        <v/>
      </c>
      <c r="W32" s="172" t="str">
        <f t="shared" si="5"/>
        <v/>
      </c>
      <c r="X32" s="172" t="str">
        <f t="shared" si="6"/>
        <v/>
      </c>
      <c r="Y32" s="172" t="str">
        <f t="shared" si="7"/>
        <v/>
      </c>
      <c r="Z32" s="172" t="str">
        <f t="shared" si="8"/>
        <v/>
      </c>
      <c r="AA32" s="172" t="str">
        <f t="shared" si="9"/>
        <v/>
      </c>
      <c r="AB32" s="172" t="str">
        <f t="shared" si="10"/>
        <v/>
      </c>
      <c r="AC32" s="172" t="str">
        <f t="shared" si="11"/>
        <v/>
      </c>
      <c r="AD32" s="172" t="str">
        <f t="shared" si="12"/>
        <v/>
      </c>
      <c r="AE32" s="6" t="str">
        <f t="shared" si="16"/>
        <v/>
      </c>
    </row>
    <row r="33" spans="2:31" ht="13.5" customHeight="1" x14ac:dyDescent="0.25">
      <c r="B33" s="65"/>
      <c r="C33" s="65"/>
      <c r="D33" s="15"/>
      <c r="E33" s="15"/>
      <c r="F33" s="15"/>
      <c r="G33" s="174"/>
      <c r="H33" s="174"/>
      <c r="I33" s="15"/>
      <c r="J33" s="172" t="str">
        <f t="shared" si="13"/>
        <v/>
      </c>
      <c r="K33" s="172" t="str">
        <f t="shared" si="14"/>
        <v/>
      </c>
      <c r="L33" s="174"/>
      <c r="M33" s="311" t="str">
        <f>IF(E33="","",IF(E33="LP-1",IF('Limestone Plant (LP-1)'!$C$9&gt;0,'Limestone Plant (LP-1)'!$C$9,IF('Limestone Plant (LP-1)'!$C$10&gt;0,'Limestone Plant (LP-1)'!$C$10*365,"")),IF(E33="LP-2",IF('Limestone Plant (LP-2)'!$C$9&gt;0,'Limestone Plant (LP-2)'!$C$9,IF('Limestone Plant (LP-2)'!$C$10&gt;0,'Limestone Plant (LP-2)'!$C$10*365,"")),IF(E33="LP-3",IF('Limestone Plant (LP-3)'!$C$9&gt;0,'Limestone Plant (LP-3)'!$C$9,IF('Limestone Plant (LP-3)'!$C$10&gt;0,'Limestone Plant (LP-3)'!$C$10*365,"")),IF(E33="LP-4",IF('Limestone Plant (LP-4)'!$C$9&gt;0,'Limestone Plant (LP-4)'!$C$9,IF('Limestone Plant (LP-4)'!$C$10&gt;0,'Limestone Plant (LP-4)'!$C$10*365,"")),IF(E33="LP-5",IF('Limestone Plant (LP-5)'!$C$9&gt;0,'Limestone Plant (LP-5)'!$C$9,IF('Limestone Plant (LP-5)'!$C$10&gt;0,'Limestone Plant (LP-5)'!$C$10*365,"")),IF(E33="LP-6",IF('Limestone Plant (LP-6)'!$C$9&gt;0,'Limestone Plant (LP-6)'!$C$9,IF('Limestone Plant (LP-6)'!$C$10&gt;0,'Limestone Plant (LP-6)'!$C$10*365,"")),IF(E33="LP-7",IF('Limestone Plant (LP-7)'!$C$9&gt;0,'Limestone Plant (LP-7)'!$C$9,IF('Limestone Plant (LP-7)'!$C$10&gt;0,'Limestone Plant (LP-7)'!$C$10*365,"")),IF(E33="LP-8",IF('Limestone Plant (LP-8)'!$C$9&gt;0,'Limestone Plant (LP-8)'!$C$9,IF('Limestone Plant (LP-8)'!$C$10&gt;0,'Limestone Plant (LP-8)'!$C$10*365,"")),IF(E33="LP-9",IF('Limestone Plant (LP-9)'!$C$9&gt;0,'Limestone Plant (LP-9)'!$C$9,IF('Limestone Plant (LP-9)'!$C$10&gt;0,'Limestone Plant (LP-9)'!$C$10*365,"")),IF(E33="LP-10",IF('Limestone Plant (LP-10)'!$C$9&gt;0,'Limestone Plant (LP-10)'!$C$9,IF('Limestone Plant (LP-10)'!$C$10&gt;0,'Limestone Plant (LP-10)'!$C$10*365,"")))))))))))))</f>
        <v/>
      </c>
      <c r="N33" s="174"/>
      <c r="O33" s="174"/>
      <c r="P33" s="154" t="str">
        <f t="shared" si="0"/>
        <v/>
      </c>
      <c r="Q33" s="154" t="str">
        <f t="shared" si="15"/>
        <v/>
      </c>
      <c r="R33" s="15" t="str">
        <f t="shared" si="1"/>
        <v/>
      </c>
      <c r="S33" s="15" t="str">
        <f t="shared" si="2"/>
        <v/>
      </c>
      <c r="T33" s="176"/>
      <c r="U33" s="172" t="str">
        <f t="shared" si="3"/>
        <v/>
      </c>
      <c r="V33" s="172" t="str">
        <f t="shared" si="4"/>
        <v/>
      </c>
      <c r="W33" s="172" t="str">
        <f t="shared" si="5"/>
        <v/>
      </c>
      <c r="X33" s="172" t="str">
        <f t="shared" si="6"/>
        <v/>
      </c>
      <c r="Y33" s="172" t="str">
        <f t="shared" si="7"/>
        <v/>
      </c>
      <c r="Z33" s="172" t="str">
        <f t="shared" si="8"/>
        <v/>
      </c>
      <c r="AA33" s="172" t="str">
        <f t="shared" si="9"/>
        <v/>
      </c>
      <c r="AB33" s="172" t="str">
        <f t="shared" si="10"/>
        <v/>
      </c>
      <c r="AC33" s="172" t="str">
        <f t="shared" si="11"/>
        <v/>
      </c>
      <c r="AD33" s="172" t="str">
        <f t="shared" si="12"/>
        <v/>
      </c>
      <c r="AE33" s="6" t="str">
        <f t="shared" si="16"/>
        <v/>
      </c>
    </row>
    <row r="34" spans="2:31" ht="13.5" customHeight="1" x14ac:dyDescent="0.25">
      <c r="B34" s="65"/>
      <c r="C34" s="65"/>
      <c r="D34" s="15"/>
      <c r="E34" s="15"/>
      <c r="F34" s="15"/>
      <c r="G34" s="174"/>
      <c r="H34" s="174"/>
      <c r="I34" s="15"/>
      <c r="J34" s="172" t="str">
        <f t="shared" si="13"/>
        <v/>
      </c>
      <c r="K34" s="172" t="str">
        <f t="shared" si="14"/>
        <v/>
      </c>
      <c r="L34" s="174"/>
      <c r="M34" s="311" t="str">
        <f>IF(E34="","",IF(E34="LP-1",IF('Limestone Plant (LP-1)'!$C$9&gt;0,'Limestone Plant (LP-1)'!$C$9,IF('Limestone Plant (LP-1)'!$C$10&gt;0,'Limestone Plant (LP-1)'!$C$10*365,"")),IF(E34="LP-2",IF('Limestone Plant (LP-2)'!$C$9&gt;0,'Limestone Plant (LP-2)'!$C$9,IF('Limestone Plant (LP-2)'!$C$10&gt;0,'Limestone Plant (LP-2)'!$C$10*365,"")),IF(E34="LP-3",IF('Limestone Plant (LP-3)'!$C$9&gt;0,'Limestone Plant (LP-3)'!$C$9,IF('Limestone Plant (LP-3)'!$C$10&gt;0,'Limestone Plant (LP-3)'!$C$10*365,"")),IF(E34="LP-4",IF('Limestone Plant (LP-4)'!$C$9&gt;0,'Limestone Plant (LP-4)'!$C$9,IF('Limestone Plant (LP-4)'!$C$10&gt;0,'Limestone Plant (LP-4)'!$C$10*365,"")),IF(E34="LP-5",IF('Limestone Plant (LP-5)'!$C$9&gt;0,'Limestone Plant (LP-5)'!$C$9,IF('Limestone Plant (LP-5)'!$C$10&gt;0,'Limestone Plant (LP-5)'!$C$10*365,"")),IF(E34="LP-6",IF('Limestone Plant (LP-6)'!$C$9&gt;0,'Limestone Plant (LP-6)'!$C$9,IF('Limestone Plant (LP-6)'!$C$10&gt;0,'Limestone Plant (LP-6)'!$C$10*365,"")),IF(E34="LP-7",IF('Limestone Plant (LP-7)'!$C$9&gt;0,'Limestone Plant (LP-7)'!$C$9,IF('Limestone Plant (LP-7)'!$C$10&gt;0,'Limestone Plant (LP-7)'!$C$10*365,"")),IF(E34="LP-8",IF('Limestone Plant (LP-8)'!$C$9&gt;0,'Limestone Plant (LP-8)'!$C$9,IF('Limestone Plant (LP-8)'!$C$10&gt;0,'Limestone Plant (LP-8)'!$C$10*365,"")),IF(E34="LP-9",IF('Limestone Plant (LP-9)'!$C$9&gt;0,'Limestone Plant (LP-9)'!$C$9,IF('Limestone Plant (LP-9)'!$C$10&gt;0,'Limestone Plant (LP-9)'!$C$10*365,"")),IF(E34="LP-10",IF('Limestone Plant (LP-10)'!$C$9&gt;0,'Limestone Plant (LP-10)'!$C$9,IF('Limestone Plant (LP-10)'!$C$10&gt;0,'Limestone Plant (LP-10)'!$C$10*365,"")))))))))))))</f>
        <v/>
      </c>
      <c r="N34" s="174"/>
      <c r="O34" s="174"/>
      <c r="P34" s="154" t="str">
        <f t="shared" si="0"/>
        <v/>
      </c>
      <c r="Q34" s="154" t="str">
        <f t="shared" si="15"/>
        <v/>
      </c>
      <c r="R34" s="15" t="str">
        <f t="shared" si="1"/>
        <v/>
      </c>
      <c r="S34" s="15" t="str">
        <f t="shared" si="2"/>
        <v/>
      </c>
      <c r="T34" s="176"/>
      <c r="U34" s="172" t="str">
        <f t="shared" si="3"/>
        <v/>
      </c>
      <c r="V34" s="172" t="str">
        <f t="shared" si="4"/>
        <v/>
      </c>
      <c r="W34" s="172" t="str">
        <f t="shared" si="5"/>
        <v/>
      </c>
      <c r="X34" s="172" t="str">
        <f t="shared" si="6"/>
        <v/>
      </c>
      <c r="Y34" s="172" t="str">
        <f t="shared" si="7"/>
        <v/>
      </c>
      <c r="Z34" s="172" t="str">
        <f t="shared" si="8"/>
        <v/>
      </c>
      <c r="AA34" s="172" t="str">
        <f t="shared" si="9"/>
        <v/>
      </c>
      <c r="AB34" s="172" t="str">
        <f t="shared" si="10"/>
        <v/>
      </c>
      <c r="AC34" s="172" t="str">
        <f t="shared" si="11"/>
        <v/>
      </c>
      <c r="AD34" s="172" t="str">
        <f t="shared" si="12"/>
        <v/>
      </c>
      <c r="AE34" s="6" t="str">
        <f t="shared" si="16"/>
        <v/>
      </c>
    </row>
    <row r="35" spans="2:31" ht="13.5" customHeight="1" x14ac:dyDescent="0.25">
      <c r="B35" s="65"/>
      <c r="C35" s="65"/>
      <c r="D35" s="15"/>
      <c r="E35" s="15"/>
      <c r="F35" s="15"/>
      <c r="G35" s="174"/>
      <c r="H35" s="174"/>
      <c r="I35" s="15"/>
      <c r="J35" s="172" t="str">
        <f t="shared" si="13"/>
        <v/>
      </c>
      <c r="K35" s="172" t="str">
        <f t="shared" si="14"/>
        <v/>
      </c>
      <c r="L35" s="174"/>
      <c r="M35" s="311" t="str">
        <f>IF(E35="","",IF(E35="LP-1",IF('Limestone Plant (LP-1)'!$C$9&gt;0,'Limestone Plant (LP-1)'!$C$9,IF('Limestone Plant (LP-1)'!$C$10&gt;0,'Limestone Plant (LP-1)'!$C$10*365,"")),IF(E35="LP-2",IF('Limestone Plant (LP-2)'!$C$9&gt;0,'Limestone Plant (LP-2)'!$C$9,IF('Limestone Plant (LP-2)'!$C$10&gt;0,'Limestone Plant (LP-2)'!$C$10*365,"")),IF(E35="LP-3",IF('Limestone Plant (LP-3)'!$C$9&gt;0,'Limestone Plant (LP-3)'!$C$9,IF('Limestone Plant (LP-3)'!$C$10&gt;0,'Limestone Plant (LP-3)'!$C$10*365,"")),IF(E35="LP-4",IF('Limestone Plant (LP-4)'!$C$9&gt;0,'Limestone Plant (LP-4)'!$C$9,IF('Limestone Plant (LP-4)'!$C$10&gt;0,'Limestone Plant (LP-4)'!$C$10*365,"")),IF(E35="LP-5",IF('Limestone Plant (LP-5)'!$C$9&gt;0,'Limestone Plant (LP-5)'!$C$9,IF('Limestone Plant (LP-5)'!$C$10&gt;0,'Limestone Plant (LP-5)'!$C$10*365,"")),IF(E35="LP-6",IF('Limestone Plant (LP-6)'!$C$9&gt;0,'Limestone Plant (LP-6)'!$C$9,IF('Limestone Plant (LP-6)'!$C$10&gt;0,'Limestone Plant (LP-6)'!$C$10*365,"")),IF(E35="LP-7",IF('Limestone Plant (LP-7)'!$C$9&gt;0,'Limestone Plant (LP-7)'!$C$9,IF('Limestone Plant (LP-7)'!$C$10&gt;0,'Limestone Plant (LP-7)'!$C$10*365,"")),IF(E35="LP-8",IF('Limestone Plant (LP-8)'!$C$9&gt;0,'Limestone Plant (LP-8)'!$C$9,IF('Limestone Plant (LP-8)'!$C$10&gt;0,'Limestone Plant (LP-8)'!$C$10*365,"")),IF(E35="LP-9",IF('Limestone Plant (LP-9)'!$C$9&gt;0,'Limestone Plant (LP-9)'!$C$9,IF('Limestone Plant (LP-9)'!$C$10&gt;0,'Limestone Plant (LP-9)'!$C$10*365,"")),IF(E35="LP-10",IF('Limestone Plant (LP-10)'!$C$9&gt;0,'Limestone Plant (LP-10)'!$C$9,IF('Limestone Plant (LP-10)'!$C$10&gt;0,'Limestone Plant (LP-10)'!$C$10*365,"")))))))))))))</f>
        <v/>
      </c>
      <c r="N35" s="174"/>
      <c r="O35" s="174"/>
      <c r="P35" s="154" t="str">
        <f t="shared" si="0"/>
        <v/>
      </c>
      <c r="Q35" s="154" t="str">
        <f t="shared" si="15"/>
        <v/>
      </c>
      <c r="R35" s="15" t="str">
        <f t="shared" si="1"/>
        <v/>
      </c>
      <c r="S35" s="15" t="str">
        <f t="shared" si="2"/>
        <v/>
      </c>
      <c r="T35" s="176"/>
      <c r="U35" s="172" t="str">
        <f t="shared" si="3"/>
        <v/>
      </c>
      <c r="V35" s="172" t="str">
        <f t="shared" si="4"/>
        <v/>
      </c>
      <c r="W35" s="172" t="str">
        <f t="shared" si="5"/>
        <v/>
      </c>
      <c r="X35" s="172" t="str">
        <f t="shared" si="6"/>
        <v/>
      </c>
      <c r="Y35" s="172" t="str">
        <f t="shared" si="7"/>
        <v/>
      </c>
      <c r="Z35" s="172" t="str">
        <f t="shared" si="8"/>
        <v/>
      </c>
      <c r="AA35" s="172" t="str">
        <f t="shared" si="9"/>
        <v/>
      </c>
      <c r="AB35" s="172" t="str">
        <f t="shared" si="10"/>
        <v/>
      </c>
      <c r="AC35" s="172" t="str">
        <f t="shared" si="11"/>
        <v/>
      </c>
      <c r="AD35" s="172" t="str">
        <f t="shared" si="12"/>
        <v/>
      </c>
      <c r="AE35" s="6" t="str">
        <f t="shared" si="16"/>
        <v/>
      </c>
    </row>
    <row r="36" spans="2:31" ht="13.5" customHeight="1" x14ac:dyDescent="0.25">
      <c r="B36" s="65"/>
      <c r="C36" s="65"/>
      <c r="D36" s="15"/>
      <c r="E36" s="15"/>
      <c r="F36" s="15"/>
      <c r="G36" s="174"/>
      <c r="H36" s="174"/>
      <c r="I36" s="15"/>
      <c r="J36" s="172" t="str">
        <f t="shared" si="13"/>
        <v/>
      </c>
      <c r="K36" s="172" t="str">
        <f t="shared" si="14"/>
        <v/>
      </c>
      <c r="L36" s="174"/>
      <c r="M36" s="311" t="str">
        <f>IF(E36="","",IF(E36="LP-1",IF('Limestone Plant (LP-1)'!$C$9&gt;0,'Limestone Plant (LP-1)'!$C$9,IF('Limestone Plant (LP-1)'!$C$10&gt;0,'Limestone Plant (LP-1)'!$C$10*365,"")),IF(E36="LP-2",IF('Limestone Plant (LP-2)'!$C$9&gt;0,'Limestone Plant (LP-2)'!$C$9,IF('Limestone Plant (LP-2)'!$C$10&gt;0,'Limestone Plant (LP-2)'!$C$10*365,"")),IF(E36="LP-3",IF('Limestone Plant (LP-3)'!$C$9&gt;0,'Limestone Plant (LP-3)'!$C$9,IF('Limestone Plant (LP-3)'!$C$10&gt;0,'Limestone Plant (LP-3)'!$C$10*365,"")),IF(E36="LP-4",IF('Limestone Plant (LP-4)'!$C$9&gt;0,'Limestone Plant (LP-4)'!$C$9,IF('Limestone Plant (LP-4)'!$C$10&gt;0,'Limestone Plant (LP-4)'!$C$10*365,"")),IF(E36="LP-5",IF('Limestone Plant (LP-5)'!$C$9&gt;0,'Limestone Plant (LP-5)'!$C$9,IF('Limestone Plant (LP-5)'!$C$10&gt;0,'Limestone Plant (LP-5)'!$C$10*365,"")),IF(E36="LP-6",IF('Limestone Plant (LP-6)'!$C$9&gt;0,'Limestone Plant (LP-6)'!$C$9,IF('Limestone Plant (LP-6)'!$C$10&gt;0,'Limestone Plant (LP-6)'!$C$10*365,"")),IF(E36="LP-7",IF('Limestone Plant (LP-7)'!$C$9&gt;0,'Limestone Plant (LP-7)'!$C$9,IF('Limestone Plant (LP-7)'!$C$10&gt;0,'Limestone Plant (LP-7)'!$C$10*365,"")),IF(E36="LP-8",IF('Limestone Plant (LP-8)'!$C$9&gt;0,'Limestone Plant (LP-8)'!$C$9,IF('Limestone Plant (LP-8)'!$C$10&gt;0,'Limestone Plant (LP-8)'!$C$10*365,"")),IF(E36="LP-9",IF('Limestone Plant (LP-9)'!$C$9&gt;0,'Limestone Plant (LP-9)'!$C$9,IF('Limestone Plant (LP-9)'!$C$10&gt;0,'Limestone Plant (LP-9)'!$C$10*365,"")),IF(E36="LP-10",IF('Limestone Plant (LP-10)'!$C$9&gt;0,'Limestone Plant (LP-10)'!$C$9,IF('Limestone Plant (LP-10)'!$C$10&gt;0,'Limestone Plant (LP-10)'!$C$10*365,"")))))))))))))</f>
        <v/>
      </c>
      <c r="N36" s="174"/>
      <c r="O36" s="174"/>
      <c r="P36" s="154" t="str">
        <f t="shared" si="0"/>
        <v/>
      </c>
      <c r="Q36" s="154" t="str">
        <f t="shared" si="15"/>
        <v/>
      </c>
      <c r="R36" s="15" t="str">
        <f t="shared" si="1"/>
        <v/>
      </c>
      <c r="S36" s="15" t="str">
        <f t="shared" si="2"/>
        <v/>
      </c>
      <c r="T36" s="176"/>
      <c r="U36" s="172" t="str">
        <f t="shared" si="3"/>
        <v/>
      </c>
      <c r="V36" s="172" t="str">
        <f t="shared" si="4"/>
        <v/>
      </c>
      <c r="W36" s="172" t="str">
        <f t="shared" si="5"/>
        <v/>
      </c>
      <c r="X36" s="172" t="str">
        <f t="shared" si="6"/>
        <v/>
      </c>
      <c r="Y36" s="172" t="str">
        <f t="shared" si="7"/>
        <v/>
      </c>
      <c r="Z36" s="172" t="str">
        <f t="shared" si="8"/>
        <v/>
      </c>
      <c r="AA36" s="172" t="str">
        <f t="shared" si="9"/>
        <v/>
      </c>
      <c r="AB36" s="172" t="str">
        <f t="shared" si="10"/>
        <v/>
      </c>
      <c r="AC36" s="172" t="str">
        <f t="shared" si="11"/>
        <v/>
      </c>
      <c r="AD36" s="172" t="str">
        <f t="shared" si="12"/>
        <v/>
      </c>
      <c r="AE36" s="6" t="str">
        <f t="shared" si="16"/>
        <v/>
      </c>
    </row>
    <row r="37" spans="2:31" ht="13.5" customHeight="1" x14ac:dyDescent="0.25">
      <c r="B37" s="65"/>
      <c r="C37" s="65"/>
      <c r="D37" s="15"/>
      <c r="E37" s="15"/>
      <c r="F37" s="15"/>
      <c r="G37" s="174"/>
      <c r="H37" s="174"/>
      <c r="I37" s="15"/>
      <c r="J37" s="172" t="str">
        <f t="shared" si="13"/>
        <v/>
      </c>
      <c r="K37" s="172" t="str">
        <f t="shared" si="14"/>
        <v/>
      </c>
      <c r="L37" s="174"/>
      <c r="M37" s="311" t="str">
        <f>IF(E37="","",IF(E37="LP-1",IF('Limestone Plant (LP-1)'!$C$9&gt;0,'Limestone Plant (LP-1)'!$C$9,IF('Limestone Plant (LP-1)'!$C$10&gt;0,'Limestone Plant (LP-1)'!$C$10*365,"")),IF(E37="LP-2",IF('Limestone Plant (LP-2)'!$C$9&gt;0,'Limestone Plant (LP-2)'!$C$9,IF('Limestone Plant (LP-2)'!$C$10&gt;0,'Limestone Plant (LP-2)'!$C$10*365,"")),IF(E37="LP-3",IF('Limestone Plant (LP-3)'!$C$9&gt;0,'Limestone Plant (LP-3)'!$C$9,IF('Limestone Plant (LP-3)'!$C$10&gt;0,'Limestone Plant (LP-3)'!$C$10*365,"")),IF(E37="LP-4",IF('Limestone Plant (LP-4)'!$C$9&gt;0,'Limestone Plant (LP-4)'!$C$9,IF('Limestone Plant (LP-4)'!$C$10&gt;0,'Limestone Plant (LP-4)'!$C$10*365,"")),IF(E37="LP-5",IF('Limestone Plant (LP-5)'!$C$9&gt;0,'Limestone Plant (LP-5)'!$C$9,IF('Limestone Plant (LP-5)'!$C$10&gt;0,'Limestone Plant (LP-5)'!$C$10*365,"")),IF(E37="LP-6",IF('Limestone Plant (LP-6)'!$C$9&gt;0,'Limestone Plant (LP-6)'!$C$9,IF('Limestone Plant (LP-6)'!$C$10&gt;0,'Limestone Plant (LP-6)'!$C$10*365,"")),IF(E37="LP-7",IF('Limestone Plant (LP-7)'!$C$9&gt;0,'Limestone Plant (LP-7)'!$C$9,IF('Limestone Plant (LP-7)'!$C$10&gt;0,'Limestone Plant (LP-7)'!$C$10*365,"")),IF(E37="LP-8",IF('Limestone Plant (LP-8)'!$C$9&gt;0,'Limestone Plant (LP-8)'!$C$9,IF('Limestone Plant (LP-8)'!$C$10&gt;0,'Limestone Plant (LP-8)'!$C$10*365,"")),IF(E37="LP-9",IF('Limestone Plant (LP-9)'!$C$9&gt;0,'Limestone Plant (LP-9)'!$C$9,IF('Limestone Plant (LP-9)'!$C$10&gt;0,'Limestone Plant (LP-9)'!$C$10*365,"")),IF(E37="LP-10",IF('Limestone Plant (LP-10)'!$C$9&gt;0,'Limestone Plant (LP-10)'!$C$9,IF('Limestone Plant (LP-10)'!$C$10&gt;0,'Limestone Plant (LP-10)'!$C$10*365,"")))))))))))))</f>
        <v/>
      </c>
      <c r="N37" s="174"/>
      <c r="O37" s="174"/>
      <c r="P37" s="154" t="str">
        <f t="shared" si="0"/>
        <v/>
      </c>
      <c r="Q37" s="154" t="str">
        <f t="shared" si="15"/>
        <v/>
      </c>
      <c r="R37" s="15" t="str">
        <f t="shared" si="1"/>
        <v/>
      </c>
      <c r="S37" s="15" t="str">
        <f t="shared" si="2"/>
        <v/>
      </c>
      <c r="T37" s="176"/>
      <c r="U37" s="172" t="str">
        <f t="shared" si="3"/>
        <v/>
      </c>
      <c r="V37" s="172" t="str">
        <f t="shared" si="4"/>
        <v/>
      </c>
      <c r="W37" s="172" t="str">
        <f t="shared" si="5"/>
        <v/>
      </c>
      <c r="X37" s="172" t="str">
        <f t="shared" si="6"/>
        <v/>
      </c>
      <c r="Y37" s="172" t="str">
        <f t="shared" si="7"/>
        <v/>
      </c>
      <c r="Z37" s="172" t="str">
        <f t="shared" si="8"/>
        <v/>
      </c>
      <c r="AA37" s="172" t="str">
        <f t="shared" si="9"/>
        <v/>
      </c>
      <c r="AB37" s="172" t="str">
        <f t="shared" si="10"/>
        <v/>
      </c>
      <c r="AC37" s="172" t="str">
        <f t="shared" si="11"/>
        <v/>
      </c>
      <c r="AD37" s="172" t="str">
        <f t="shared" si="12"/>
        <v/>
      </c>
      <c r="AE37" s="6" t="str">
        <f t="shared" si="16"/>
        <v/>
      </c>
    </row>
    <row r="38" spans="2:31" ht="13.5" customHeight="1" x14ac:dyDescent="0.25">
      <c r="B38" s="65"/>
      <c r="C38" s="65"/>
      <c r="D38" s="15"/>
      <c r="E38" s="15"/>
      <c r="F38" s="15"/>
      <c r="G38" s="174"/>
      <c r="H38" s="174"/>
      <c r="I38" s="15"/>
      <c r="J38" s="172" t="str">
        <f t="shared" si="13"/>
        <v/>
      </c>
      <c r="K38" s="172" t="str">
        <f t="shared" si="14"/>
        <v/>
      </c>
      <c r="L38" s="174"/>
      <c r="M38" s="311" t="str">
        <f>IF(E38="","",IF(E38="LP-1",IF('Limestone Plant (LP-1)'!$C$9&gt;0,'Limestone Plant (LP-1)'!$C$9,IF('Limestone Plant (LP-1)'!$C$10&gt;0,'Limestone Plant (LP-1)'!$C$10*365,"")),IF(E38="LP-2",IF('Limestone Plant (LP-2)'!$C$9&gt;0,'Limestone Plant (LP-2)'!$C$9,IF('Limestone Plant (LP-2)'!$C$10&gt;0,'Limestone Plant (LP-2)'!$C$10*365,"")),IF(E38="LP-3",IF('Limestone Plant (LP-3)'!$C$9&gt;0,'Limestone Plant (LP-3)'!$C$9,IF('Limestone Plant (LP-3)'!$C$10&gt;0,'Limestone Plant (LP-3)'!$C$10*365,"")),IF(E38="LP-4",IF('Limestone Plant (LP-4)'!$C$9&gt;0,'Limestone Plant (LP-4)'!$C$9,IF('Limestone Plant (LP-4)'!$C$10&gt;0,'Limestone Plant (LP-4)'!$C$10*365,"")),IF(E38="LP-5",IF('Limestone Plant (LP-5)'!$C$9&gt;0,'Limestone Plant (LP-5)'!$C$9,IF('Limestone Plant (LP-5)'!$C$10&gt;0,'Limestone Plant (LP-5)'!$C$10*365,"")),IF(E38="LP-6",IF('Limestone Plant (LP-6)'!$C$9&gt;0,'Limestone Plant (LP-6)'!$C$9,IF('Limestone Plant (LP-6)'!$C$10&gt;0,'Limestone Plant (LP-6)'!$C$10*365,"")),IF(E38="LP-7",IF('Limestone Plant (LP-7)'!$C$9&gt;0,'Limestone Plant (LP-7)'!$C$9,IF('Limestone Plant (LP-7)'!$C$10&gt;0,'Limestone Plant (LP-7)'!$C$10*365,"")),IF(E38="LP-8",IF('Limestone Plant (LP-8)'!$C$9&gt;0,'Limestone Plant (LP-8)'!$C$9,IF('Limestone Plant (LP-8)'!$C$10&gt;0,'Limestone Plant (LP-8)'!$C$10*365,"")),IF(E38="LP-9",IF('Limestone Plant (LP-9)'!$C$9&gt;0,'Limestone Plant (LP-9)'!$C$9,IF('Limestone Plant (LP-9)'!$C$10&gt;0,'Limestone Plant (LP-9)'!$C$10*365,"")),IF(E38="LP-10",IF('Limestone Plant (LP-10)'!$C$9&gt;0,'Limestone Plant (LP-10)'!$C$9,IF('Limestone Plant (LP-10)'!$C$10&gt;0,'Limestone Plant (LP-10)'!$C$10*365,"")))))))))))))</f>
        <v/>
      </c>
      <c r="N38" s="174"/>
      <c r="O38" s="174"/>
      <c r="P38" s="154" t="str">
        <f t="shared" si="0"/>
        <v/>
      </c>
      <c r="Q38" s="154" t="str">
        <f t="shared" si="15"/>
        <v/>
      </c>
      <c r="R38" s="15" t="str">
        <f t="shared" si="1"/>
        <v/>
      </c>
      <c r="S38" s="15" t="str">
        <f t="shared" si="2"/>
        <v/>
      </c>
      <c r="T38" s="176"/>
      <c r="U38" s="172" t="str">
        <f t="shared" si="3"/>
        <v/>
      </c>
      <c r="V38" s="172" t="str">
        <f t="shared" si="4"/>
        <v/>
      </c>
      <c r="W38" s="172" t="str">
        <f t="shared" si="5"/>
        <v/>
      </c>
      <c r="X38" s="172" t="str">
        <f t="shared" si="6"/>
        <v/>
      </c>
      <c r="Y38" s="172" t="str">
        <f t="shared" si="7"/>
        <v/>
      </c>
      <c r="Z38" s="172" t="str">
        <f t="shared" si="8"/>
        <v/>
      </c>
      <c r="AA38" s="172" t="str">
        <f t="shared" si="9"/>
        <v/>
      </c>
      <c r="AB38" s="172" t="str">
        <f t="shared" si="10"/>
        <v/>
      </c>
      <c r="AC38" s="172" t="str">
        <f t="shared" si="11"/>
        <v/>
      </c>
      <c r="AD38" s="172" t="str">
        <f t="shared" si="12"/>
        <v/>
      </c>
      <c r="AE38" s="6" t="str">
        <f t="shared" si="16"/>
        <v/>
      </c>
    </row>
    <row r="39" spans="2:31" ht="13.5" hidden="1" customHeight="1" x14ac:dyDescent="0.25">
      <c r="L39" s="6">
        <f>(SUM(IF(AE9="x",L9,0),IF(AE10="x",L10,0),IF(AE11="x",L11,0),IF(AE12="x",L12,0),IF(AE13="x",L13,0),IF(AE14="x",L14,0),IF(AE15="x",L15,0),IF(AE16="x",L16,0),IF(AE17="x",L17,0),IF(AE18="x",L18,0),IF(AE19="x",L19,0),IF(AE20="x",L20,0),IF(AE21="x",L21,0),IF(AE22="x",L22,0),IF(AE23="x",L23,0),IF(AE24="x",L24,0),IF(AE25="x",L25,0),IF(AE26="x",L26,0),IF(AE27="x",L27,0),IF(AE28="x",L28,0),IF(AE29="x",L29,0),IF(AE30="x",L30,0),IF(AE31="x",L31,0),IF(AE32="x",L32,0),IF(AE33="x",L33,0),IF(AE34="x",L34,0),IF(AE35="x",L35,0),IF(AE36="x",L36,0),IF(AE37="x",L37,0),IF(AE38="x",L38,0)))</f>
        <v>0</v>
      </c>
      <c r="P39" s="6">
        <f>(SUM(IF(AE9="x",P9,0),IF(AE10="x",P10,0),IF(AE11="x",P11,0),IF(AE12="x",P12,0),IF(AE13="x",P13,0),IF(AE14="x",P14,0),IF(AE15="x",P15,0),IF(AE16="x",P16,0),IF(AE17="x",P17,0),IF(AE18="x",P18,0),IF(AE19="x",P19,0),IF(AE20="x",P20,0),IF(AE21="x",P21,0),IF(AE22="x",P22,0),IF(AE23="x",P23,0),IF(AE24="x",P24,0),IF(AE25="x",P25,0),IF(AE26="x",P26,0),IF(AE27="x",P27,0),IF(AE28="x",P28,0),IF(AE29="x",P29,0),IF(AE30="x",P30,0),IF(AE31="x",P31,0),IF(AE32="x",P32,0),IF(AE33="x",P33,0),IF(AE34="x",P34,0),IF(AE35="x",P35,0),IF(AE36="x",P36,0),IF(AE37="x",P37,0),IF(AE38="x",P38,0)))</f>
        <v>0</v>
      </c>
      <c r="T39" s="6" t="s">
        <v>126</v>
      </c>
      <c r="U39" s="6">
        <f>(MAX(IF(AE9="x",U9,0),IF(AE10="x",U10,0),IF(AE11="x",U11,0),IF(AE12="x",U12,0),IF(AE13="x",U13,0),IF(AE14="x",U14,0),IF(AE15="x",U15,0),IF(AE16="x",U16,0),IF(AE17="x",U17,0),IF(AE18="x",U18,0),IF(AE29="x",U29,0),IF(AE30="x",U30,0),IF(AE31="x",U31,0),IF(AE32="x",U32,0),IF(AE33="x",U33,0),IF(AE34="x",U34,0),IF(AE35="x",U35,0),IF(AE36="x",U36,0),IF(AE37="x",U37,0),IF(AE38="x",U38,0)))</f>
        <v>0</v>
      </c>
      <c r="V39" s="6">
        <f>(SUM(IF(AE9="x",V9,0),IF(AE10="x",V10,0),IF(AE11="x",V11,0),IF(AE12="x",V12,0),IF(AE13="x",V13,0),IF(AE14="x",V14,0),IF(AE15="x",V15,0),IF(AE16="x",V16,0),IF(AE17="x",V17,0),IF(AE18="x",V18,0),IF(AE29="x",V29,0),IF(AE30="x",V30,0),IF(AE31="x",V31,0),IF(AE32="x",V32,0),IF(AE33="x",V33,0),IF(AE34="x",V34,0),IF(AE35="x",V35,0),IF(AE36="x",V36,0),IF(AE37="x",V37,0),IF(AE38="x",V38,0)))</f>
        <v>0</v>
      </c>
      <c r="W39" s="156">
        <f>SUM(W9:W38)</f>
        <v>0</v>
      </c>
      <c r="X39" s="157" t="str">
        <f>IF(B39="","",IF(W39="",V39*8760/2000,W39*8760/2000))</f>
        <v/>
      </c>
      <c r="Z39" s="6">
        <f>(MAX(IF(AE9="x",Z9,0),IF(AE10="x",Z10,0),IF(AE11="x",Z11,0),IF(AE12="x",Z12,0),IF(AE13="x",Z13,0),IF(AE14="x",Z14,0),IF(AE15="x",Z15,0),IF(AE16="x",Z16,0),IF(AE17="x",Z17,0),IF(AE18="x",Z18,0),IF(AE29="x",Z29,0),IF(AE30="x",Z30,0),IF(AE31="x",Z31,0),IF(AE32="x",Z32,0),IF(AE33="x",Z33,0),IF(AE34="x",Z34,0),IF(AE35="x",Z35,0),IF(AE36="x",Z36,0),IF(AE37="x",Z37,0),IF(AE38="x",Z38,0)))</f>
        <v>0</v>
      </c>
      <c r="AA39" s="6">
        <f>(SUM(IF(AE9="x",AA9,0),IF(AE10="x",AA10,0),IF(AE11="x",AA11,0),IF(AE12="x",AA12,0),IF(AE13="x",AA13,0),IF(AE14="x",AA14,0),IF(AE15="x",AA15,0),IF(AE16="x",AA16,0),IF(AE17="x",AA17,0),IF(AE18="x",AA18,0),IF(AE29="x",AA29,0),IF(AE30="x",AA30,0),IF(AE31="x",AA31,0),IF(AE32="x",AA32,0),IF(AE33="x",AA33,0),IF(AE34="x",AA34,0),IF(AE35="x",AA35,0),IF(AE36="x",AA36,0),IF(AE37="x",AA37,0),IF(AE38="x",AA38,0)))</f>
        <v>0</v>
      </c>
      <c r="AB39" s="156">
        <f>SUM(AB9:AB38)</f>
        <v>0</v>
      </c>
      <c r="AC39" s="157" t="str">
        <f t="shared" si="11"/>
        <v/>
      </c>
      <c r="AE39" s="6" t="str">
        <f>IF(B40="unpaved haul road","x","")</f>
        <v/>
      </c>
    </row>
    <row r="40" spans="2:31" ht="13.5" hidden="1" customHeight="1" x14ac:dyDescent="0.25">
      <c r="L40" s="6">
        <f>(SUM(IF(AE9="x",0,L9),IF(AE10="x",0,L10),IF(AE11="x",0,L11),IF(AE12="x",0,L12),IF(AE13="x",0,L13),IF(AE14="x",0,L14),IF(AE15="x",0,L15),IF(AE16="x",0,L16),IF(AE17="x",0,L17),IF(AE18="x",0,L18),IF(AE19="x",0,L19),IF(AE20="x",0,L20),IF(AE21="x",0,L21),IF(AE22="x",0,L22),IF(AE23="x",0,L23),IF(AE24="x",0,L24),IF(AE25="x",0,L25),IF(AE26="x",0,L26),IF(AE27="x",0,L27),IF(AE28="x",0,L28),IF(AE29="x",0,L29),IF(AE30="x",0,L30),IF(AE31="x",0,L31),IF(AE32="x",0,L32),IF(AE33="x",0,L33),IF(AE34="x",0,L34),IF(AE35="x",0,L35),IF(AE36="x",0,L36),IF(AE37="x",0,L37),IF(AE38="x",0,L38)))</f>
        <v>0</v>
      </c>
      <c r="P40" s="6">
        <f>(SUM(IF(AE9="x",0,P9),IF(AE10="x",0,P10),IF(AE11="x",0,P11),IF(AE12="x",0,P12),IF(AE13="x",0,P13),IF(AE14="x",0,P14),IF(AE15="x",0,P15),IF(AE16="x",0,P16),IF(AE17="x",0,P17),IF(AE18="x",0,P18),IF(AE19="x",0,P19),IF(AE20="x",0,P20),IF(AE21="x",0,P21),IF(AE22="x",0,P22),IF(AE23="x",0,P23),IF(AE24="x",0,P24),IF(AE25="x",0,P25),IF(AE26="x",0,P26),IF(AE27="x",0,P27),IF(AE28="x",0,P28),IF(AE29="x",0,P29),IF(AE30="x",0,P30),IF(AE31="x",0,P31),IF(AE32="x",0,P32),IF(AE33="x",0,P33),IF(AE34="x",0,P34),IF(AE35="x",0,P35),IF(AE36="x",0,P36),IF(AE37="x",0,P37),IF(AE38="x",0,P38)))</f>
        <v>0</v>
      </c>
      <c r="T40" s="6" t="s">
        <v>127</v>
      </c>
      <c r="U40" s="6">
        <f>(SUM(IF(AE9="x",0,U9),IF(AE10="x",0,U10),IF(AE11="x",0,U11),IF(AE12="x",0,U12),IF(AE13="x",0,U13),IF(AE14="x",0,U14),IF(AE15="x",0,U15),IF(AE16="x",0,U16),IF(AE17="x",0,U17),IF(AE18="x",0,U18),IF(AE29="x",0,U29),IF(AE30="x",0,U30),IF(AE31="x",0,U31),IF(AE32="x",0,U32),IF(AE33="x",0,U33),IF(AE34="x",0,U34),IF(AE35="x",0,U35),IF(AE36="x",0,U36),IF(AE37="x",0,U37),IF(AE38="x",0,U38)))</f>
        <v>0</v>
      </c>
      <c r="V40" s="6">
        <f>(SUM(IF(AE9="x",0,V9),IF(AE10="x",0,V10),IF(AE11="x",0,V11),IF(AE12="x",0,V12),IF(AE13="x",0,V13),IF(AE14="x",0,V14),IF(AE15="x",0,V15),IF(AE16="x",0,V16),IF(AE17="x",0,V17),IF(AE18="x",0,V18),IF(AE29="x",0,V29),IF(AE30="x",0,V30),IF(AE31="x",0,V31),IF(AE32="x",0,V32),IF(AE33="x",0,V33),IF(AE34="x",0,V34),IF(AE35="x",0,V35),IF(AE36="x",0,V36),IF(AE37="x",0,V37),IF(AE38="x",0,V38)))</f>
        <v>0</v>
      </c>
      <c r="Z40" s="6">
        <f>(SUM(IF(AE9="x",0,Z9),IF(AE10="x",0,Z10),IF(AE11="x",0,Z11),IF(AE12="x",0,Z12),IF(AE13="x",0,Z13),IF(AE14="x",0,Z14),IF(AE15="x",0,Z15),IF(AE16="x",0,Z16),IF(AE17="x",0,Z17),IF(AE18="x",0,Z18),IF(AE29="x",0,Z29),IF(AE30="x",0,Z30),IF(AE31="x",0,Z31),IF(AE32="x",0,Z32),IF(AE33="x",0,Z33),IF(AE34="x",0,Z34),IF(AE35="x",0,Z35),IF(AE36="x",0,Z36),IF(AE37="x",0,Z37),IF(AE38="x",0,Z38)))</f>
        <v>0</v>
      </c>
      <c r="AA40" s="6">
        <f>(SUM(IF(AE9="x",0,AA9),IF(AE10="x",0,AA10),IF(AE11="x",0,AA11),IF(AE12="x",0,AA12),IF(AE13="x",0,AA13),IF(AE14="x",0,AA14),IF(AE15="x",0,AA15),IF(AE16="x",0,AA16),IF(AE17="x",0,AA17),IF(AE18="x",0,AA18),IF(AE29="x",0,AA29),IF(AE30="x",0,AA30),IF(AE31="x",0,AA31),IF(AE32="x",0,AA32),IF(AE33="x",0,AA33),IF(AE34="x",0,AA34),IF(AE35="x",0,AA35),IF(AE36="x",0,AA36),IF(AE37="x",0,AA37),IF(AE38="x",0,AA38)))</f>
        <v>0</v>
      </c>
      <c r="AE40" s="6" t="str">
        <f>IF(B41="unpaved haul road","x","")</f>
        <v/>
      </c>
    </row>
    <row r="41" spans="2:31" ht="13.5" hidden="1" customHeight="1" x14ac:dyDescent="0.25"/>
    <row r="42" spans="2:31" ht="13.5" hidden="1" customHeight="1" x14ac:dyDescent="0.25">
      <c r="D42" s="6" t="s">
        <v>169</v>
      </c>
      <c r="L42" s="175">
        <f>(SUM(IF(AE10="x",X10,0),IF(AE11="x",X11,0),IF(AE12="x",X12,0),IF(AE13="x",X13,0),IF(AE14="x",X14,0),IF(AE15="x",X15,0),IF(AE16="x",X16,0),IF(AE17="x",X17,0),IF(AE18="x",X18,0),IF(AE19="x",X19,0),IF(AE20="x",X20,0),IF(AE21="x",X21,0),IF(AE22="x",X22,0),IF(AE23="x",X23,0),IF(AE24="x",X24,0),IF(AE25="x",X25,0),IF(AE26="x",X26,0),IF(AE27="x",X27,0),IF(AE28="x",X28,0),IF(AE29="x",X29,0),IF(AE30="x",X30,0),IF(AE31="x",X31,0),IF(AE32="x",X32,0),IF(AE33="x",X33,0),IF(AE34="x",X34,0),IF(AE35="x",X35,0),IF(AE36="x",X36,0),IF(AE37="x",X37,0),IF(AE38="x",X38,0),IF(AE9="x",X9,0)))</f>
        <v>0</v>
      </c>
    </row>
    <row r="43" spans="2:31" ht="13.5" hidden="1" customHeight="1" x14ac:dyDescent="0.25">
      <c r="D43" s="6" t="s">
        <v>170</v>
      </c>
      <c r="L43" s="175">
        <f>(SUM(IF(AE10="x",0,X10),IF(AE11="x",0,X11),IF(AE12="x",0,X12),IF(AE13="x",0,X13),IF(AE14="x",0,X14),IF(AE15="x",0,X15),IF(AE16="x",0,X16),IF(AE17="x",0,X17),IF(AE18="x",0,X18),IF(AE19="x",0,X19),IF(AE20="x",0,X20),IF(AE21="x",0,X21),IF(AE22="x",0,X22),IF(AE23="x",0,X23),IF(AE24="x",0,X24),IF(AE25="x",0,X25),IF(AE26="x",0,X26),IF(AE27="x",0,X27),IF(AE28="x",0,X28),IF(AE29="x",0,X29),IF(AE30="x",0,X30),IF(AE31="x",0,X31),IF(AE32="x",0,X32),IF(AE33="x",0,X33),IF(AE34="x",0,X34),IF(AE35="x",0,X35),IF(AE36="x",0,X36),IF(AE37="x",0,X37),IF(AE38="x",0,X38),IF(AE9="x",0,X9)))</f>
        <v>0</v>
      </c>
    </row>
    <row r="44" spans="2:31" ht="13.5" hidden="1" customHeight="1" x14ac:dyDescent="0.25">
      <c r="D44" s="6" t="s">
        <v>171</v>
      </c>
      <c r="L44" s="175">
        <f>(SUM(IF(AE10="x",AC10,0),IF(AE11="x",AC11,0),IF(AE12="x",AC12,0),IF(AE13="x",AC13,0),IF(AE14="x",AC14,0),IF(AE15="x",AC15,0),IF(AE16="x",AC16,0),IF(AE17="x",AC17,0),IF(AE18="x",AC18,0),IF(AE19="x",AC19,0),IF(AE20="x",AC20,0),IF(AE21="x",AC21,0),IF(AE22="x",AC22,0),IF(AE23="x",AC23,0),IF(AE24="x",AC24,0),IF(AE25="x",AC25,0),IF(AE26="x",AC26,0),IF(AE27="x",AC27,0),IF(AE28="x",AC28,0),IF(AE29="x",AC29,0),IF(AE30="x",AC30,0),IF(AE31="x",AC31,0),IF(AE32="x",AC32,0),IF(AE33="x",AC33,0),IF(AE34="x",AC34,0),IF(AE35="x",AC35,0),IF(AE36="x",AC36,0),IF(AE37="x",AC37,0),IF(AE38="x",AC38,0),IF(AE9="x",AC9,0)))</f>
        <v>0</v>
      </c>
    </row>
    <row r="45" spans="2:31" ht="13.5" hidden="1" customHeight="1" x14ac:dyDescent="0.25">
      <c r="D45" s="6" t="s">
        <v>172</v>
      </c>
      <c r="L45" s="175">
        <f>(SUM(IF(AE10="x",0,AC10),IF(AE11="x",0,AC11),IF(AE12="x",0,AC12),IF(AE13="x",0,AC13),IF(AE14="x",0,AC14),IF(AE15="x",0,AC15),IF(AE16="x",0,AC16),IF(AE17="x",0,AC17),IF(AE18="x",0,AC18),IF(AE19="x",0,AC19),IF(AE20="x",0,AC20),IF(AE21="x",0,AC21),IF(AE22="x",0,AC22),IF(AE23="x",0,AC23),IF(AE24="x",0,AC24),IF(AE25="x",0,AC25),IF(AE26="x",0,AC26),IF(AE27="x",0,AC27),IF(AE28="x",0,AC28),IF(AE29="x",0,AC29),IF(AE30="x",0,AC30),IF(AE31="x",0,AC31),IF(AE32="x",0,AC32),IF(AE33="x",0,AC33),IF(AE34="x",0,AC34),IF(AE35="x",0,AC35),IF(AE36="x",0,AC36),IF(AE37="x",0,AC37),IF(AE38="x",0,AC38),IF(AE9="x",0,AC9)))</f>
        <v>0</v>
      </c>
    </row>
    <row r="46" spans="2:31" ht="13.5" customHeight="1" x14ac:dyDescent="0.25">
      <c r="L46" s="63"/>
    </row>
    <row r="47" spans="2:31" ht="13.5" customHeight="1" x14ac:dyDescent="0.25">
      <c r="D47" s="6" t="s">
        <v>122</v>
      </c>
      <c r="L47" s="175">
        <f>(SUM(IF(AE10="x",Y10,0),IF(AE11="x",Y11,0),IF(AE12="x",Y12,0),IF(AE13="x",Y13,0),IF(AE14="x",Y14,0),IF(AE15="x",Y15,0),IF(AE16="x",Y16,0),IF(AE17="x",Y17,0),IF(AE18="x",Y18,0),IF(AE19="x",Y19,0),IF(AE20="x",Y20,0),IF(AE21="x",Y21,0),IF(AE22="x",Y22,0),IF(AE23="x",Y23,0),IF(AE24="x",Y24,0),IF(AE25="x",Y25,0),IF(AE26="x",Y26,0),IF(AE27="x",Y27,0),IF(AE28="x",Y28,0),IF(AE29="x",Y29,0),IF(AE30="x",Y30,0),IF(AE31="x",Y31,0),IF(AE32="x",Y32,0),IF(AE33="x",Y33,0),IF(AE34="x",Y34,0),IF(AE35="x",Y35,0),IF(AE36="x",Y36,0),IF(AE37="x",Y37,0),IF(AE38="x",Y38,0),IF(AE9="x",Y9,0)))</f>
        <v>0</v>
      </c>
    </row>
    <row r="48" spans="2:31" ht="13.5" customHeight="1" x14ac:dyDescent="0.25">
      <c r="D48" s="6" t="s">
        <v>123</v>
      </c>
      <c r="L48" s="175">
        <f>(SUM(IF(AE10="x",0,Y10),IF(AE11="x",0,Y11),IF(AE12="x",0,Y12),IF(AE13="x",0,Y13),IF(AE14="x",0,Y14),IF(AE15="x",0,Y15),IF(AE16="x",0,Y16),IF(AE17="x",0,Y17),IF(AE18="x",0,Y18),IF(AE19="x",0,Y19),IF(AE20="x",0,Y20),IF(AE21="x",0,Y21),IF(AE22="x",0,Y22),IF(AE23="x",0,Y23),IF(AE24="x",0,Y24),IF(AE25="x",0,Y25),IF(AE26="x",0,Y26),IF(AE27="x",0,Y27),IF(AE28="x",0,Y28),IF(AE29="x",0,Y29),IF(AE30="x",0,Y30),IF(AE31="x",0,Y31),IF(AE32="x",0,Y32),IF(AE33="x",0,Y33),IF(AE34="x",0,Y34),IF(AE35="x",0,Y35),IF(AE36="x",0,Y36),IF(AE37="x",0,Y37),IF(AE38="x",0,Y38),IF(AE9="x",0,Y9)))</f>
        <v>0</v>
      </c>
    </row>
    <row r="49" spans="4:12" ht="13.5" customHeight="1" x14ac:dyDescent="0.25">
      <c r="D49" s="6" t="s">
        <v>124</v>
      </c>
      <c r="L49" s="175">
        <f>(SUM(IF(AE10="x",AD10,0),IF(AE11="x",AD11,0),IF(AE12="x",AD12,0),IF(AE13="x",AD13,0),IF(AE14="x",AD14,0),IF(AE15="x",AD15,0),IF(AE16="x",AD16,0),IF(AE17="x",AD17,0),IF(AE18="x",AD18,0),IF(AE19="x",AD19,0),IF(AE20="x",AD20,0),IF(AE21="x",AD21,0),IF(AE22="x",AD22,0),IF(AE23="x",AD23,0),IF(AE24="x",AD24,0),IF(AE25="x",AD25,0),IF(AE26="x",AD26,0),IF(AE27="x",AD27,0),IF(AE28="x",AD28,0),IF(AE29="x",AD29,0),IF(AE30="x",AD30,0),IF(AE31="x",AD31,0),IF(AE32="x",AD32,0),IF(AE33="x",AD33,0),IF(AE34="x",AD34,0),IF(AE35="x",AD35,0),IF(AE36="x",AD36,0),IF(AE37="x",AD37,0),IF(AE38="x",AD38,0),IF(AE9="x",AD9,0)))</f>
        <v>0</v>
      </c>
    </row>
    <row r="50" spans="4:12" ht="13.5" customHeight="1" x14ac:dyDescent="0.25">
      <c r="D50" s="6" t="s">
        <v>125</v>
      </c>
      <c r="L50" s="175">
        <f>(SUM(IF(AE10="x",0,AD10),IF(AE11="x",0,AD11),IF(AE12="x",0,AD12),IF(AE13="x",0,AD13),IF(AE14="x",0,AD14),IF(AE15="x",0,AD15),IF(AE16="x",0,AD16),IF(AE17="x",0,AD17),IF(AE18="x",0,AD18),IF(AE19="x",0,AD19),IF(AE20="x",0,AD20),IF(AE21="x",0,AD21),IF(AE22="x",0,AD22),IF(AE23="x",0,AD23),IF(AE24="x",0,AD24),IF(AE25="x",0,AD25),IF(AE26="x",0,AD26),IF(AE27="x",0,AD27),IF(AE28="x",0,AD28),IF(AE29="x",0,AD29),IF(AE30="x",0,AD30),IF(AE31="x",0,AD31),IF(AE32="x",0,AD32),IF(AE33="x",0,AD33),IF(AE34="x",0,AD34),IF(AE35="x",0,AD35),IF(AE36="x",0,AD36),IF(AE37="x",0,AD37),IF(AE38="x",0,AD38),IF(AE9="x",0,AD9)))</f>
        <v>0</v>
      </c>
    </row>
  </sheetData>
  <sheetProtection algorithmName="SHA-512" hashValue="2WAtdM5KyNP2/Y/8pfoqcue8UuZxFZdOR0U9S/jxp5mMaCck2U+nKagETkOE9Q1rCB/GNawe4y7vofVQD+i4sw==" saltValue="pJVOopn3RPXvkSjNfYyezA==" spinCount="100000" sheet="1"/>
  <conditionalFormatting sqref="T9">
    <cfRule type="notContainsBlanks" dxfId="89" priority="88" stopIfTrue="1">
      <formula>LEN(TRIM(T9))&gt;0</formula>
    </cfRule>
    <cfRule type="cellIs" dxfId="88" priority="135" stopIfTrue="1" operator="notEqual">
      <formula>$B9="Paved Haul Road"</formula>
    </cfRule>
    <cfRule type="cellIs" dxfId="87" priority="155" stopIfTrue="1" operator="notEqual">
      <formula>$B9="Unpaved Haul Road"</formula>
    </cfRule>
  </conditionalFormatting>
  <conditionalFormatting sqref="T10">
    <cfRule type="notContainsBlanks" dxfId="86" priority="85" stopIfTrue="1">
      <formula>LEN(TRIM(T10))&gt;0</formula>
    </cfRule>
    <cfRule type="cellIs" dxfId="85" priority="86" stopIfTrue="1" operator="notEqual">
      <formula>$B10="Paved Haul Road"</formula>
    </cfRule>
    <cfRule type="cellIs" dxfId="84" priority="87" stopIfTrue="1" operator="notEqual">
      <formula>$B10="Unpaved Haul Road"</formula>
    </cfRule>
  </conditionalFormatting>
  <conditionalFormatting sqref="T11">
    <cfRule type="notContainsBlanks" dxfId="83" priority="82" stopIfTrue="1">
      <formula>LEN(TRIM(T11))&gt;0</formula>
    </cfRule>
    <cfRule type="cellIs" dxfId="82" priority="83" stopIfTrue="1" operator="notEqual">
      <formula>$B11="Paved Haul Road"</formula>
    </cfRule>
    <cfRule type="cellIs" dxfId="81" priority="84" stopIfTrue="1" operator="notEqual">
      <formula>$B11="Unpaved Haul Road"</formula>
    </cfRule>
  </conditionalFormatting>
  <conditionalFormatting sqref="T12">
    <cfRule type="notContainsBlanks" dxfId="80" priority="79" stopIfTrue="1">
      <formula>LEN(TRIM(T12))&gt;0</formula>
    </cfRule>
    <cfRule type="cellIs" dxfId="79" priority="80" stopIfTrue="1" operator="notEqual">
      <formula>$B12="Paved Haul Road"</formula>
    </cfRule>
    <cfRule type="cellIs" dxfId="78" priority="81" stopIfTrue="1" operator="notEqual">
      <formula>$B12="Unpaved Haul Road"</formula>
    </cfRule>
  </conditionalFormatting>
  <conditionalFormatting sqref="T13">
    <cfRule type="notContainsBlanks" dxfId="77" priority="76" stopIfTrue="1">
      <formula>LEN(TRIM(T13))&gt;0</formula>
    </cfRule>
    <cfRule type="cellIs" dxfId="76" priority="77" stopIfTrue="1" operator="notEqual">
      <formula>$B13="Paved Haul Road"</formula>
    </cfRule>
    <cfRule type="cellIs" dxfId="75" priority="78" stopIfTrue="1" operator="notEqual">
      <formula>$B13="Unpaved Haul Road"</formula>
    </cfRule>
  </conditionalFormatting>
  <conditionalFormatting sqref="T14">
    <cfRule type="notContainsBlanks" dxfId="74" priority="73" stopIfTrue="1">
      <formula>LEN(TRIM(T14))&gt;0</formula>
    </cfRule>
    <cfRule type="cellIs" dxfId="73" priority="74" stopIfTrue="1" operator="notEqual">
      <formula>$B14="Paved Haul Road"</formula>
    </cfRule>
    <cfRule type="cellIs" dxfId="72" priority="75" stopIfTrue="1" operator="notEqual">
      <formula>$B14="Unpaved Haul Road"</formula>
    </cfRule>
  </conditionalFormatting>
  <conditionalFormatting sqref="T15">
    <cfRule type="notContainsBlanks" dxfId="71" priority="70" stopIfTrue="1">
      <formula>LEN(TRIM(T15))&gt;0</formula>
    </cfRule>
    <cfRule type="cellIs" dxfId="70" priority="71" stopIfTrue="1" operator="notEqual">
      <formula>$B15="Paved Haul Road"</formula>
    </cfRule>
    <cfRule type="cellIs" dxfId="69" priority="72" stopIfTrue="1" operator="notEqual">
      <formula>$B15="Unpaved Haul Road"</formula>
    </cfRule>
  </conditionalFormatting>
  <conditionalFormatting sqref="T16">
    <cfRule type="notContainsBlanks" dxfId="68" priority="67" stopIfTrue="1">
      <formula>LEN(TRIM(T16))&gt;0</formula>
    </cfRule>
    <cfRule type="cellIs" dxfId="67" priority="68" stopIfTrue="1" operator="notEqual">
      <formula>$B16="Paved Haul Road"</formula>
    </cfRule>
    <cfRule type="cellIs" dxfId="66" priority="69" stopIfTrue="1" operator="notEqual">
      <formula>$B16="Unpaved Haul Road"</formula>
    </cfRule>
  </conditionalFormatting>
  <conditionalFormatting sqref="T17">
    <cfRule type="notContainsBlanks" dxfId="65" priority="64" stopIfTrue="1">
      <formula>LEN(TRIM(T17))&gt;0</formula>
    </cfRule>
    <cfRule type="cellIs" dxfId="64" priority="65" stopIfTrue="1" operator="notEqual">
      <formula>$B17="Paved Haul Road"</formula>
    </cfRule>
    <cfRule type="cellIs" dxfId="63" priority="66" stopIfTrue="1" operator="notEqual">
      <formula>$B17="Unpaved Haul Road"</formula>
    </cfRule>
  </conditionalFormatting>
  <conditionalFormatting sqref="T18">
    <cfRule type="notContainsBlanks" dxfId="62" priority="61" stopIfTrue="1">
      <formula>LEN(TRIM(T18))&gt;0</formula>
    </cfRule>
    <cfRule type="cellIs" dxfId="61" priority="62" stopIfTrue="1" operator="notEqual">
      <formula>$B18="Paved Haul Road"</formula>
    </cfRule>
    <cfRule type="cellIs" dxfId="60" priority="63" stopIfTrue="1" operator="notEqual">
      <formula>$B18="Unpaved Haul Road"</formula>
    </cfRule>
  </conditionalFormatting>
  <conditionalFormatting sqref="T29">
    <cfRule type="notContainsBlanks" dxfId="59" priority="58" stopIfTrue="1">
      <formula>LEN(TRIM(T29))&gt;0</formula>
    </cfRule>
    <cfRule type="cellIs" dxfId="58" priority="59" stopIfTrue="1" operator="notEqual">
      <formula>$B29="Paved Haul Road"</formula>
    </cfRule>
    <cfRule type="cellIs" dxfId="57" priority="60" stopIfTrue="1" operator="notEqual">
      <formula>$B29="Unpaved Haul Road"</formula>
    </cfRule>
  </conditionalFormatting>
  <conditionalFormatting sqref="T30">
    <cfRule type="notContainsBlanks" dxfId="56" priority="55" stopIfTrue="1">
      <formula>LEN(TRIM(T30))&gt;0</formula>
    </cfRule>
    <cfRule type="cellIs" dxfId="55" priority="56" stopIfTrue="1" operator="notEqual">
      <formula>$B30="Paved Haul Road"</formula>
    </cfRule>
    <cfRule type="cellIs" dxfId="54" priority="57" stopIfTrue="1" operator="notEqual">
      <formula>$B30="Unpaved Haul Road"</formula>
    </cfRule>
  </conditionalFormatting>
  <conditionalFormatting sqref="T31">
    <cfRule type="notContainsBlanks" dxfId="53" priority="52" stopIfTrue="1">
      <formula>LEN(TRIM(T31))&gt;0</formula>
    </cfRule>
    <cfRule type="cellIs" dxfId="52" priority="53" stopIfTrue="1" operator="notEqual">
      <formula>$B31="Paved Haul Road"</formula>
    </cfRule>
    <cfRule type="cellIs" dxfId="51" priority="54" stopIfTrue="1" operator="notEqual">
      <formula>$B31="Unpaved Haul Road"</formula>
    </cfRule>
  </conditionalFormatting>
  <conditionalFormatting sqref="T32">
    <cfRule type="notContainsBlanks" dxfId="50" priority="49" stopIfTrue="1">
      <formula>LEN(TRIM(T32))&gt;0</formula>
    </cfRule>
    <cfRule type="cellIs" dxfId="49" priority="50" stopIfTrue="1" operator="notEqual">
      <formula>$B32="Paved Haul Road"</formula>
    </cfRule>
    <cfRule type="cellIs" dxfId="48" priority="51" stopIfTrue="1" operator="notEqual">
      <formula>$B32="Unpaved Haul Road"</formula>
    </cfRule>
  </conditionalFormatting>
  <conditionalFormatting sqref="T33">
    <cfRule type="notContainsBlanks" dxfId="47" priority="46" stopIfTrue="1">
      <formula>LEN(TRIM(T33))&gt;0</formula>
    </cfRule>
    <cfRule type="cellIs" dxfId="46" priority="47" stopIfTrue="1" operator="notEqual">
      <formula>$B33="Paved Haul Road"</formula>
    </cfRule>
    <cfRule type="cellIs" dxfId="45" priority="48" stopIfTrue="1" operator="notEqual">
      <formula>$B33="Unpaved Haul Road"</formula>
    </cfRule>
  </conditionalFormatting>
  <conditionalFormatting sqref="T34">
    <cfRule type="notContainsBlanks" dxfId="44" priority="43" stopIfTrue="1">
      <formula>LEN(TRIM(T34))&gt;0</formula>
    </cfRule>
    <cfRule type="cellIs" dxfId="43" priority="44" stopIfTrue="1" operator="notEqual">
      <formula>$B34="Paved Haul Road"</formula>
    </cfRule>
    <cfRule type="cellIs" dxfId="42" priority="45" stopIfTrue="1" operator="notEqual">
      <formula>$B34="Unpaved Haul Road"</formula>
    </cfRule>
  </conditionalFormatting>
  <conditionalFormatting sqref="T35">
    <cfRule type="notContainsBlanks" dxfId="41" priority="40" stopIfTrue="1">
      <formula>LEN(TRIM(T35))&gt;0</formula>
    </cfRule>
    <cfRule type="cellIs" dxfId="40" priority="41" stopIfTrue="1" operator="notEqual">
      <formula>$B35="Paved Haul Road"</formula>
    </cfRule>
    <cfRule type="cellIs" dxfId="39" priority="42" stopIfTrue="1" operator="notEqual">
      <formula>$B35="Unpaved Haul Road"</formula>
    </cfRule>
  </conditionalFormatting>
  <conditionalFormatting sqref="T36">
    <cfRule type="notContainsBlanks" dxfId="38" priority="37" stopIfTrue="1">
      <formula>LEN(TRIM(T36))&gt;0</formula>
    </cfRule>
    <cfRule type="cellIs" dxfId="37" priority="38" stopIfTrue="1" operator="notEqual">
      <formula>$B36="Paved Haul Road"</formula>
    </cfRule>
    <cfRule type="cellIs" dxfId="36" priority="39" stopIfTrue="1" operator="notEqual">
      <formula>$B36="Unpaved Haul Road"</formula>
    </cfRule>
  </conditionalFormatting>
  <conditionalFormatting sqref="T37">
    <cfRule type="notContainsBlanks" dxfId="35" priority="34" stopIfTrue="1">
      <formula>LEN(TRIM(T37))&gt;0</formula>
    </cfRule>
    <cfRule type="cellIs" dxfId="34" priority="35" stopIfTrue="1" operator="notEqual">
      <formula>$B37="Paved Haul Road"</formula>
    </cfRule>
    <cfRule type="cellIs" dxfId="33" priority="36" stopIfTrue="1" operator="notEqual">
      <formula>$B37="Unpaved Haul Road"</formula>
    </cfRule>
  </conditionalFormatting>
  <conditionalFormatting sqref="T38">
    <cfRule type="notContainsBlanks" dxfId="32" priority="31" stopIfTrue="1">
      <formula>LEN(TRIM(T38))&gt;0</formula>
    </cfRule>
    <cfRule type="cellIs" dxfId="31" priority="32" stopIfTrue="1" operator="notEqual">
      <formula>$B38="Paved Haul Road"</formula>
    </cfRule>
    <cfRule type="cellIs" dxfId="30" priority="33" stopIfTrue="1" operator="notEqual">
      <formula>$B38="Unpaved Haul Road"</formula>
    </cfRule>
  </conditionalFormatting>
  <conditionalFormatting sqref="T19">
    <cfRule type="notContainsBlanks" dxfId="29" priority="28" stopIfTrue="1">
      <formula>LEN(TRIM(T19))&gt;0</formula>
    </cfRule>
    <cfRule type="cellIs" dxfId="28" priority="29" stopIfTrue="1" operator="notEqual">
      <formula>$B19="Paved Haul Road"</formula>
    </cfRule>
    <cfRule type="cellIs" dxfId="27" priority="30" stopIfTrue="1" operator="notEqual">
      <formula>$B19="Unpaved Haul Road"</formula>
    </cfRule>
  </conditionalFormatting>
  <conditionalFormatting sqref="T20">
    <cfRule type="notContainsBlanks" dxfId="26" priority="25" stopIfTrue="1">
      <formula>LEN(TRIM(T20))&gt;0</formula>
    </cfRule>
    <cfRule type="cellIs" dxfId="25" priority="26" stopIfTrue="1" operator="notEqual">
      <formula>$B20="Paved Haul Road"</formula>
    </cfRule>
    <cfRule type="cellIs" dxfId="24" priority="27" stopIfTrue="1" operator="notEqual">
      <formula>$B20="Unpaved Haul Road"</formula>
    </cfRule>
  </conditionalFormatting>
  <conditionalFormatting sqref="T21">
    <cfRule type="notContainsBlanks" dxfId="23" priority="22" stopIfTrue="1">
      <formula>LEN(TRIM(T21))&gt;0</formula>
    </cfRule>
    <cfRule type="cellIs" dxfId="22" priority="23" stopIfTrue="1" operator="notEqual">
      <formula>$B21="Paved Haul Road"</formula>
    </cfRule>
    <cfRule type="cellIs" dxfId="21" priority="24" stopIfTrue="1" operator="notEqual">
      <formula>$B21="Unpaved Haul Road"</formula>
    </cfRule>
  </conditionalFormatting>
  <conditionalFormatting sqref="T22">
    <cfRule type="notContainsBlanks" dxfId="20" priority="19" stopIfTrue="1">
      <formula>LEN(TRIM(T22))&gt;0</formula>
    </cfRule>
    <cfRule type="cellIs" dxfId="19" priority="20" stopIfTrue="1" operator="notEqual">
      <formula>$B22="Paved Haul Road"</formula>
    </cfRule>
    <cfRule type="cellIs" dxfId="18" priority="21" stopIfTrue="1" operator="notEqual">
      <formula>$B22="Unpaved Haul Road"</formula>
    </cfRule>
  </conditionalFormatting>
  <conditionalFormatting sqref="T23">
    <cfRule type="notContainsBlanks" dxfId="17" priority="16" stopIfTrue="1">
      <formula>LEN(TRIM(T23))&gt;0</formula>
    </cfRule>
    <cfRule type="cellIs" dxfId="16" priority="17" stopIfTrue="1" operator="notEqual">
      <formula>$B23="Paved Haul Road"</formula>
    </cfRule>
    <cfRule type="cellIs" dxfId="15" priority="18" stopIfTrue="1" operator="notEqual">
      <formula>$B23="Unpaved Haul Road"</formula>
    </cfRule>
  </conditionalFormatting>
  <conditionalFormatting sqref="T24">
    <cfRule type="notContainsBlanks" dxfId="14" priority="13" stopIfTrue="1">
      <formula>LEN(TRIM(T24))&gt;0</formula>
    </cfRule>
    <cfRule type="cellIs" dxfId="13" priority="14" stopIfTrue="1" operator="notEqual">
      <formula>$B24="Paved Haul Road"</formula>
    </cfRule>
    <cfRule type="cellIs" dxfId="12" priority="15" stopIfTrue="1" operator="notEqual">
      <formula>$B24="Unpaved Haul Road"</formula>
    </cfRule>
  </conditionalFormatting>
  <conditionalFormatting sqref="T25">
    <cfRule type="notContainsBlanks" dxfId="11" priority="10" stopIfTrue="1">
      <formula>LEN(TRIM(T25))&gt;0</formula>
    </cfRule>
    <cfRule type="cellIs" dxfId="10" priority="11" stopIfTrue="1" operator="notEqual">
      <formula>$B25="Paved Haul Road"</formula>
    </cfRule>
    <cfRule type="cellIs" dxfId="9" priority="12" stopIfTrue="1" operator="notEqual">
      <formula>$B25="Unpaved Haul Road"</formula>
    </cfRule>
  </conditionalFormatting>
  <conditionalFormatting sqref="T26">
    <cfRule type="notContainsBlanks" dxfId="8" priority="7" stopIfTrue="1">
      <formula>LEN(TRIM(T26))&gt;0</formula>
    </cfRule>
    <cfRule type="cellIs" dxfId="7" priority="8" stopIfTrue="1" operator="notEqual">
      <formula>$B26="Paved Haul Road"</formula>
    </cfRule>
    <cfRule type="cellIs" dxfId="6" priority="9" stopIfTrue="1" operator="notEqual">
      <formula>$B26="Unpaved Haul Road"</formula>
    </cfRule>
  </conditionalFormatting>
  <conditionalFormatting sqref="T27">
    <cfRule type="notContainsBlanks" dxfId="5" priority="4" stopIfTrue="1">
      <formula>LEN(TRIM(T27))&gt;0</formula>
    </cfRule>
    <cfRule type="cellIs" dxfId="4" priority="5" stopIfTrue="1" operator="notEqual">
      <formula>$B27="Paved Haul Road"</formula>
    </cfRule>
    <cfRule type="cellIs" dxfId="3" priority="6" stopIfTrue="1" operator="notEqual">
      <formula>$B27="Unpaved Haul Road"</formula>
    </cfRule>
  </conditionalFormatting>
  <conditionalFormatting sqref="T28">
    <cfRule type="notContainsBlanks" dxfId="2" priority="1" stopIfTrue="1">
      <formula>LEN(TRIM(T28))&gt;0</formula>
    </cfRule>
    <cfRule type="cellIs" dxfId="1" priority="2" stopIfTrue="1" operator="notEqual">
      <formula>$B28="Paved Haul Road"</formula>
    </cfRule>
    <cfRule type="cellIs" dxfId="0" priority="3" stopIfTrue="1" operator="notEqual">
      <formula>$B28="Unpaved Haul Road"</formula>
    </cfRule>
  </conditionalFormatting>
  <dataValidations count="3">
    <dataValidation type="list" allowBlank="1" showInputMessage="1" showErrorMessage="1" sqref="B9:B38" xr:uid="{00000000-0002-0000-0B00-000000000000}">
      <formula1>RoadType</formula1>
    </dataValidation>
    <dataValidation type="list" allowBlank="1" showInputMessage="1" showErrorMessage="1" sqref="T9:T38" xr:uid="{00000000-0002-0000-0B00-000001000000}">
      <formula1>control</formula1>
    </dataValidation>
    <dataValidation type="list" allowBlank="1" showInputMessage="1" showErrorMessage="1" sqref="E9:E38" xr:uid="{00000000-0002-0000-0B00-000002000000}">
      <formula1>PlantNumber</formula1>
    </dataValidation>
  </dataValidations>
  <pageMargins left="0.7" right="0.7" top="0.75" bottom="0.75" header="0.3" footer="0.3"/>
  <pageSetup scale="71" orientation="landscape" verticalDpi="300" r:id="rId1"/>
  <ignoredErrors>
    <ignoredError sqref="R29:S38 R9:S18 R19:S28"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BC77"/>
  <sheetViews>
    <sheetView topLeftCell="C1" workbookViewId="0">
      <selection activeCell="C1" sqref="C1"/>
    </sheetView>
  </sheetViews>
  <sheetFormatPr defaultColWidth="8.85546875" defaultRowHeight="15" x14ac:dyDescent="0.25"/>
  <cols>
    <col min="1" max="1" width="11.28515625" style="6" hidden="1" customWidth="1"/>
    <col min="2" max="2" width="12.42578125" style="6" hidden="1" customWidth="1"/>
    <col min="3" max="3" width="10.140625" style="6" customWidth="1"/>
    <col min="4" max="4" width="8.42578125" style="6" customWidth="1"/>
    <col min="5" max="5" width="8.140625" style="6" customWidth="1"/>
    <col min="6" max="6" width="27.28515625" style="6" customWidth="1"/>
    <col min="7" max="7" width="10.85546875" style="6" customWidth="1"/>
    <col min="8" max="8" width="12.42578125" style="6" customWidth="1"/>
    <col min="9" max="9" width="11.42578125" style="6" customWidth="1"/>
    <col min="10" max="10" width="12.42578125" style="6" customWidth="1"/>
    <col min="11" max="11" width="8.28515625" style="6" hidden="1" customWidth="1"/>
    <col min="12" max="12" width="10.42578125" style="6" customWidth="1"/>
    <col min="13" max="13" width="14.140625" style="6" customWidth="1"/>
    <col min="14" max="14" width="19.7109375" style="6" customWidth="1"/>
    <col min="15" max="15" width="13.85546875" style="6" customWidth="1"/>
    <col min="16" max="16" width="13.28515625" style="6" customWidth="1"/>
    <col min="17" max="17" width="12" style="6" customWidth="1"/>
    <col min="18" max="18" width="14.42578125" style="6" customWidth="1"/>
    <col min="19" max="19" width="20.85546875" style="6" customWidth="1"/>
    <col min="20" max="20" width="16.42578125" style="6" customWidth="1"/>
    <col min="21" max="21" width="16.7109375" style="6" hidden="1" customWidth="1"/>
    <col min="22" max="22" width="13.42578125" style="6" hidden="1" customWidth="1"/>
    <col min="23" max="23" width="13.85546875" style="6" hidden="1" customWidth="1"/>
    <col min="24" max="24" width="10.28515625" style="6" bestFit="1" customWidth="1"/>
    <col min="25" max="25" width="8.42578125" style="6" hidden="1" customWidth="1"/>
    <col min="26" max="26" width="10.7109375" style="6" hidden="1" customWidth="1"/>
    <col min="27" max="27" width="9.28515625" style="6" customWidth="1"/>
    <col min="28" max="28" width="10.7109375" style="6" customWidth="1"/>
    <col min="29" max="29" width="8.7109375" style="6" hidden="1" customWidth="1"/>
    <col min="30" max="30" width="10.85546875" style="6" hidden="1" customWidth="1"/>
    <col min="31" max="31" width="8.85546875" style="6" customWidth="1"/>
    <col min="32" max="32" width="10.7109375" style="6" customWidth="1"/>
    <col min="33" max="33" width="9" style="6" hidden="1" customWidth="1"/>
    <col min="34" max="34" width="10.7109375" style="6" hidden="1" customWidth="1"/>
    <col min="35" max="35" width="8.42578125" style="6" customWidth="1"/>
    <col min="36" max="36" width="11.140625" style="6" customWidth="1"/>
    <col min="37" max="37" width="8.42578125" style="6" hidden="1" customWidth="1"/>
    <col min="38" max="38" width="11.28515625" style="6" hidden="1" customWidth="1"/>
    <col min="39" max="39" width="12.42578125" style="6" customWidth="1"/>
    <col min="40" max="40" width="10.85546875" style="6" customWidth="1"/>
    <col min="41" max="42" width="8.85546875" style="6" hidden="1" customWidth="1"/>
    <col min="43" max="43" width="8.85546875" style="6"/>
    <col min="44" max="44" width="10.7109375" style="6" customWidth="1"/>
    <col min="45" max="46" width="8.85546875" style="6" hidden="1" customWidth="1"/>
    <col min="47" max="47" width="8.85546875" style="6"/>
    <col min="48" max="48" width="12" style="6" customWidth="1"/>
    <col min="49" max="50" width="8.85546875" style="6" hidden="1" customWidth="1"/>
    <col min="51" max="51" width="10.42578125" style="6" bestFit="1" customWidth="1"/>
    <col min="52" max="52" width="10.28515625" style="6" customWidth="1"/>
    <col min="53" max="54" width="8.85546875" style="6" hidden="1" customWidth="1"/>
    <col min="55" max="16384" width="8.85546875" style="6"/>
  </cols>
  <sheetData>
    <row r="1" spans="1:55" ht="18.75" x14ac:dyDescent="0.3">
      <c r="C1" s="319" t="s">
        <v>116</v>
      </c>
      <c r="D1" s="319"/>
      <c r="E1" s="319"/>
      <c r="F1" s="319"/>
      <c r="G1" s="12"/>
      <c r="H1" s="12"/>
      <c r="I1" s="12"/>
      <c r="J1" s="12"/>
      <c r="K1" s="12"/>
      <c r="L1" s="12"/>
      <c r="M1" s="13"/>
      <c r="N1" s="13"/>
      <c r="O1" s="12"/>
      <c r="P1" s="12"/>
      <c r="Q1" s="12"/>
      <c r="R1" s="12"/>
      <c r="S1" s="12"/>
    </row>
    <row r="2" spans="1:55" x14ac:dyDescent="0.25">
      <c r="C2" s="248" t="s">
        <v>32</v>
      </c>
      <c r="D2" s="248"/>
      <c r="E2" s="248"/>
      <c r="F2" s="248"/>
      <c r="G2" s="248"/>
      <c r="H2" s="193"/>
      <c r="I2" s="12"/>
      <c r="J2" s="12"/>
      <c r="K2" s="12"/>
      <c r="L2" s="12"/>
      <c r="M2" s="13"/>
      <c r="N2" s="13"/>
      <c r="O2" s="12"/>
      <c r="P2" s="12"/>
      <c r="Q2" s="12"/>
      <c r="R2" s="12"/>
      <c r="S2" s="12"/>
    </row>
    <row r="3" spans="1:55" ht="18.75" customHeight="1" x14ac:dyDescent="0.3">
      <c r="C3" s="128"/>
      <c r="D3" s="128"/>
      <c r="E3" s="128"/>
      <c r="F3" s="128"/>
      <c r="G3" s="12"/>
      <c r="H3" s="12"/>
      <c r="I3" s="12"/>
      <c r="J3" s="12"/>
      <c r="K3" s="12"/>
      <c r="L3" s="12"/>
      <c r="M3" s="13"/>
      <c r="N3" s="13"/>
      <c r="O3" s="12"/>
      <c r="P3" s="12"/>
      <c r="Q3" s="12"/>
      <c r="R3" s="12"/>
      <c r="S3" s="12"/>
    </row>
    <row r="4" spans="1:55" ht="15.75" customHeight="1" x14ac:dyDescent="0.25">
      <c r="C4" s="14"/>
      <c r="D4" s="14"/>
      <c r="E4" s="14"/>
      <c r="F4" s="47" t="s">
        <v>78</v>
      </c>
      <c r="G4" s="30"/>
      <c r="H4" s="50" t="s">
        <v>62</v>
      </c>
      <c r="I4" s="112"/>
      <c r="J4" s="112"/>
      <c r="K4" s="112"/>
      <c r="L4" s="29"/>
      <c r="M4" s="28"/>
      <c r="N4" s="28"/>
      <c r="O4" s="28"/>
      <c r="P4" s="12"/>
      <c r="Q4" s="12"/>
      <c r="R4" s="12"/>
      <c r="S4" s="12"/>
      <c r="X4" s="237" t="s">
        <v>244</v>
      </c>
      <c r="Y4" s="13"/>
      <c r="Z4" s="326"/>
      <c r="AA4" s="326"/>
      <c r="AB4" s="237" t="s">
        <v>16</v>
      </c>
      <c r="AC4" s="326"/>
      <c r="AD4" s="326"/>
      <c r="AE4" s="326"/>
      <c r="AF4" s="237" t="s">
        <v>3</v>
      </c>
      <c r="AG4" s="326"/>
      <c r="AH4" s="326"/>
      <c r="AI4" s="326"/>
      <c r="AJ4" s="237" t="s">
        <v>4</v>
      </c>
      <c r="AK4" s="326"/>
      <c r="AL4" s="326"/>
      <c r="AM4" s="326"/>
      <c r="AN4" s="237" t="s">
        <v>5</v>
      </c>
      <c r="AO4" s="326"/>
      <c r="AP4" s="326"/>
      <c r="AQ4" s="326"/>
      <c r="AR4" s="327" t="s">
        <v>6</v>
      </c>
      <c r="AS4" s="326"/>
      <c r="AT4" s="326"/>
      <c r="AU4" s="326"/>
      <c r="AV4" s="327" t="s">
        <v>8</v>
      </c>
      <c r="AW4" s="326"/>
      <c r="AX4" s="326"/>
      <c r="AY4" s="326"/>
      <c r="AZ4" s="327" t="s">
        <v>60</v>
      </c>
      <c r="BA4" s="326"/>
      <c r="BB4" s="326"/>
      <c r="BC4" s="326"/>
    </row>
    <row r="5" spans="1:55" ht="15.75" x14ac:dyDescent="0.25">
      <c r="C5" s="14"/>
      <c r="D5" s="14"/>
      <c r="E5" s="14"/>
      <c r="F5" s="28"/>
      <c r="G5" s="28"/>
      <c r="H5" s="28"/>
      <c r="I5" s="28"/>
      <c r="J5" s="28"/>
      <c r="K5" s="28"/>
      <c r="L5" s="28"/>
      <c r="M5" s="28"/>
      <c r="N5" s="28"/>
      <c r="O5" s="28"/>
      <c r="P5" s="12"/>
      <c r="Q5" s="12"/>
      <c r="R5" s="12"/>
      <c r="S5" s="12"/>
      <c r="X5" s="238" t="s">
        <v>245</v>
      </c>
      <c r="Y5" s="239" t="s">
        <v>248</v>
      </c>
      <c r="Z5" s="237" t="s">
        <v>248</v>
      </c>
      <c r="AA5" s="328" t="s">
        <v>231</v>
      </c>
      <c r="AB5" s="238" t="s">
        <v>245</v>
      </c>
      <c r="AC5" s="237" t="s">
        <v>248</v>
      </c>
      <c r="AD5" s="237" t="s">
        <v>248</v>
      </c>
      <c r="AE5" s="328" t="s">
        <v>231</v>
      </c>
      <c r="AF5" s="238" t="s">
        <v>245</v>
      </c>
      <c r="AG5" s="237" t="s">
        <v>248</v>
      </c>
      <c r="AH5" s="237" t="s">
        <v>248</v>
      </c>
      <c r="AI5" s="237" t="s">
        <v>231</v>
      </c>
      <c r="AJ5" s="238" t="s">
        <v>245</v>
      </c>
      <c r="AK5" s="237" t="s">
        <v>248</v>
      </c>
      <c r="AL5" s="237" t="s">
        <v>248</v>
      </c>
      <c r="AM5" s="237" t="s">
        <v>231</v>
      </c>
      <c r="AN5" s="238" t="s">
        <v>245</v>
      </c>
      <c r="AO5" s="237" t="s">
        <v>248</v>
      </c>
      <c r="AP5" s="237" t="s">
        <v>248</v>
      </c>
      <c r="AQ5" s="328" t="s">
        <v>231</v>
      </c>
      <c r="AR5" s="329" t="s">
        <v>245</v>
      </c>
      <c r="AS5" s="327" t="s">
        <v>248</v>
      </c>
      <c r="AT5" s="327" t="s">
        <v>248</v>
      </c>
      <c r="AU5" s="327" t="s">
        <v>231</v>
      </c>
      <c r="AV5" s="329" t="s">
        <v>245</v>
      </c>
      <c r="AW5" s="327" t="s">
        <v>248</v>
      </c>
      <c r="AX5" s="327" t="s">
        <v>248</v>
      </c>
      <c r="AY5" s="327" t="s">
        <v>231</v>
      </c>
      <c r="AZ5" s="329" t="s">
        <v>245</v>
      </c>
      <c r="BA5" s="237" t="s">
        <v>248</v>
      </c>
      <c r="BB5" s="237" t="s">
        <v>248</v>
      </c>
      <c r="BC5" s="237" t="s">
        <v>231</v>
      </c>
    </row>
    <row r="6" spans="1:55" ht="15" customHeight="1" x14ac:dyDescent="0.25">
      <c r="C6" s="227" t="s">
        <v>208</v>
      </c>
      <c r="D6" s="320" t="s">
        <v>245</v>
      </c>
      <c r="E6" s="235" t="s">
        <v>245</v>
      </c>
      <c r="F6" s="235" t="s">
        <v>264</v>
      </c>
      <c r="G6" s="235" t="s">
        <v>266</v>
      </c>
      <c r="H6" s="241" t="s">
        <v>267</v>
      </c>
      <c r="I6" s="235" t="s">
        <v>269</v>
      </c>
      <c r="J6" s="235" t="s">
        <v>270</v>
      </c>
      <c r="K6" s="235" t="s">
        <v>174</v>
      </c>
      <c r="L6" s="235" t="s">
        <v>272</v>
      </c>
      <c r="M6" s="235" t="s">
        <v>274</v>
      </c>
      <c r="N6" s="235"/>
      <c r="O6" s="235" t="s">
        <v>276</v>
      </c>
      <c r="P6" s="235" t="s">
        <v>278</v>
      </c>
      <c r="Q6" s="235" t="s">
        <v>280</v>
      </c>
      <c r="R6" s="235" t="s">
        <v>282</v>
      </c>
      <c r="S6" s="235" t="str">
        <f>'Facility Information'!B52&amp;" Annual Throughput "</f>
        <v xml:space="preserve"> Annual Throughput </v>
      </c>
      <c r="T6" s="235" t="s">
        <v>224</v>
      </c>
      <c r="U6" s="6" t="s">
        <v>73</v>
      </c>
      <c r="X6" s="238" t="s">
        <v>246</v>
      </c>
      <c r="Y6" s="330" t="s">
        <v>258</v>
      </c>
      <c r="Z6" s="238" t="s">
        <v>258</v>
      </c>
      <c r="AA6" s="331" t="s">
        <v>258</v>
      </c>
      <c r="AB6" s="238" t="s">
        <v>246</v>
      </c>
      <c r="AC6" s="238" t="s">
        <v>258</v>
      </c>
      <c r="AD6" s="238" t="s">
        <v>258</v>
      </c>
      <c r="AE6" s="331" t="s">
        <v>258</v>
      </c>
      <c r="AF6" s="238" t="s">
        <v>246</v>
      </c>
      <c r="AG6" s="238" t="s">
        <v>258</v>
      </c>
      <c r="AH6" s="238" t="s">
        <v>258</v>
      </c>
      <c r="AI6" s="238" t="s">
        <v>258</v>
      </c>
      <c r="AJ6" s="238" t="s">
        <v>246</v>
      </c>
      <c r="AK6" s="238" t="s">
        <v>258</v>
      </c>
      <c r="AL6" s="238" t="s">
        <v>258</v>
      </c>
      <c r="AM6" s="238" t="s">
        <v>258</v>
      </c>
      <c r="AN6" s="238" t="s">
        <v>246</v>
      </c>
      <c r="AO6" s="238" t="s">
        <v>258</v>
      </c>
      <c r="AP6" s="238" t="s">
        <v>258</v>
      </c>
      <c r="AQ6" s="331" t="s">
        <v>258</v>
      </c>
      <c r="AR6" s="329" t="s">
        <v>246</v>
      </c>
      <c r="AS6" s="329" t="s">
        <v>258</v>
      </c>
      <c r="AT6" s="329" t="s">
        <v>258</v>
      </c>
      <c r="AU6" s="329" t="s">
        <v>258</v>
      </c>
      <c r="AV6" s="329" t="s">
        <v>246</v>
      </c>
      <c r="AW6" s="329" t="s">
        <v>258</v>
      </c>
      <c r="AX6" s="329" t="s">
        <v>258</v>
      </c>
      <c r="AY6" s="329" t="s">
        <v>258</v>
      </c>
      <c r="AZ6" s="329" t="s">
        <v>246</v>
      </c>
      <c r="BA6" s="238" t="s">
        <v>258</v>
      </c>
      <c r="BB6" s="238" t="s">
        <v>258</v>
      </c>
      <c r="BC6" s="238" t="s">
        <v>258</v>
      </c>
    </row>
    <row r="7" spans="1:55" s="322" customFormat="1" x14ac:dyDescent="0.25">
      <c r="C7" s="228" t="s">
        <v>260</v>
      </c>
      <c r="D7" s="323" t="s">
        <v>261</v>
      </c>
      <c r="E7" s="236" t="s">
        <v>262</v>
      </c>
      <c r="F7" s="236" t="s">
        <v>265</v>
      </c>
      <c r="G7" s="236" t="s">
        <v>203</v>
      </c>
      <c r="H7" s="241" t="s">
        <v>268</v>
      </c>
      <c r="I7" s="236" t="s">
        <v>268</v>
      </c>
      <c r="J7" s="236" t="s">
        <v>271</v>
      </c>
      <c r="K7" s="236"/>
      <c r="L7" s="236" t="s">
        <v>273</v>
      </c>
      <c r="M7" s="236" t="s">
        <v>275</v>
      </c>
      <c r="N7" s="236" t="s">
        <v>176</v>
      </c>
      <c r="O7" s="236" t="s">
        <v>277</v>
      </c>
      <c r="P7" s="236" t="s">
        <v>279</v>
      </c>
      <c r="Q7" s="236" t="s">
        <v>281</v>
      </c>
      <c r="R7" s="236" t="s">
        <v>283</v>
      </c>
      <c r="S7" s="236" t="s">
        <v>284</v>
      </c>
      <c r="T7" s="236" t="s">
        <v>285</v>
      </c>
      <c r="U7" s="324" t="s">
        <v>263</v>
      </c>
      <c r="V7" s="322" t="s">
        <v>114</v>
      </c>
      <c r="W7" s="322" t="s">
        <v>113</v>
      </c>
      <c r="X7" s="240" t="s">
        <v>286</v>
      </c>
      <c r="Y7" s="332" t="s">
        <v>251</v>
      </c>
      <c r="Z7" s="240" t="s">
        <v>254</v>
      </c>
      <c r="AA7" s="333" t="s">
        <v>254</v>
      </c>
      <c r="AB7" s="240" t="s">
        <v>286</v>
      </c>
      <c r="AC7" s="240" t="s">
        <v>251</v>
      </c>
      <c r="AD7" s="240" t="s">
        <v>254</v>
      </c>
      <c r="AE7" s="333" t="s">
        <v>254</v>
      </c>
      <c r="AF7" s="240" t="s">
        <v>286</v>
      </c>
      <c r="AG7" s="240" t="s">
        <v>251</v>
      </c>
      <c r="AH7" s="240" t="s">
        <v>254</v>
      </c>
      <c r="AI7" s="240" t="s">
        <v>254</v>
      </c>
      <c r="AJ7" s="240" t="s">
        <v>286</v>
      </c>
      <c r="AK7" s="240" t="s">
        <v>251</v>
      </c>
      <c r="AL7" s="240" t="s">
        <v>254</v>
      </c>
      <c r="AM7" s="240" t="s">
        <v>254</v>
      </c>
      <c r="AN7" s="240" t="s">
        <v>286</v>
      </c>
      <c r="AO7" s="240" t="s">
        <v>251</v>
      </c>
      <c r="AP7" s="240" t="s">
        <v>254</v>
      </c>
      <c r="AQ7" s="333" t="s">
        <v>254</v>
      </c>
      <c r="AR7" s="334" t="s">
        <v>286</v>
      </c>
      <c r="AS7" s="334" t="s">
        <v>251</v>
      </c>
      <c r="AT7" s="334" t="s">
        <v>254</v>
      </c>
      <c r="AU7" s="334" t="s">
        <v>254</v>
      </c>
      <c r="AV7" s="334" t="s">
        <v>286</v>
      </c>
      <c r="AW7" s="334" t="s">
        <v>251</v>
      </c>
      <c r="AX7" s="334" t="s">
        <v>254</v>
      </c>
      <c r="AY7" s="334" t="s">
        <v>254</v>
      </c>
      <c r="AZ7" s="334" t="s">
        <v>286</v>
      </c>
      <c r="BA7" s="240" t="s">
        <v>251</v>
      </c>
      <c r="BB7" s="240" t="s">
        <v>254</v>
      </c>
      <c r="BC7" s="240" t="s">
        <v>254</v>
      </c>
    </row>
    <row r="8" spans="1:55" x14ac:dyDescent="0.25">
      <c r="A8" s="6" t="s">
        <v>113</v>
      </c>
      <c r="B8" s="6" t="str">
        <f t="shared" ref="B8:B13" si="0">IF(F8="Diesel Generator&gt; 600 bhp","yes","no")</f>
        <v>no</v>
      </c>
      <c r="C8" s="321"/>
      <c r="D8" s="44"/>
      <c r="E8" s="44"/>
      <c r="F8" s="45"/>
      <c r="G8" s="44"/>
      <c r="H8" s="46"/>
      <c r="I8" s="46"/>
      <c r="J8" s="147"/>
      <c r="K8" s="46">
        <f>IF(B8="no",1,IF(J8="",0.5,J8))</f>
        <v>1</v>
      </c>
      <c r="L8" s="46"/>
      <c r="M8" s="46"/>
      <c r="N8" s="46"/>
      <c r="O8" s="46"/>
      <c r="P8" s="46"/>
      <c r="Q8" s="46"/>
      <c r="R8" s="49" t="str">
        <f t="shared" ref="R8:R13" si="1">IF(Q8="","",Q8*0.14)</f>
        <v/>
      </c>
      <c r="S8" s="46"/>
      <c r="T8" s="48" t="str">
        <f t="shared" ref="T8:T13" si="2">IF(S8="","",S8*0.14)</f>
        <v/>
      </c>
      <c r="V8" s="170">
        <f t="shared" ref="V8:V28" si="3">IF(B8="no",H8*Q8*0.14,"")</f>
        <v>0</v>
      </c>
      <c r="W8" s="170" t="str">
        <f t="shared" ref="W8:W28" si="4">IF(B8="yes",H8*Q8*0.14,"")</f>
        <v/>
      </c>
      <c r="X8" s="325" t="str">
        <f>IF(F8="","",IF(B8="no",'Emission Factors'!$D$43,'Emission Factors'!$D$44))</f>
        <v/>
      </c>
      <c r="Y8" s="325" t="str">
        <f>IF(F8="","",X8*R8)</f>
        <v/>
      </c>
      <c r="Z8" s="325" t="str">
        <f>IF(F8="","",IF(I8&gt;0,I8*0.14*X8/2000,IF(H8&gt;0,X8*R8*H8/2000,Y8*8760/2000)))</f>
        <v/>
      </c>
      <c r="AA8" s="325" t="str">
        <f>IF(F8="","",T8*X8/2000)</f>
        <v/>
      </c>
      <c r="AB8" s="325" t="str">
        <f>IF(F8="","",IF(B8="no",'Emission Factors'!$F$43,'Emission Factors'!$F$44))</f>
        <v/>
      </c>
      <c r="AC8" s="325" t="str">
        <f>IF(F8="","",AB8*R8)</f>
        <v/>
      </c>
      <c r="AD8" s="325" t="str">
        <f>IF(F8="","",IF(I8&gt;0,I8*0.14*AB8/2000,IF(H8&gt;0,AB8*R8*H8/2000,AC8*8760/2000)))</f>
        <v/>
      </c>
      <c r="AE8" s="325" t="str">
        <f>IF(F8="","",T8*AB8/2000)</f>
        <v/>
      </c>
      <c r="AF8" s="325" t="str">
        <f>IF(F8="","",IF(B8="no",'Emission Factors'!$H$43,'Emission Factors'!$H$44))</f>
        <v/>
      </c>
      <c r="AG8" s="325" t="str">
        <f>IF(F8="","",IF(C8="LP-1",IF('Limestone Plant (LP-1)'!$F$12&gt;0,'Limestone Plant (LP-1)'!$F$12,AF8*R8*K8),IF(C8="LP-2",IF('Limestone Plant (LP-2)'!$F$12&gt;0,'Limestone Plant (LP-2)'!$F$12,AF8*R8*K8),IF(C8="LP-3",IF('Limestone Plant (LP-3)'!$F$12&gt;0,'Limestone Plant (LP-3)'!$F$12,AF8*R8*K8),IF(C8="LP-4",IF('Limestone Plant (LP-4)'!$F$12&gt;0,'Limestone Plant (LP-4)'!$F$12,AF8*R8*K8),IF(C8="LP-5",IF('Limestone Plant (LP-5)'!$F$12&gt;0,'Limestone Plant (LP-5)'!$F$12,AF8*R8*K8),IF(C8="LP-6",IF('Limestone Plant (LP-6)'!$F$12&gt;0,'Limestone Plant (LP-6)'!$F$12,AF8*R8*K8),IF(C8="LP-7",IF('Limestone Plant (LP-7)'!$F$12&gt;0,'Limestone Plant (LP-7)'!$F$12,AF8*R8*K8),IF(C8="LP-8",IF('Limestone Plant (LP-8)'!$F$12&gt;0,'Limestone Plant (LP-8)'!$F$12,AF8*R8*K8),IF(C8="LP-9",IF('Limestone Plant (LP-9)'!$F$12&gt;0,'Limestone Plant (LP-9)'!$F$12,AF8*R8*K8),IF(C8="LP-10",IF('Limestone Plant (LP-10)'!$F$12&gt;0,'Limestone Plant (LP-10)'!$F$12,AF8*R8*K8))))))))))))</f>
        <v/>
      </c>
      <c r="AH8" s="325" t="str">
        <f>IF(F8="","",IF(AF8=1.01,IF(I8&gt;0,I8*0.14*AF8*K8/2000,IF(H8&gt;0,AF8*K8*R8*H8/2000,AG8*8760/2000)),IF(I8&gt;0,I8*0.14*AF8/2000,IF(H8&gt;0,AF8*R8*H8/2000,AG8*8760/2000))))</f>
        <v/>
      </c>
      <c r="AI8" s="325" t="str">
        <f>IF(F8="","",IF(AF8=1.01,IF($G$4="",T8*AF8*K8/2000,T8*AF8*$G$4/2000),AF8*T8/2000))</f>
        <v/>
      </c>
      <c r="AJ8" s="325" t="str">
        <f>IF(F8="","",IF(B8="no",'Emission Factors'!$J$43,'Emission Factors'!$J$44))</f>
        <v/>
      </c>
      <c r="AK8" s="325" t="str">
        <f>IF(F8="","",IF(C8="LP-1",IF('Limestone Plant (LP-1)'!$F$13&gt;0,'Limestone Plant (LP-1)'!$F$13,AJ8*R8),IF(C8="LP-2",IF('Limestone Plant (LP-2)'!$F$13&gt;0,'Limestone Plant (LP-2)'!$F$13,AJ8*R8),IF(C8="LP-3",IF('Limestone Plant (LP-3)'!$F$13&gt;0,'Limestone Plant (LP-3)'!$F$13,AJ8*R8),IF(C8="LP-4",IF('Limestone Plant (LP-4)'!$F$13&gt;0,'Limestone Plant (LP-4)'!$F$13,AJ8*R8),IF(C8="LP-5",IF('Limestone Plant (LP-5)'!$F$13&gt;0,'Limestone Plant (LP-5)'!$F$13,AJ8*R8),IF(C8="LP-6",IF('Limestone Plant (LP-6)'!$F$13&gt;0,'Limestone Plant (LP-6)'!$F$13,AJ8*R8),IF(C8="LP-7",IF('Limestone Plant (LP-7)'!$F$13&gt;0,'Limestone Plant (LP-7)'!$F$13,AJ8*R8),IF(C8="LP-8",IF('Limestone Plant (LP-8)'!$F$13&gt;0,'Limestone Plant (LP-8)'!$F$13,AJ8*R8),IF(C8="LP-9",IF('Limestone Plant (LP-9)'!$F$13&gt;0,'Limestone Plant (LP-9)'!$F$13,AJ8*R8),IF(C8="LP-10",IF('Limestone Plant (LP-10)'!$F$13&gt;0,'Limestone Plant (LP-10)'!$F$13,AJ8*R8))))))))))))</f>
        <v/>
      </c>
      <c r="AL8" s="325" t="str">
        <f>IF(F8="","",IF(I8&gt;0,I8*0.14*AJ8/2000,IF(H8&gt;0,AJ8*R8*H8/2000,AK8*8760/2000)))</f>
        <v/>
      </c>
      <c r="AM8" s="325" t="str">
        <f>IF(F8="","",T8*AJ8/2000)</f>
        <v/>
      </c>
      <c r="AN8" s="325" t="str">
        <f>IF(F8="","",IF(B8="no",'Emission Factors'!$L$43,'Emission Factors'!$L$44))</f>
        <v/>
      </c>
      <c r="AO8" s="325" t="str">
        <f>IF(F8="","",IF(C8="LP-1",IF('Limestone Plant (LP-1)'!$F$14&gt;0,'Limestone Plant (LP-1)'!$F$14,AN8*R8),IF(C8="LP-2",IF('Limestone Plant (LP-2)'!$F$14&gt;0,'Limestone Plant (LP-2)'!$F$14,AN8*R8),IF(C8="LP-3",IF('Limestone Plant (LP-3)'!$F$14&gt;0,'Limestone Plant (LP-3)'!$F$14,AN8*R8),IF(C8="LP-4",IF('Limestone Plant (LP-4)'!$F$14&gt;0,'Limestone Plant (LP-4)'!$F$14,AN8*R8),IF(C8="LP-5",IF('Limestone Plant (LP-5)'!$F$14&gt;0,'Limestone Plant (LP-5)'!$F$14,AN8*R8),IF(C8="LP-6",IF('Limestone Plant (LP-6)'!$F$14&gt;0,'Limestone Plant (LP-6)'!$F$14,AN8*R8),IF(C8="LP-7",IF('Limestone Plant (LP-7)'!$F$14&gt;0,'Limestone Plant (LP-7)'!$F$14,AN8*R8),IF(C8="LP-8",IF('Limestone Plant (LP-8)'!$F$14&gt;0,'Limestone Plant (LP-8)'!$F$14,AN8*R8),IF(C8="LP-9",IF('Limestone Plant (LP-9)'!$F$14&gt;0,'Limestone Plant (LP-9)'!$F$14,AN8*R8),IF(C8="LP-10",IF('Limestone Plant (LP-10)'!$F$14&gt;0,'Limestone Plant (LP-10)'!$F$14,AN8*R8))))))))))))</f>
        <v/>
      </c>
      <c r="AP8" s="325" t="str">
        <f>IF(F8="","",IF(I8&gt;0,I8*0.14*AN8/2000,IF(H8&gt;0,AN8*R8*H8/2000,AO8*8760/2000)))</f>
        <v/>
      </c>
      <c r="AQ8" s="325" t="str">
        <f>IF(F8="","",T8*AN8/2000)</f>
        <v/>
      </c>
      <c r="AR8" s="325" t="str">
        <f>IF(F8="","",IF(B8="no",'Emission Factors'!$N$43,'Emission Factors'!$N$44))</f>
        <v/>
      </c>
      <c r="AS8" s="325" t="str">
        <f>IF(F8="","",IF(C8="LP-1",IF('Limestone Plant (LP-1)'!$F$15&gt;0,'Limestone Plant (LP-1)'!$F$15,AR8*R8),IF(C8="LP-2",IF('Limestone Plant (LP-2)'!$F$15&gt;0,'Limestone Plant (LP-2)'!$F$15,AR8*R8),IF(C8="LP-3",IF('Limestone Plant (LP-3)'!$F$15&gt;0,'Limestone Plant (LP-3)'!$F$15,AR8*R8),IF(C8="LP-4",IF('Limestone Plant (LP-4)'!$F$15&gt;0,'Limestone Plant (LP-4)'!$F$15,AR8*R8),IF(C8="LP-5",IF('Limestone Plant (LP-5)'!$F$15&gt;0,'Limestone Plant (LP-5)'!$F$15,AR8*R8),IF(C8="LP-6",IF('Limestone Plant (LP-6)'!$F$15&gt;0,'Limestone Plant (LP-6)'!$F$15,AR8*R8),IF(C8="LP-7",IF('Limestone Plant (LP-7)'!$F$15&gt;0,'Limestone Plant (LP-7)'!$F$15,AR8*R8),IF(C8="LP-8",IF('Limestone Plant (LP-8)'!$F$15&gt;0,'Limestone Plant (LP-8)'!$F$15,AR8*R8),IF(C8="LP-9",IF('Limestone Plant (LP-9)'!$F$15&gt;0,'Limestone Plant (LP-9)'!$F$15,AR8*R8),IF(C8="LP-10",IF('Limestone Plant (LP-10)'!$F$15&gt;0,'Limestone Plant (LP-10)'!$F$15,AR8*R8))))))))))))</f>
        <v/>
      </c>
      <c r="AT8" s="325" t="str">
        <f>IF(F8="","",IF(I8&gt;0,I8*0.14*AR8/2000,IF(H8&gt;0,AR8*R8*H8/2000,AS8*8760/2000)))</f>
        <v/>
      </c>
      <c r="AU8" s="325" t="str">
        <f>IF(F8="","",T8*AR8/2000)</f>
        <v/>
      </c>
      <c r="AV8" s="325" t="str">
        <f>IF(F8="","",IF(B8="no",'Emission Factors'!$P$43,'Emission Factors'!$P$44))</f>
        <v/>
      </c>
      <c r="AW8" s="325" t="str">
        <f>IF(F8="","",AV8*R8)</f>
        <v/>
      </c>
      <c r="AX8" s="325" t="str">
        <f>IF(F8="","",IF(I8&gt;0,I8*0.14*AV8/2000,IF(H8&gt;0,AV8*R8*H8/2000,AW8*8760/2000)))</f>
        <v/>
      </c>
      <c r="AY8" s="325" t="str">
        <f>IF(F8="","",T8*AV8/2000)</f>
        <v/>
      </c>
      <c r="AZ8" s="325" t="str">
        <f>IF(F8="","",IF(B8="no",'Emission Factors'!$R$43,'Emission Factors'!$R$44))</f>
        <v/>
      </c>
      <c r="BA8" s="325" t="str">
        <f>IF(F8="","",AZ8*R8)</f>
        <v/>
      </c>
      <c r="BB8" s="325" t="str">
        <f>IF(F8="","",IF(I8&gt;0,I8*0.14*AZ8/2000,IF(H8&gt;0,AZ8*R8*H8/2000,BA8*8760/2000)))</f>
        <v/>
      </c>
      <c r="BC8" s="325" t="str">
        <f>IF(F8="","",T8*AZ8/2000)</f>
        <v/>
      </c>
    </row>
    <row r="9" spans="1:55" x14ac:dyDescent="0.25">
      <c r="B9" s="6" t="str">
        <f t="shared" si="0"/>
        <v>no</v>
      </c>
      <c r="C9" s="44"/>
      <c r="D9" s="44"/>
      <c r="E9" s="44"/>
      <c r="F9" s="45"/>
      <c r="G9" s="44"/>
      <c r="H9" s="46"/>
      <c r="I9" s="46"/>
      <c r="J9" s="147"/>
      <c r="K9" s="46">
        <f t="shared" ref="K9:K49" si="5">IF(B9="no",1,IF(J9="",0.5,J9))</f>
        <v>1</v>
      </c>
      <c r="L9" s="46"/>
      <c r="M9" s="46"/>
      <c r="N9" s="46"/>
      <c r="O9" s="46"/>
      <c r="P9" s="46"/>
      <c r="Q9" s="46"/>
      <c r="R9" s="49" t="str">
        <f t="shared" si="1"/>
        <v/>
      </c>
      <c r="S9" s="46"/>
      <c r="T9" s="48" t="str">
        <f t="shared" si="2"/>
        <v/>
      </c>
      <c r="U9" s="170"/>
      <c r="V9" s="170">
        <f t="shared" si="3"/>
        <v>0</v>
      </c>
      <c r="W9" s="170" t="str">
        <f t="shared" si="4"/>
        <v/>
      </c>
      <c r="X9" s="48" t="str">
        <f>IF(F9="","",IF(B9="no",'Emission Factors'!$D$43,'Emission Factors'!$D$44))</f>
        <v/>
      </c>
      <c r="Y9" s="48" t="str">
        <f t="shared" ref="Y9:Y28" si="6">IF(F9="","",X9*R9)</f>
        <v/>
      </c>
      <c r="Z9" s="48" t="str">
        <f t="shared" ref="Z9:Z28" si="7">IF(F9="","",IF(I9&gt;0,I9*0.14*X9/2000,IF(H9&gt;0,X9*R9*H9/2000,Y9*8760/2000)))</f>
        <v/>
      </c>
      <c r="AA9" s="48" t="str">
        <f t="shared" ref="AA9:AA28" si="8">IF(F9="","",T9*X9/2000)</f>
        <v/>
      </c>
      <c r="AB9" s="48" t="str">
        <f>IF(F9="","",IF(B9="no",'Emission Factors'!$F$43,'Emission Factors'!$F$44))</f>
        <v/>
      </c>
      <c r="AC9" s="48" t="str">
        <f t="shared" ref="AC9:AC28" si="9">IF(F9="","",AB9*R9)</f>
        <v/>
      </c>
      <c r="AD9" s="48" t="str">
        <f t="shared" ref="AD9:AD28" si="10">IF(F9="","",IF(I9&gt;0,I9*0.14*AB9/2000,IF(H9&gt;0,AB9*R9*H9/2000,AC9*8760/2000)))</f>
        <v/>
      </c>
      <c r="AE9" s="48" t="str">
        <f t="shared" ref="AE9:AE28" si="11">IF(F9="","",T9*AB9/2000)</f>
        <v/>
      </c>
      <c r="AF9" s="48" t="str">
        <f>IF(F9="","",IF(B9="no",'Emission Factors'!$H$43,'Emission Factors'!$H$44))</f>
        <v/>
      </c>
      <c r="AG9" s="48" t="str">
        <f>IF(F9="","",IF(C9="LP-1",IF('Limestone Plant (LP-1)'!$F$12&gt;0,'Limestone Plant (LP-1)'!$F$12,AF9*R9*K9),IF(C9="LP-2",IF('Limestone Plant (LP-2)'!$F$12&gt;0,'Limestone Plant (LP-2)'!$F$12,AF9*R9*K9),IF(C9="LP-3",IF('Limestone Plant (LP-3)'!$F$12&gt;0,'Limestone Plant (LP-3)'!$F$12,AF9*R9*K9),IF(C9="LP-4",IF('Limestone Plant (LP-4)'!$F$12&gt;0,'Limestone Plant (LP-4)'!$F$12,AF9*R9*K9),IF(C9="LP-5",IF('Limestone Plant (LP-5)'!$F$12&gt;0,'Limestone Plant (LP-5)'!$F$12,AF9*R9*K9),IF(C9="LP-6",IF('Limestone Plant (LP-6)'!$F$12&gt;0,'Limestone Plant (LP-6)'!$F$12,AF9*R9*K9),IF(C9="LP-7",IF('Limestone Plant (LP-7)'!$F$12&gt;0,'Limestone Plant (LP-7)'!$F$12,AF9*R9*K9),IF(C9="LP-8",IF('Limestone Plant (LP-8)'!$F$12&gt;0,'Limestone Plant (LP-8)'!$F$12,AF9*R9*K9),IF(C9="LP-9",IF('Limestone Plant (LP-9)'!$F$12&gt;0,'Limestone Plant (LP-9)'!$F$12,AF9*R9*K9),IF(C9="LP-10",IF('Limestone Plant (LP-10)'!$F$12&gt;0,'Limestone Plant (LP-10)'!$F$12,AF9*R9*K9))))))))))))</f>
        <v/>
      </c>
      <c r="AH9" s="48" t="str">
        <f t="shared" ref="AH9:AH49" si="12">IF(F9="","",IF(AF9=1.01,IF(I9&gt;0,I9*0.14*AF9*K9/2000,IF(H9&gt;0,AF9*K9*R9*H9/2000,AG9*8760/2000)),IF(I9&gt;0,I9*0.14*AF9/2000,IF(H9&gt;0,AF9*R9*H9/2000,AG9*8760/2000))))</f>
        <v/>
      </c>
      <c r="AI9" s="48" t="str">
        <f t="shared" ref="AI9:AI49" si="13">IF(F9="","",IF(AF9=1.01,IF($G$4="",T9*AF9*K9/2000,T9*AF9*$G$4/2000),AF9*T9/2000))</f>
        <v/>
      </c>
      <c r="AJ9" s="48" t="str">
        <f>IF(F9="","",IF(B9="no",'Emission Factors'!$J$43,'Emission Factors'!$J$44))</f>
        <v/>
      </c>
      <c r="AK9" s="48" t="str">
        <f>IF(F9="","",IF(C9="LP-1",IF('Limestone Plant (LP-1)'!$F$13&gt;0,'Limestone Plant (LP-1)'!$F$13,AJ9*R9),IF(C9="LP-2",IF('Limestone Plant (LP-2)'!$F$13&gt;0,'Limestone Plant (LP-2)'!$F$13,AJ9*R9),IF(C9="LP-3",IF('Limestone Plant (LP-3)'!$F$13&gt;0,'Limestone Plant (LP-3)'!$F$13,AJ9*R9),IF(C9="LP-4",IF('Limestone Plant (LP-4)'!$F$13&gt;0,'Limestone Plant (LP-4)'!$F$13,AJ9*R9),IF(C9="LP-5",IF('Limestone Plant (LP-5)'!$F$13&gt;0,'Limestone Plant (LP-5)'!$F$13,AJ9*R9),IF(C9="LP-6",IF('Limestone Plant (LP-6)'!$F$13&gt;0,'Limestone Plant (LP-6)'!$F$13,AJ9*R9),IF(C9="LP-7",IF('Limestone Plant (LP-7)'!$F$13&gt;0,'Limestone Plant (LP-7)'!$F$13,AJ9*R9),IF(C9="LP-8",IF('Limestone Plant (LP-8)'!$F$13&gt;0,'Limestone Plant (LP-8)'!$F$13,AJ9*R9),IF(C9="LP-9",IF('Limestone Plant (LP-9)'!$F$13&gt;0,'Limestone Plant (LP-9)'!$F$13,AJ9*R9),IF(C9="LP-10",IF('Limestone Plant (LP-10)'!$F$13&gt;0,'Limestone Plant (LP-10)'!$F$13,AJ9*R9))))))))))))</f>
        <v/>
      </c>
      <c r="AL9" s="48" t="str">
        <f t="shared" ref="AL9:AL28" si="14">IF(F9="","",IF(I9&gt;0,I9*0.14*AJ9/2000,IF(H9&gt;0,AJ9*R9*H9/2000,AK9*8760/2000)))</f>
        <v/>
      </c>
      <c r="AM9" s="48" t="str">
        <f t="shared" ref="AM9:AM28" si="15">IF(F9="","",T9*AJ9/2000)</f>
        <v/>
      </c>
      <c r="AN9" s="48" t="str">
        <f>IF(F9="","",IF(B9="no",'Emission Factors'!$L$43,'Emission Factors'!$L$44))</f>
        <v/>
      </c>
      <c r="AO9" s="48" t="str">
        <f>IF(F9="","",IF(C9="LP-1",IF('Limestone Plant (LP-1)'!$F$14&gt;0,'Limestone Plant (LP-1)'!$F$14,AN9*R9),IF(C9="LP-2",IF('Limestone Plant (LP-2)'!$F$14&gt;0,'Limestone Plant (LP-2)'!$F$14,AN9*R9),IF(C9="LP-3",IF('Limestone Plant (LP-3)'!$F$14&gt;0,'Limestone Plant (LP-3)'!$F$14,AN9*R9),IF(C9="LP-4",IF('Limestone Plant (LP-4)'!$F$14&gt;0,'Limestone Plant (LP-4)'!$F$14,AN9*R9),IF(C9="LP-5",IF('Limestone Plant (LP-5)'!$F$14&gt;0,'Limestone Plant (LP-5)'!$F$14,AN9*R9),IF(C9="LP-6",IF('Limestone Plant (LP-6)'!$F$14&gt;0,'Limestone Plant (LP-6)'!$F$14,AN9*R9),IF(C9="LP-7",IF('Limestone Plant (LP-7)'!$F$14&gt;0,'Limestone Plant (LP-7)'!$F$14,AN9*R9),IF(C9="LP-8",IF('Limestone Plant (LP-8)'!$F$14&gt;0,'Limestone Plant (LP-8)'!$F$14,AN9*R9),IF(C9="LP-9",IF('Limestone Plant (LP-9)'!$F$14&gt;0,'Limestone Plant (LP-9)'!$F$14,AN9*R9),IF(C9="LP-10",IF('Limestone Plant (LP-10)'!$F$14&gt;0,'Limestone Plant (LP-10)'!$F$14,AN9*R9))))))))))))</f>
        <v/>
      </c>
      <c r="AP9" s="48" t="str">
        <f t="shared" ref="AP9:AP28" si="16">IF(F9="","",IF(I9&gt;0,I9*0.14*AN9/2000,IF(H9&gt;0,AN9*R9*H9/2000,AO9*8760/2000)))</f>
        <v/>
      </c>
      <c r="AQ9" s="48" t="str">
        <f t="shared" ref="AQ9:AQ28" si="17">IF(F9="","",T9*AN9/2000)</f>
        <v/>
      </c>
      <c r="AR9" s="48" t="str">
        <f>IF(F9="","",IF(B9="no",'Emission Factors'!$N$43,'Emission Factors'!$N$44))</f>
        <v/>
      </c>
      <c r="AS9" s="48" t="str">
        <f>IF(F9="","",IF(C9="LP-1",IF('Limestone Plant (LP-1)'!$F$15&gt;0,'Limestone Plant (LP-1)'!$F$15,AR9*R9),IF(C9="LP-2",IF('Limestone Plant (LP-2)'!$F$15&gt;0,'Limestone Plant (LP-2)'!$F$15,AR9*R9),IF(C9="LP-3",IF('Limestone Plant (LP-3)'!$F$15&gt;0,'Limestone Plant (LP-3)'!$F$15,AR9*R9),IF(C9="LP-4",IF('Limestone Plant (LP-4)'!$F$15&gt;0,'Limestone Plant (LP-4)'!$F$15,AR9*R9),IF(C9="LP-5",IF('Limestone Plant (LP-5)'!$F$15&gt;0,'Limestone Plant (LP-5)'!$F$15,AR9*R9),IF(C9="LP-6",IF('Limestone Plant (LP-6)'!$F$15&gt;0,'Limestone Plant (LP-6)'!$F$15,AR9*R9),IF(C9="LP-7",IF('Limestone Plant (LP-7)'!$F$15&gt;0,'Limestone Plant (LP-7)'!$F$15,AR9*R9),IF(C9="LP-8",IF('Limestone Plant (LP-8)'!$F$15&gt;0,'Limestone Plant (LP-8)'!$F$15,AR9*R9),IF(C9="LP-9",IF('Limestone Plant (LP-9)'!$F$15&gt;0,'Limestone Plant (LP-9)'!$F$15,AR9*R9),IF(C9="LP-10",IF('Limestone Plant (LP-10)'!$F$15&gt;0,'Limestone Plant (LP-10)'!$F$15,AR9*R9))))))))))))</f>
        <v/>
      </c>
      <c r="AT9" s="48" t="str">
        <f t="shared" ref="AT9:AT28" si="18">IF(F9="","",IF(I9&gt;0,I9*0.14*AR9/2000,IF(H9&gt;0,AR9*R9*H9/2000,AS9*8760/2000)))</f>
        <v/>
      </c>
      <c r="AU9" s="48" t="str">
        <f t="shared" ref="AU9:AU27" si="19">IF(F9="","",T9*AR9/2000)</f>
        <v/>
      </c>
      <c r="AV9" s="48" t="str">
        <f>IF(F9="","",IF(B9="no",'Emission Factors'!$P$43,'Emission Factors'!$P$44))</f>
        <v/>
      </c>
      <c r="AW9" s="48" t="str">
        <f t="shared" ref="AW9:AW28" si="20">IF(F9="","",AV9*R9)</f>
        <v/>
      </c>
      <c r="AX9" s="48" t="str">
        <f t="shared" ref="AX9:AX28" si="21">IF(F9="","",IF(I9&gt;0,I9*0.14*AV9/2000,IF(H9&gt;0,AV9*R9*H9/2000,AW9*8760/2000)))</f>
        <v/>
      </c>
      <c r="AY9" s="48" t="str">
        <f t="shared" ref="AY9:AY28" si="22">IF(F9="","",T9*AV9/2000)</f>
        <v/>
      </c>
      <c r="AZ9" s="48" t="str">
        <f>IF(F9="","",IF(B9="no",'Emission Factors'!$R$43,'Emission Factors'!$R$44))</f>
        <v/>
      </c>
      <c r="BA9" s="48" t="str">
        <f t="shared" ref="BA9:BA28" si="23">IF(F9="","",AZ9*R9)</f>
        <v/>
      </c>
      <c r="BB9" s="48" t="str">
        <f t="shared" ref="BB9:BB28" si="24">IF(F9="","",IF(I9&gt;0,I9*0.14*AZ9/2000,IF(H9&gt;0,AZ9*R9*H9/2000,BA9*8760/2000)))</f>
        <v/>
      </c>
      <c r="BC9" s="48" t="str">
        <f t="shared" ref="BC9:BC28" si="25">IF(F9="","",T9*AZ9/2000)</f>
        <v/>
      </c>
    </row>
    <row r="10" spans="1:55" x14ac:dyDescent="0.25">
      <c r="A10" s="6" t="str">
        <f>IF('Facility Information'!$C$21&gt;0,"LP-1","")</f>
        <v/>
      </c>
      <c r="B10" s="6" t="str">
        <f t="shared" si="0"/>
        <v>no</v>
      </c>
      <c r="C10" s="44"/>
      <c r="D10" s="44"/>
      <c r="E10" s="44"/>
      <c r="F10" s="45"/>
      <c r="G10" s="44"/>
      <c r="H10" s="46"/>
      <c r="I10" s="46"/>
      <c r="J10" s="147"/>
      <c r="K10" s="46">
        <f t="shared" si="5"/>
        <v>1</v>
      </c>
      <c r="L10" s="46"/>
      <c r="M10" s="46"/>
      <c r="N10" s="46"/>
      <c r="O10" s="46"/>
      <c r="P10" s="46"/>
      <c r="Q10" s="46"/>
      <c r="R10" s="49" t="str">
        <f t="shared" si="1"/>
        <v/>
      </c>
      <c r="S10" s="46"/>
      <c r="T10" s="48" t="str">
        <f t="shared" si="2"/>
        <v/>
      </c>
      <c r="U10" s="170"/>
      <c r="V10" s="170">
        <f t="shared" si="3"/>
        <v>0</v>
      </c>
      <c r="W10" s="170" t="str">
        <f t="shared" si="4"/>
        <v/>
      </c>
      <c r="X10" s="48" t="str">
        <f>IF(F10="","",IF(B10="no",'Emission Factors'!$D$43,'Emission Factors'!$D$44))</f>
        <v/>
      </c>
      <c r="Y10" s="48" t="str">
        <f t="shared" si="6"/>
        <v/>
      </c>
      <c r="Z10" s="48" t="str">
        <f t="shared" si="7"/>
        <v/>
      </c>
      <c r="AA10" s="48" t="str">
        <f t="shared" si="8"/>
        <v/>
      </c>
      <c r="AB10" s="48" t="str">
        <f>IF(F10="","",IF(B10="no",'Emission Factors'!$F$43,'Emission Factors'!$F$44))</f>
        <v/>
      </c>
      <c r="AC10" s="48" t="str">
        <f t="shared" si="9"/>
        <v/>
      </c>
      <c r="AD10" s="48" t="str">
        <f t="shared" si="10"/>
        <v/>
      </c>
      <c r="AE10" s="48" t="str">
        <f t="shared" si="11"/>
        <v/>
      </c>
      <c r="AF10" s="48" t="str">
        <f>IF(F10="","",IF(B10="no",'Emission Factors'!$H$43,'Emission Factors'!$H$44))</f>
        <v/>
      </c>
      <c r="AG10" s="48" t="str">
        <f>IF(F10="","",IF(C10="LP-1",IF('Limestone Plant (LP-1)'!$F$12&gt;0,'Limestone Plant (LP-1)'!$F$12,AF10*R10*K10),IF(C10="LP-2",IF('Limestone Plant (LP-2)'!$F$12&gt;0,'Limestone Plant (LP-2)'!$F$12,AF10*R10*K10),IF(C10="LP-3",IF('Limestone Plant (LP-3)'!$F$12&gt;0,'Limestone Plant (LP-3)'!$F$12,AF10*R10*K10),IF(C10="LP-4",IF('Limestone Plant (LP-4)'!$F$12&gt;0,'Limestone Plant (LP-4)'!$F$12,AF10*R10*K10),IF(C10="LP-5",IF('Limestone Plant (LP-5)'!$F$12&gt;0,'Limestone Plant (LP-5)'!$F$12,AF10*R10*K10),IF(C10="LP-6",IF('Limestone Plant (LP-6)'!$F$12&gt;0,'Limestone Plant (LP-6)'!$F$12,AF10*R10*K10),IF(C10="LP-7",IF('Limestone Plant (LP-7)'!$F$12&gt;0,'Limestone Plant (LP-7)'!$F$12,AF10*R10*K10),IF(C10="LP-8",IF('Limestone Plant (LP-8)'!$F$12&gt;0,'Limestone Plant (LP-8)'!$F$12,AF10*R10*K10),IF(C10="LP-9",IF('Limestone Plant (LP-9)'!$F$12&gt;0,'Limestone Plant (LP-9)'!$F$12,AF10*R10*K10),IF(C10="LP-10",IF('Limestone Plant (LP-10)'!$F$12&gt;0,'Limestone Plant (LP-10)'!$F$12,AF10*R10*K10))))))))))))</f>
        <v/>
      </c>
      <c r="AH10" s="48" t="str">
        <f t="shared" si="12"/>
        <v/>
      </c>
      <c r="AI10" s="48" t="str">
        <f t="shared" si="13"/>
        <v/>
      </c>
      <c r="AJ10" s="48" t="str">
        <f>IF(F10="","",IF(B10="no",'Emission Factors'!$J$43,'Emission Factors'!$J$44))</f>
        <v/>
      </c>
      <c r="AK10" s="48" t="str">
        <f>IF(F10="","",IF(C10="LP-1",IF('Limestone Plant (LP-1)'!$F$13&gt;0,'Limestone Plant (LP-1)'!$F$13,AJ10*R10),IF(C10="LP-2",IF('Limestone Plant (LP-2)'!$F$13&gt;0,'Limestone Plant (LP-2)'!$F$13,AJ10*R10),IF(C10="LP-3",IF('Limestone Plant (LP-3)'!$F$13&gt;0,'Limestone Plant (LP-3)'!$F$13,AJ10*R10),IF(C10="LP-4",IF('Limestone Plant (LP-4)'!$F$13&gt;0,'Limestone Plant (LP-4)'!$F$13,AJ10*R10),IF(C10="LP-5",IF('Limestone Plant (LP-5)'!$F$13&gt;0,'Limestone Plant (LP-5)'!$F$13,AJ10*R10),IF(C10="LP-6",IF('Limestone Plant (LP-6)'!$F$13&gt;0,'Limestone Plant (LP-6)'!$F$13,AJ10*R10),IF(C10="LP-7",IF('Limestone Plant (LP-7)'!$F$13&gt;0,'Limestone Plant (LP-7)'!$F$13,AJ10*R10),IF(C10="LP-8",IF('Limestone Plant (LP-8)'!$F$13&gt;0,'Limestone Plant (LP-8)'!$F$13,AJ10*R10),IF(C10="LP-9",IF('Limestone Plant (LP-9)'!$F$13&gt;0,'Limestone Plant (LP-9)'!$F$13,AJ10*R10),IF(C10="LP-10",IF('Limestone Plant (LP-10)'!$F$13&gt;0,'Limestone Plant (LP-10)'!$F$13,AJ10*R10))))))))))))</f>
        <v/>
      </c>
      <c r="AL10" s="48" t="str">
        <f t="shared" si="14"/>
        <v/>
      </c>
      <c r="AM10" s="48" t="str">
        <f t="shared" si="15"/>
        <v/>
      </c>
      <c r="AN10" s="48" t="str">
        <f>IF(F10="","",IF(B10="no",'Emission Factors'!$L$43,'Emission Factors'!$L$44))</f>
        <v/>
      </c>
      <c r="AO10" s="48" t="str">
        <f>IF(F10="","",IF(C10="LP-1",IF('Limestone Plant (LP-1)'!$F$14&gt;0,'Limestone Plant (LP-1)'!$F$14,AN10*R10),IF(C10="LP-2",IF('Limestone Plant (LP-2)'!$F$14&gt;0,'Limestone Plant (LP-2)'!$F$14,AN10*R10),IF(C10="LP-3",IF('Limestone Plant (LP-3)'!$F$14&gt;0,'Limestone Plant (LP-3)'!$F$14,AN10*R10),IF(C10="LP-4",IF('Limestone Plant (LP-4)'!$F$14&gt;0,'Limestone Plant (LP-4)'!$F$14,AN10*R10),IF(C10="LP-5",IF('Limestone Plant (LP-5)'!$F$14&gt;0,'Limestone Plant (LP-5)'!$F$14,AN10*R10),IF(C10="LP-6",IF('Limestone Plant (LP-6)'!$F$14&gt;0,'Limestone Plant (LP-6)'!$F$14,AN10*R10),IF(C10="LP-7",IF('Limestone Plant (LP-7)'!$F$14&gt;0,'Limestone Plant (LP-7)'!$F$14,AN10*R10),IF(C10="LP-8",IF('Limestone Plant (LP-8)'!$F$14&gt;0,'Limestone Plant (LP-8)'!$F$14,AN10*R10),IF(C10="LP-9",IF('Limestone Plant (LP-9)'!$F$14&gt;0,'Limestone Plant (LP-9)'!$F$14,AN10*R10),IF(C10="LP-10",IF('Limestone Plant (LP-10)'!$F$14&gt;0,'Limestone Plant (LP-10)'!$F$14,AN10*R10))))))))))))</f>
        <v/>
      </c>
      <c r="AP10" s="48" t="str">
        <f t="shared" si="16"/>
        <v/>
      </c>
      <c r="AQ10" s="48" t="str">
        <f t="shared" si="17"/>
        <v/>
      </c>
      <c r="AR10" s="48" t="str">
        <f>IF(F10="","",IF(B10="no",'Emission Factors'!$N$43,'Emission Factors'!$N$44))</f>
        <v/>
      </c>
      <c r="AS10" s="48" t="str">
        <f>IF(F10="","",IF(C10="LP-1",IF('Limestone Plant (LP-1)'!$F$15&gt;0,'Limestone Plant (LP-1)'!$F$15,AR10*R10),IF(C10="LP-2",IF('Limestone Plant (LP-2)'!$F$15&gt;0,'Limestone Plant (LP-2)'!$F$15,AR10*R10),IF(C10="LP-3",IF('Limestone Plant (LP-3)'!$F$15&gt;0,'Limestone Plant (LP-3)'!$F$15,AR10*R10),IF(C10="LP-4",IF('Limestone Plant (LP-4)'!$F$15&gt;0,'Limestone Plant (LP-4)'!$F$15,AR10*R10),IF(C10="LP-5",IF('Limestone Plant (LP-5)'!$F$15&gt;0,'Limestone Plant (LP-5)'!$F$15,AR10*R10),IF(C10="LP-6",IF('Limestone Plant (LP-6)'!$F$15&gt;0,'Limestone Plant (LP-6)'!$F$15,AR10*R10),IF(C10="LP-7",IF('Limestone Plant (LP-7)'!$F$15&gt;0,'Limestone Plant (LP-7)'!$F$15,AR10*R10),IF(C10="LP-8",IF('Limestone Plant (LP-8)'!$F$15&gt;0,'Limestone Plant (LP-8)'!$F$15,AR10*R10),IF(C10="LP-9",IF('Limestone Plant (LP-9)'!$F$15&gt;0,'Limestone Plant (LP-9)'!$F$15,AR10*R10),IF(C10="LP-10",IF('Limestone Plant (LP-10)'!$F$15&gt;0,'Limestone Plant (LP-10)'!$F$15,AR10*R10))))))))))))</f>
        <v/>
      </c>
      <c r="AT10" s="48" t="str">
        <f t="shared" si="18"/>
        <v/>
      </c>
      <c r="AU10" s="48" t="str">
        <f t="shared" si="19"/>
        <v/>
      </c>
      <c r="AV10" s="48" t="str">
        <f>IF(F10="","",IF(B10="no",'Emission Factors'!$P$43,'Emission Factors'!$P$44))</f>
        <v/>
      </c>
      <c r="AW10" s="48" t="str">
        <f t="shared" si="20"/>
        <v/>
      </c>
      <c r="AX10" s="48" t="str">
        <f t="shared" si="21"/>
        <v/>
      </c>
      <c r="AY10" s="48" t="str">
        <f t="shared" si="22"/>
        <v/>
      </c>
      <c r="AZ10" s="48" t="str">
        <f>IF(F10="","",IF(B10="no",'Emission Factors'!$R$43,'Emission Factors'!$R$44))</f>
        <v/>
      </c>
      <c r="BA10" s="48" t="str">
        <f t="shared" si="23"/>
        <v/>
      </c>
      <c r="BB10" s="48" t="str">
        <f t="shared" si="24"/>
        <v/>
      </c>
      <c r="BC10" s="48" t="str">
        <f t="shared" si="25"/>
        <v/>
      </c>
    </row>
    <row r="11" spans="1:55" x14ac:dyDescent="0.25">
      <c r="A11" s="6" t="str">
        <f>IF('Facility Information'!$C$21&gt;1,"LP-2","")</f>
        <v/>
      </c>
      <c r="B11" s="6" t="str">
        <f t="shared" si="0"/>
        <v>no</v>
      </c>
      <c r="C11" s="44"/>
      <c r="D11" s="44"/>
      <c r="E11" s="44"/>
      <c r="F11" s="45"/>
      <c r="G11" s="44"/>
      <c r="H11" s="46"/>
      <c r="I11" s="46"/>
      <c r="J11" s="147"/>
      <c r="K11" s="46">
        <f t="shared" si="5"/>
        <v>1</v>
      </c>
      <c r="L11" s="46"/>
      <c r="M11" s="46"/>
      <c r="N11" s="46"/>
      <c r="O11" s="46"/>
      <c r="P11" s="46"/>
      <c r="Q11" s="46"/>
      <c r="R11" s="49" t="str">
        <f t="shared" si="1"/>
        <v/>
      </c>
      <c r="S11" s="46"/>
      <c r="T11" s="48" t="str">
        <f t="shared" si="2"/>
        <v/>
      </c>
      <c r="U11" s="170"/>
      <c r="V11" s="170">
        <f t="shared" si="3"/>
        <v>0</v>
      </c>
      <c r="W11" s="170" t="str">
        <f t="shared" si="4"/>
        <v/>
      </c>
      <c r="X11" s="48" t="str">
        <f>IF(F11="","",IF(B11="no",'Emission Factors'!$D$43,'Emission Factors'!$D$44))</f>
        <v/>
      </c>
      <c r="Y11" s="48" t="str">
        <f t="shared" si="6"/>
        <v/>
      </c>
      <c r="Z11" s="48" t="str">
        <f t="shared" si="7"/>
        <v/>
      </c>
      <c r="AA11" s="48" t="str">
        <f t="shared" si="8"/>
        <v/>
      </c>
      <c r="AB11" s="48" t="str">
        <f>IF(F11="","",IF(B11="no",'Emission Factors'!$F$43,'Emission Factors'!$F$44))</f>
        <v/>
      </c>
      <c r="AC11" s="48" t="str">
        <f t="shared" si="9"/>
        <v/>
      </c>
      <c r="AD11" s="48" t="str">
        <f t="shared" si="10"/>
        <v/>
      </c>
      <c r="AE11" s="48" t="str">
        <f t="shared" si="11"/>
        <v/>
      </c>
      <c r="AF11" s="48" t="str">
        <f>IF(F11="","",IF(B11="no",'Emission Factors'!$H$43,'Emission Factors'!$H$44))</f>
        <v/>
      </c>
      <c r="AG11" s="48" t="str">
        <f>IF(F11="","",IF(C11="LP-1",IF('Limestone Plant (LP-1)'!$F$12&gt;0,'Limestone Plant (LP-1)'!$F$12,AF11*R11*K11),IF(C11="LP-2",IF('Limestone Plant (LP-2)'!$F$12&gt;0,'Limestone Plant (LP-2)'!$F$12,AF11*R11*K11),IF(C11="LP-3",IF('Limestone Plant (LP-3)'!$F$12&gt;0,'Limestone Plant (LP-3)'!$F$12,AF11*R11*K11),IF(C11="LP-4",IF('Limestone Plant (LP-4)'!$F$12&gt;0,'Limestone Plant (LP-4)'!$F$12,AF11*R11*K11),IF(C11="LP-5",IF('Limestone Plant (LP-5)'!$F$12&gt;0,'Limestone Plant (LP-5)'!$F$12,AF11*R11*K11),IF(C11="LP-6",IF('Limestone Plant (LP-6)'!$F$12&gt;0,'Limestone Plant (LP-6)'!$F$12,AF11*R11*K11),IF(C11="LP-7",IF('Limestone Plant (LP-7)'!$F$12&gt;0,'Limestone Plant (LP-7)'!$F$12,AF11*R11*K11),IF(C11="LP-8",IF('Limestone Plant (LP-8)'!$F$12&gt;0,'Limestone Plant (LP-8)'!$F$12,AF11*R11*K11),IF(C11="LP-9",IF('Limestone Plant (LP-9)'!$F$12&gt;0,'Limestone Plant (LP-9)'!$F$12,AF11*R11*K11),IF(C11="LP-10",IF('Limestone Plant (LP-10)'!$F$12&gt;0,'Limestone Plant (LP-10)'!$F$12,AF11*R11*K11))))))))))))</f>
        <v/>
      </c>
      <c r="AH11" s="48" t="str">
        <f t="shared" si="12"/>
        <v/>
      </c>
      <c r="AI11" s="48" t="str">
        <f t="shared" si="13"/>
        <v/>
      </c>
      <c r="AJ11" s="48" t="str">
        <f>IF(F11="","",IF(B11="no",'Emission Factors'!$J$43,'Emission Factors'!$J$44))</f>
        <v/>
      </c>
      <c r="AK11" s="48" t="str">
        <f>IF(F11="","",IF(C11="LP-1",IF('Limestone Plant (LP-1)'!$F$13&gt;0,'Limestone Plant (LP-1)'!$F$13,AJ11*R11),IF(C11="LP-2",IF('Limestone Plant (LP-2)'!$F$13&gt;0,'Limestone Plant (LP-2)'!$F$13,AJ11*R11),IF(C11="LP-3",IF('Limestone Plant (LP-3)'!$F$13&gt;0,'Limestone Plant (LP-3)'!$F$13,AJ11*R11),IF(C11="LP-4",IF('Limestone Plant (LP-4)'!$F$13&gt;0,'Limestone Plant (LP-4)'!$F$13,AJ11*R11),IF(C11="LP-5",IF('Limestone Plant (LP-5)'!$F$13&gt;0,'Limestone Plant (LP-5)'!$F$13,AJ11*R11),IF(C11="LP-6",IF('Limestone Plant (LP-6)'!$F$13&gt;0,'Limestone Plant (LP-6)'!$F$13,AJ11*R11),IF(C11="LP-7",IF('Limestone Plant (LP-7)'!$F$13&gt;0,'Limestone Plant (LP-7)'!$F$13,AJ11*R11),IF(C11="LP-8",IF('Limestone Plant (LP-8)'!$F$13&gt;0,'Limestone Plant (LP-8)'!$F$13,AJ11*R11),IF(C11="LP-9",IF('Limestone Plant (LP-9)'!$F$13&gt;0,'Limestone Plant (LP-9)'!$F$13,AJ11*R11),IF(C11="LP-10",IF('Limestone Plant (LP-10)'!$F$13&gt;0,'Limestone Plant (LP-10)'!$F$13,AJ11*R11))))))))))))</f>
        <v/>
      </c>
      <c r="AL11" s="48" t="str">
        <f t="shared" si="14"/>
        <v/>
      </c>
      <c r="AM11" s="48" t="str">
        <f t="shared" si="15"/>
        <v/>
      </c>
      <c r="AN11" s="48" t="str">
        <f>IF(F11="","",IF(B11="no",'Emission Factors'!$L$43,'Emission Factors'!$L$44))</f>
        <v/>
      </c>
      <c r="AO11" s="48" t="str">
        <f>IF(F11="","",IF(C11="LP-1",IF('Limestone Plant (LP-1)'!$F$14&gt;0,'Limestone Plant (LP-1)'!$F$14,AN11*R11),IF(C11="LP-2",IF('Limestone Plant (LP-2)'!$F$14&gt;0,'Limestone Plant (LP-2)'!$F$14,AN11*R11),IF(C11="LP-3",IF('Limestone Plant (LP-3)'!$F$14&gt;0,'Limestone Plant (LP-3)'!$F$14,AN11*R11),IF(C11="LP-4",IF('Limestone Plant (LP-4)'!$F$14&gt;0,'Limestone Plant (LP-4)'!$F$14,AN11*R11),IF(C11="LP-5",IF('Limestone Plant (LP-5)'!$F$14&gt;0,'Limestone Plant (LP-5)'!$F$14,AN11*R11),IF(C11="LP-6",IF('Limestone Plant (LP-6)'!$F$14&gt;0,'Limestone Plant (LP-6)'!$F$14,AN11*R11),IF(C11="LP-7",IF('Limestone Plant (LP-7)'!$F$14&gt;0,'Limestone Plant (LP-7)'!$F$14,AN11*R11),IF(C11="LP-8",IF('Limestone Plant (LP-8)'!$F$14&gt;0,'Limestone Plant (LP-8)'!$F$14,AN11*R11),IF(C11="LP-9",IF('Limestone Plant (LP-9)'!$F$14&gt;0,'Limestone Plant (LP-9)'!$F$14,AN11*R11),IF(C11="LP-10",IF('Limestone Plant (LP-10)'!$F$14&gt;0,'Limestone Plant (LP-10)'!$F$14,AN11*R11))))))))))))</f>
        <v/>
      </c>
      <c r="AP11" s="48" t="str">
        <f t="shared" si="16"/>
        <v/>
      </c>
      <c r="AQ11" s="48" t="str">
        <f t="shared" si="17"/>
        <v/>
      </c>
      <c r="AR11" s="48" t="str">
        <f>IF(F11="","",IF(B11="no",'Emission Factors'!$N$43,'Emission Factors'!$N$44))</f>
        <v/>
      </c>
      <c r="AS11" s="48" t="str">
        <f>IF(F11="","",IF(C11="LP-1",IF('Limestone Plant (LP-1)'!$F$15&gt;0,'Limestone Plant (LP-1)'!$F$15,AR11*R11),IF(C11="LP-2",IF('Limestone Plant (LP-2)'!$F$15&gt;0,'Limestone Plant (LP-2)'!$F$15,AR11*R11),IF(C11="LP-3",IF('Limestone Plant (LP-3)'!$F$15&gt;0,'Limestone Plant (LP-3)'!$F$15,AR11*R11),IF(C11="LP-4",IF('Limestone Plant (LP-4)'!$F$15&gt;0,'Limestone Plant (LP-4)'!$F$15,AR11*R11),IF(C11="LP-5",IF('Limestone Plant (LP-5)'!$F$15&gt;0,'Limestone Plant (LP-5)'!$F$15,AR11*R11),IF(C11="LP-6",IF('Limestone Plant (LP-6)'!$F$15&gt;0,'Limestone Plant (LP-6)'!$F$15,AR11*R11),IF(C11="LP-7",IF('Limestone Plant (LP-7)'!$F$15&gt;0,'Limestone Plant (LP-7)'!$F$15,AR11*R11),IF(C11="LP-8",IF('Limestone Plant (LP-8)'!$F$15&gt;0,'Limestone Plant (LP-8)'!$F$15,AR11*R11),IF(C11="LP-9",IF('Limestone Plant (LP-9)'!$F$15&gt;0,'Limestone Plant (LP-9)'!$F$15,AR11*R11),IF(C11="LP-10",IF('Limestone Plant (LP-10)'!$F$15&gt;0,'Limestone Plant (LP-10)'!$F$15,AR11*R11))))))))))))</f>
        <v/>
      </c>
      <c r="AT11" s="48" t="str">
        <f t="shared" si="18"/>
        <v/>
      </c>
      <c r="AU11" s="48" t="str">
        <f t="shared" si="19"/>
        <v/>
      </c>
      <c r="AV11" s="48" t="str">
        <f>IF(F11="","",IF(B11="no",'Emission Factors'!$P$43,'Emission Factors'!$P$44))</f>
        <v/>
      </c>
      <c r="AW11" s="48" t="str">
        <f t="shared" si="20"/>
        <v/>
      </c>
      <c r="AX11" s="48" t="str">
        <f t="shared" si="21"/>
        <v/>
      </c>
      <c r="AY11" s="48" t="str">
        <f t="shared" si="22"/>
        <v/>
      </c>
      <c r="AZ11" s="48" t="str">
        <f>IF(F11="","",IF(B11="no",'Emission Factors'!$R$43,'Emission Factors'!$R$44))</f>
        <v/>
      </c>
      <c r="BA11" s="48" t="str">
        <f t="shared" si="23"/>
        <v/>
      </c>
      <c r="BB11" s="48" t="str">
        <f t="shared" si="24"/>
        <v/>
      </c>
      <c r="BC11" s="48" t="str">
        <f t="shared" si="25"/>
        <v/>
      </c>
    </row>
    <row r="12" spans="1:55" x14ac:dyDescent="0.25">
      <c r="A12" s="6" t="str">
        <f>IF('Facility Information'!$C$21&gt;2,"LP-3","")</f>
        <v/>
      </c>
      <c r="B12" s="6" t="str">
        <f t="shared" si="0"/>
        <v>no</v>
      </c>
      <c r="C12" s="44"/>
      <c r="D12" s="44"/>
      <c r="E12" s="44"/>
      <c r="F12" s="45"/>
      <c r="G12" s="44"/>
      <c r="H12" s="46"/>
      <c r="I12" s="46"/>
      <c r="J12" s="147"/>
      <c r="K12" s="46">
        <f t="shared" si="5"/>
        <v>1</v>
      </c>
      <c r="L12" s="46"/>
      <c r="M12" s="46"/>
      <c r="N12" s="46"/>
      <c r="O12" s="46"/>
      <c r="P12" s="46"/>
      <c r="Q12" s="46"/>
      <c r="R12" s="49" t="str">
        <f t="shared" si="1"/>
        <v/>
      </c>
      <c r="S12" s="46"/>
      <c r="T12" s="48" t="str">
        <f t="shared" si="2"/>
        <v/>
      </c>
      <c r="U12" s="170"/>
      <c r="V12" s="170">
        <f t="shared" si="3"/>
        <v>0</v>
      </c>
      <c r="W12" s="170" t="str">
        <f t="shared" si="4"/>
        <v/>
      </c>
      <c r="X12" s="48" t="str">
        <f>IF(F12="","",IF(B12="no",'Emission Factors'!$D$43,'Emission Factors'!$D$44))</f>
        <v/>
      </c>
      <c r="Y12" s="48" t="str">
        <f t="shared" si="6"/>
        <v/>
      </c>
      <c r="Z12" s="48" t="str">
        <f t="shared" si="7"/>
        <v/>
      </c>
      <c r="AA12" s="48" t="str">
        <f t="shared" si="8"/>
        <v/>
      </c>
      <c r="AB12" s="48" t="str">
        <f>IF(F12="","",IF(B12="no",'Emission Factors'!$F$43,'Emission Factors'!$F$44))</f>
        <v/>
      </c>
      <c r="AC12" s="48" t="str">
        <f t="shared" si="9"/>
        <v/>
      </c>
      <c r="AD12" s="48" t="str">
        <f t="shared" si="10"/>
        <v/>
      </c>
      <c r="AE12" s="48" t="str">
        <f t="shared" si="11"/>
        <v/>
      </c>
      <c r="AF12" s="48" t="str">
        <f>IF(F12="","",IF(B12="no",'Emission Factors'!$H$43,'Emission Factors'!$H$44))</f>
        <v/>
      </c>
      <c r="AG12" s="48" t="str">
        <f>IF(F12="","",IF(C12="LP-1",IF('Limestone Plant (LP-1)'!$F$12&gt;0,'Limestone Plant (LP-1)'!$F$12,AF12*R12*K12),IF(C12="LP-2",IF('Limestone Plant (LP-2)'!$F$12&gt;0,'Limestone Plant (LP-2)'!$F$12,AF12*R12*K12),IF(C12="LP-3",IF('Limestone Plant (LP-3)'!$F$12&gt;0,'Limestone Plant (LP-3)'!$F$12,AF12*R12*K12),IF(C12="LP-4",IF('Limestone Plant (LP-4)'!$F$12&gt;0,'Limestone Plant (LP-4)'!$F$12,AF12*R12*K12),IF(C12="LP-5",IF('Limestone Plant (LP-5)'!$F$12&gt;0,'Limestone Plant (LP-5)'!$F$12,AF12*R12*K12),IF(C12="LP-6",IF('Limestone Plant (LP-6)'!$F$12&gt;0,'Limestone Plant (LP-6)'!$F$12,AF12*R12*K12),IF(C12="LP-7",IF('Limestone Plant (LP-7)'!$F$12&gt;0,'Limestone Plant (LP-7)'!$F$12,AF12*R12*K12),IF(C12="LP-8",IF('Limestone Plant (LP-8)'!$F$12&gt;0,'Limestone Plant (LP-8)'!$F$12,AF12*R12*K12),IF(C12="LP-9",IF('Limestone Plant (LP-9)'!$F$12&gt;0,'Limestone Plant (LP-9)'!$F$12,AF12*R12*K12),IF(C12="LP-10",IF('Limestone Plant (LP-10)'!$F$12&gt;0,'Limestone Plant (LP-10)'!$F$12,AF12*R12*K12))))))))))))</f>
        <v/>
      </c>
      <c r="AH12" s="48" t="str">
        <f t="shared" si="12"/>
        <v/>
      </c>
      <c r="AI12" s="48" t="str">
        <f t="shared" si="13"/>
        <v/>
      </c>
      <c r="AJ12" s="48" t="str">
        <f>IF(F12="","",IF(B12="no",'Emission Factors'!$J$43,'Emission Factors'!$J$44))</f>
        <v/>
      </c>
      <c r="AK12" s="48" t="str">
        <f>IF(F12="","",IF(C12="LP-1",IF('Limestone Plant (LP-1)'!$F$13&gt;0,'Limestone Plant (LP-1)'!$F$13,AJ12*R12),IF(C12="LP-2",IF('Limestone Plant (LP-2)'!$F$13&gt;0,'Limestone Plant (LP-2)'!$F$13,AJ12*R12),IF(C12="LP-3",IF('Limestone Plant (LP-3)'!$F$13&gt;0,'Limestone Plant (LP-3)'!$F$13,AJ12*R12),IF(C12="LP-4",IF('Limestone Plant (LP-4)'!$F$13&gt;0,'Limestone Plant (LP-4)'!$F$13,AJ12*R12),IF(C12="LP-5",IF('Limestone Plant (LP-5)'!$F$13&gt;0,'Limestone Plant (LP-5)'!$F$13,AJ12*R12),IF(C12="LP-6",IF('Limestone Plant (LP-6)'!$F$13&gt;0,'Limestone Plant (LP-6)'!$F$13,AJ12*R12),IF(C12="LP-7",IF('Limestone Plant (LP-7)'!$F$13&gt;0,'Limestone Plant (LP-7)'!$F$13,AJ12*R12),IF(C12="LP-8",IF('Limestone Plant (LP-8)'!$F$13&gt;0,'Limestone Plant (LP-8)'!$F$13,AJ12*R12),IF(C12="LP-9",IF('Limestone Plant (LP-9)'!$F$13&gt;0,'Limestone Plant (LP-9)'!$F$13,AJ12*R12),IF(C12="LP-10",IF('Limestone Plant (LP-10)'!$F$13&gt;0,'Limestone Plant (LP-10)'!$F$13,AJ12*R12))))))))))))</f>
        <v/>
      </c>
      <c r="AL12" s="48" t="str">
        <f t="shared" si="14"/>
        <v/>
      </c>
      <c r="AM12" s="48" t="str">
        <f t="shared" si="15"/>
        <v/>
      </c>
      <c r="AN12" s="48" t="str">
        <f>IF(F12="","",IF(B12="no",'Emission Factors'!$L$43,'Emission Factors'!$L$44))</f>
        <v/>
      </c>
      <c r="AO12" s="48" t="str">
        <f>IF(F12="","",IF(C12="LP-1",IF('Limestone Plant (LP-1)'!$F$14&gt;0,'Limestone Plant (LP-1)'!$F$14,AN12*R12),IF(C12="LP-2",IF('Limestone Plant (LP-2)'!$F$14&gt;0,'Limestone Plant (LP-2)'!$F$14,AN12*R12),IF(C12="LP-3",IF('Limestone Plant (LP-3)'!$F$14&gt;0,'Limestone Plant (LP-3)'!$F$14,AN12*R12),IF(C12="LP-4",IF('Limestone Plant (LP-4)'!$F$14&gt;0,'Limestone Plant (LP-4)'!$F$14,AN12*R12),IF(C12="LP-5",IF('Limestone Plant (LP-5)'!$F$14&gt;0,'Limestone Plant (LP-5)'!$F$14,AN12*R12),IF(C12="LP-6",IF('Limestone Plant (LP-6)'!$F$14&gt;0,'Limestone Plant (LP-6)'!$F$14,AN12*R12),IF(C12="LP-7",IF('Limestone Plant (LP-7)'!$F$14&gt;0,'Limestone Plant (LP-7)'!$F$14,AN12*R12),IF(C12="LP-8",IF('Limestone Plant (LP-8)'!$F$14&gt;0,'Limestone Plant (LP-8)'!$F$14,AN12*R12),IF(C12="LP-9",IF('Limestone Plant (LP-9)'!$F$14&gt;0,'Limestone Plant (LP-9)'!$F$14,AN12*R12),IF(C12="LP-10",IF('Limestone Plant (LP-10)'!$F$14&gt;0,'Limestone Plant (LP-10)'!$F$14,AN12*R12))))))))))))</f>
        <v/>
      </c>
      <c r="AP12" s="48" t="str">
        <f t="shared" si="16"/>
        <v/>
      </c>
      <c r="AQ12" s="48" t="str">
        <f t="shared" si="17"/>
        <v/>
      </c>
      <c r="AR12" s="48" t="str">
        <f>IF(F12="","",IF(B12="no",'Emission Factors'!$N$43,'Emission Factors'!$N$44))</f>
        <v/>
      </c>
      <c r="AS12" s="48" t="str">
        <f>IF(F12="","",IF(C12="LP-1",IF('Limestone Plant (LP-1)'!$F$15&gt;0,'Limestone Plant (LP-1)'!$F$15,AR12*R12),IF(C12="LP-2",IF('Limestone Plant (LP-2)'!$F$15&gt;0,'Limestone Plant (LP-2)'!$F$15,AR12*R12),IF(C12="LP-3",IF('Limestone Plant (LP-3)'!$F$15&gt;0,'Limestone Plant (LP-3)'!$F$15,AR12*R12),IF(C12="LP-4",IF('Limestone Plant (LP-4)'!$F$15&gt;0,'Limestone Plant (LP-4)'!$F$15,AR12*R12),IF(C12="LP-5",IF('Limestone Plant (LP-5)'!$F$15&gt;0,'Limestone Plant (LP-5)'!$F$15,AR12*R12),IF(C12="LP-6",IF('Limestone Plant (LP-6)'!$F$15&gt;0,'Limestone Plant (LP-6)'!$F$15,AR12*R12),IF(C12="LP-7",IF('Limestone Plant (LP-7)'!$F$15&gt;0,'Limestone Plant (LP-7)'!$F$15,AR12*R12),IF(C12="LP-8",IF('Limestone Plant (LP-8)'!$F$15&gt;0,'Limestone Plant (LP-8)'!$F$15,AR12*R12),IF(C12="LP-9",IF('Limestone Plant (LP-9)'!$F$15&gt;0,'Limestone Plant (LP-9)'!$F$15,AR12*R12),IF(C12="LP-10",IF('Limestone Plant (LP-10)'!$F$15&gt;0,'Limestone Plant (LP-10)'!$F$15,AR12*R12))))))))))))</f>
        <v/>
      </c>
      <c r="AT12" s="48" t="str">
        <f t="shared" si="18"/>
        <v/>
      </c>
      <c r="AU12" s="48" t="str">
        <f t="shared" si="19"/>
        <v/>
      </c>
      <c r="AV12" s="48" t="str">
        <f>IF(F12="","",IF(B12="no",'Emission Factors'!$P$43,'Emission Factors'!$P$44))</f>
        <v/>
      </c>
      <c r="AW12" s="48" t="str">
        <f t="shared" si="20"/>
        <v/>
      </c>
      <c r="AX12" s="48" t="str">
        <f t="shared" si="21"/>
        <v/>
      </c>
      <c r="AY12" s="48" t="str">
        <f t="shared" si="22"/>
        <v/>
      </c>
      <c r="AZ12" s="48" t="str">
        <f>IF(F12="","",IF(B12="no",'Emission Factors'!$R$43,'Emission Factors'!$R$44))</f>
        <v/>
      </c>
      <c r="BA12" s="48" t="str">
        <f t="shared" si="23"/>
        <v/>
      </c>
      <c r="BB12" s="48" t="str">
        <f t="shared" si="24"/>
        <v/>
      </c>
      <c r="BC12" s="48" t="str">
        <f t="shared" si="25"/>
        <v/>
      </c>
    </row>
    <row r="13" spans="1:55" x14ac:dyDescent="0.25">
      <c r="A13" s="6" t="str">
        <f>IF('Facility Information'!$C$21&gt;3,"LP-4","")</f>
        <v/>
      </c>
      <c r="B13" s="6" t="str">
        <f t="shared" si="0"/>
        <v>no</v>
      </c>
      <c r="C13" s="44"/>
      <c r="D13" s="44"/>
      <c r="E13" s="44"/>
      <c r="F13" s="45"/>
      <c r="G13" s="44"/>
      <c r="H13" s="46"/>
      <c r="I13" s="46"/>
      <c r="J13" s="147"/>
      <c r="K13" s="46">
        <f t="shared" si="5"/>
        <v>1</v>
      </c>
      <c r="L13" s="46"/>
      <c r="M13" s="46"/>
      <c r="N13" s="46"/>
      <c r="O13" s="46"/>
      <c r="P13" s="46"/>
      <c r="Q13" s="46"/>
      <c r="R13" s="49" t="str">
        <f t="shared" si="1"/>
        <v/>
      </c>
      <c r="S13" s="46"/>
      <c r="T13" s="48" t="str">
        <f t="shared" si="2"/>
        <v/>
      </c>
      <c r="U13" s="170"/>
      <c r="V13" s="170">
        <f t="shared" si="3"/>
        <v>0</v>
      </c>
      <c r="W13" s="170" t="str">
        <f t="shared" si="4"/>
        <v/>
      </c>
      <c r="X13" s="48" t="str">
        <f>IF(F13="","",IF(B13="no",'Emission Factors'!$D$43,'Emission Factors'!$D$44))</f>
        <v/>
      </c>
      <c r="Y13" s="48" t="str">
        <f t="shared" si="6"/>
        <v/>
      </c>
      <c r="Z13" s="48" t="str">
        <f t="shared" si="7"/>
        <v/>
      </c>
      <c r="AA13" s="48" t="str">
        <f t="shared" si="8"/>
        <v/>
      </c>
      <c r="AB13" s="48" t="str">
        <f>IF(F13="","",IF(B13="no",'Emission Factors'!$F$43,'Emission Factors'!$F$44))</f>
        <v/>
      </c>
      <c r="AC13" s="48" t="str">
        <f t="shared" si="9"/>
        <v/>
      </c>
      <c r="AD13" s="48" t="str">
        <f t="shared" si="10"/>
        <v/>
      </c>
      <c r="AE13" s="48" t="str">
        <f t="shared" si="11"/>
        <v/>
      </c>
      <c r="AF13" s="48" t="str">
        <f>IF(F13="","",IF(B13="no",'Emission Factors'!$H$43,'Emission Factors'!$H$44))</f>
        <v/>
      </c>
      <c r="AG13" s="48" t="str">
        <f>IF(F13="","",IF(C13="LP-1",IF('Limestone Plant (LP-1)'!$F$12&gt;0,'Limestone Plant (LP-1)'!$F$12,AF13*R13*K13),IF(C13="LP-2",IF('Limestone Plant (LP-2)'!$F$12&gt;0,'Limestone Plant (LP-2)'!$F$12,AF13*R13*K13),IF(C13="LP-3",IF('Limestone Plant (LP-3)'!$F$12&gt;0,'Limestone Plant (LP-3)'!$F$12,AF13*R13*K13),IF(C13="LP-4",IF('Limestone Plant (LP-4)'!$F$12&gt;0,'Limestone Plant (LP-4)'!$F$12,AF13*R13*K13),IF(C13="LP-5",IF('Limestone Plant (LP-5)'!$F$12&gt;0,'Limestone Plant (LP-5)'!$F$12,AF13*R13*K13),IF(C13="LP-6",IF('Limestone Plant (LP-6)'!$F$12&gt;0,'Limestone Plant (LP-6)'!$F$12,AF13*R13*K13),IF(C13="LP-7",IF('Limestone Plant (LP-7)'!$F$12&gt;0,'Limestone Plant (LP-7)'!$F$12,AF13*R13*K13),IF(C13="LP-8",IF('Limestone Plant (LP-8)'!$F$12&gt;0,'Limestone Plant (LP-8)'!$F$12,AF13*R13*K13),IF(C13="LP-9",IF('Limestone Plant (LP-9)'!$F$12&gt;0,'Limestone Plant (LP-9)'!$F$12,AF13*R13*K13),IF(C13="LP-10",IF('Limestone Plant (LP-10)'!$F$12&gt;0,'Limestone Plant (LP-10)'!$F$12,AF13*R13*K13))))))))))))</f>
        <v/>
      </c>
      <c r="AH13" s="48" t="str">
        <f t="shared" si="12"/>
        <v/>
      </c>
      <c r="AI13" s="48" t="str">
        <f t="shared" si="13"/>
        <v/>
      </c>
      <c r="AJ13" s="48" t="str">
        <f>IF(F13="","",IF(B13="no",'Emission Factors'!$J$43,'Emission Factors'!$J$44))</f>
        <v/>
      </c>
      <c r="AK13" s="48" t="str">
        <f>IF(F13="","",IF(C13="LP-1",IF('Limestone Plant (LP-1)'!$F$13&gt;0,'Limestone Plant (LP-1)'!$F$13,AJ13*R13),IF(C13="LP-2",IF('Limestone Plant (LP-2)'!$F$13&gt;0,'Limestone Plant (LP-2)'!$F$13,AJ13*R13),IF(C13="LP-3",IF('Limestone Plant (LP-3)'!$F$13&gt;0,'Limestone Plant (LP-3)'!$F$13,AJ13*R13),IF(C13="LP-4",IF('Limestone Plant (LP-4)'!$F$13&gt;0,'Limestone Plant (LP-4)'!$F$13,AJ13*R13),IF(C13="LP-5",IF('Limestone Plant (LP-5)'!$F$13&gt;0,'Limestone Plant (LP-5)'!$F$13,AJ13*R13),IF(C13="LP-6",IF('Limestone Plant (LP-6)'!$F$13&gt;0,'Limestone Plant (LP-6)'!$F$13,AJ13*R13),IF(C13="LP-7",IF('Limestone Plant (LP-7)'!$F$13&gt;0,'Limestone Plant (LP-7)'!$F$13,AJ13*R13),IF(C13="LP-8",IF('Limestone Plant (LP-8)'!$F$13&gt;0,'Limestone Plant (LP-8)'!$F$13,AJ13*R13),IF(C13="LP-9",IF('Limestone Plant (LP-9)'!$F$13&gt;0,'Limestone Plant (LP-9)'!$F$13,AJ13*R13),IF(C13="LP-10",IF('Limestone Plant (LP-10)'!$F$13&gt;0,'Limestone Plant (LP-10)'!$F$13,AJ13*R13))))))))))))</f>
        <v/>
      </c>
      <c r="AL13" s="48" t="str">
        <f t="shared" si="14"/>
        <v/>
      </c>
      <c r="AM13" s="48" t="str">
        <f t="shared" si="15"/>
        <v/>
      </c>
      <c r="AN13" s="48" t="str">
        <f>IF(F13="","",IF(B13="no",'Emission Factors'!$L$43,'Emission Factors'!$L$44))</f>
        <v/>
      </c>
      <c r="AO13" s="48" t="str">
        <f>IF(F13="","",IF(C13="LP-1",IF('Limestone Plant (LP-1)'!$F$14&gt;0,'Limestone Plant (LP-1)'!$F$14,AN13*R13),IF(C13="LP-2",IF('Limestone Plant (LP-2)'!$F$14&gt;0,'Limestone Plant (LP-2)'!$F$14,AN13*R13),IF(C13="LP-3",IF('Limestone Plant (LP-3)'!$F$14&gt;0,'Limestone Plant (LP-3)'!$F$14,AN13*R13),IF(C13="LP-4",IF('Limestone Plant (LP-4)'!$F$14&gt;0,'Limestone Plant (LP-4)'!$F$14,AN13*R13),IF(C13="LP-5",IF('Limestone Plant (LP-5)'!$F$14&gt;0,'Limestone Plant (LP-5)'!$F$14,AN13*R13),IF(C13="LP-6",IF('Limestone Plant (LP-6)'!$F$14&gt;0,'Limestone Plant (LP-6)'!$F$14,AN13*R13),IF(C13="LP-7",IF('Limestone Plant (LP-7)'!$F$14&gt;0,'Limestone Plant (LP-7)'!$F$14,AN13*R13),IF(C13="LP-8",IF('Limestone Plant (LP-8)'!$F$14&gt;0,'Limestone Plant (LP-8)'!$F$14,AN13*R13),IF(C13="LP-9",IF('Limestone Plant (LP-9)'!$F$14&gt;0,'Limestone Plant (LP-9)'!$F$14,AN13*R13),IF(C13="LP-10",IF('Limestone Plant (LP-10)'!$F$14&gt;0,'Limestone Plant (LP-10)'!$F$14,AN13*R13))))))))))))</f>
        <v/>
      </c>
      <c r="AP13" s="48" t="str">
        <f t="shared" si="16"/>
        <v/>
      </c>
      <c r="AQ13" s="48" t="str">
        <f t="shared" si="17"/>
        <v/>
      </c>
      <c r="AR13" s="48" t="str">
        <f>IF(F13="","",IF(B13="no",'Emission Factors'!$N$43,'Emission Factors'!$N$44))</f>
        <v/>
      </c>
      <c r="AS13" s="48" t="str">
        <f>IF(F13="","",IF(C13="LP-1",IF('Limestone Plant (LP-1)'!$F$15&gt;0,'Limestone Plant (LP-1)'!$F$15,AR13*R13),IF(C13="LP-2",IF('Limestone Plant (LP-2)'!$F$15&gt;0,'Limestone Plant (LP-2)'!$F$15,AR13*R13),IF(C13="LP-3",IF('Limestone Plant (LP-3)'!$F$15&gt;0,'Limestone Plant (LP-3)'!$F$15,AR13*R13),IF(C13="LP-4",IF('Limestone Plant (LP-4)'!$F$15&gt;0,'Limestone Plant (LP-4)'!$F$15,AR13*R13),IF(C13="LP-5",IF('Limestone Plant (LP-5)'!$F$15&gt;0,'Limestone Plant (LP-5)'!$F$15,AR13*R13),IF(C13="LP-6",IF('Limestone Plant (LP-6)'!$F$15&gt;0,'Limestone Plant (LP-6)'!$F$15,AR13*R13),IF(C13="LP-7",IF('Limestone Plant (LP-7)'!$F$15&gt;0,'Limestone Plant (LP-7)'!$F$15,AR13*R13),IF(C13="LP-8",IF('Limestone Plant (LP-8)'!$F$15&gt;0,'Limestone Plant (LP-8)'!$F$15,AR13*R13),IF(C13="LP-9",IF('Limestone Plant (LP-9)'!$F$15&gt;0,'Limestone Plant (LP-9)'!$F$15,AR13*R13),IF(C13="LP-10",IF('Limestone Plant (LP-10)'!$F$15&gt;0,'Limestone Plant (LP-10)'!$F$15,AR13*R13))))))))))))</f>
        <v/>
      </c>
      <c r="AT13" s="48" t="str">
        <f t="shared" si="18"/>
        <v/>
      </c>
      <c r="AU13" s="48" t="str">
        <f t="shared" si="19"/>
        <v/>
      </c>
      <c r="AV13" s="48" t="str">
        <f>IF(F13="","",IF(B13="no",'Emission Factors'!$P$43,'Emission Factors'!$P$44))</f>
        <v/>
      </c>
      <c r="AW13" s="48" t="str">
        <f t="shared" si="20"/>
        <v/>
      </c>
      <c r="AX13" s="48" t="str">
        <f t="shared" si="21"/>
        <v/>
      </c>
      <c r="AY13" s="48" t="str">
        <f t="shared" si="22"/>
        <v/>
      </c>
      <c r="AZ13" s="48" t="str">
        <f>IF(F13="","",IF(B13="no",'Emission Factors'!$R$43,'Emission Factors'!$R$44))</f>
        <v/>
      </c>
      <c r="BA13" s="48" t="str">
        <f t="shared" si="23"/>
        <v/>
      </c>
      <c r="BB13" s="48" t="str">
        <f t="shared" si="24"/>
        <v/>
      </c>
      <c r="BC13" s="48" t="str">
        <f t="shared" si="25"/>
        <v/>
      </c>
    </row>
    <row r="14" spans="1:55" x14ac:dyDescent="0.25">
      <c r="A14" s="6" t="str">
        <f>IF('Facility Information'!$C$21&gt;4,"LP-5","")</f>
        <v/>
      </c>
      <c r="B14" s="6" t="str">
        <f t="shared" ref="B14:B23" si="26">IF(F14="Diesel Generator&gt; 600 bhp","yes","no")</f>
        <v>no</v>
      </c>
      <c r="C14" s="44"/>
      <c r="D14" s="44"/>
      <c r="E14" s="44"/>
      <c r="F14" s="45"/>
      <c r="G14" s="44"/>
      <c r="H14" s="46"/>
      <c r="I14" s="46"/>
      <c r="J14" s="147"/>
      <c r="K14" s="46">
        <f t="shared" si="5"/>
        <v>1</v>
      </c>
      <c r="L14" s="46"/>
      <c r="M14" s="46"/>
      <c r="N14" s="46"/>
      <c r="O14" s="46"/>
      <c r="P14" s="46"/>
      <c r="Q14" s="46"/>
      <c r="R14" s="49" t="str">
        <f t="shared" ref="R14:R23" si="27">IF(Q14="","",Q14*0.14)</f>
        <v/>
      </c>
      <c r="S14" s="46"/>
      <c r="T14" s="48" t="str">
        <f t="shared" ref="T14:T23" si="28">IF(S14="","",S14*0.14)</f>
        <v/>
      </c>
      <c r="U14" s="170"/>
      <c r="V14" s="170">
        <f t="shared" si="3"/>
        <v>0</v>
      </c>
      <c r="W14" s="170" t="str">
        <f t="shared" si="4"/>
        <v/>
      </c>
      <c r="X14" s="48" t="str">
        <f>IF(F14="","",IF(B14="no",'Emission Factors'!$D$43,'Emission Factors'!$D$44))</f>
        <v/>
      </c>
      <c r="Y14" s="48" t="str">
        <f t="shared" si="6"/>
        <v/>
      </c>
      <c r="Z14" s="48" t="str">
        <f t="shared" si="7"/>
        <v/>
      </c>
      <c r="AA14" s="48" t="str">
        <f t="shared" si="8"/>
        <v/>
      </c>
      <c r="AB14" s="48" t="str">
        <f>IF(F14="","",IF(B14="no",'Emission Factors'!$F$43,'Emission Factors'!$F$44))</f>
        <v/>
      </c>
      <c r="AC14" s="48" t="str">
        <f t="shared" si="9"/>
        <v/>
      </c>
      <c r="AD14" s="48" t="str">
        <f t="shared" si="10"/>
        <v/>
      </c>
      <c r="AE14" s="48" t="str">
        <f t="shared" si="11"/>
        <v/>
      </c>
      <c r="AF14" s="48" t="str">
        <f>IF(F14="","",IF(B14="no",'Emission Factors'!$H$43,'Emission Factors'!$H$44))</f>
        <v/>
      </c>
      <c r="AG14" s="48" t="str">
        <f>IF(F14="","",IF(C14="LP-1",IF('Limestone Plant (LP-1)'!$F$12&gt;0,'Limestone Plant (LP-1)'!$F$12,AF14*R14*K14),IF(C14="LP-2",IF('Limestone Plant (LP-2)'!$F$12&gt;0,'Limestone Plant (LP-2)'!$F$12,AF14*R14*K14),IF(C14="LP-3",IF('Limestone Plant (LP-3)'!$F$12&gt;0,'Limestone Plant (LP-3)'!$F$12,AF14*R14*K14),IF(C14="LP-4",IF('Limestone Plant (LP-4)'!$F$12&gt;0,'Limestone Plant (LP-4)'!$F$12,AF14*R14*K14),IF(C14="LP-5",IF('Limestone Plant (LP-5)'!$F$12&gt;0,'Limestone Plant (LP-5)'!$F$12,AF14*R14*K14),IF(C14="LP-6",IF('Limestone Plant (LP-6)'!$F$12&gt;0,'Limestone Plant (LP-6)'!$F$12,AF14*R14*K14),IF(C14="LP-7",IF('Limestone Plant (LP-7)'!$F$12&gt;0,'Limestone Plant (LP-7)'!$F$12,AF14*R14*K14),IF(C14="LP-8",IF('Limestone Plant (LP-8)'!$F$12&gt;0,'Limestone Plant (LP-8)'!$F$12,AF14*R14*K14),IF(C14="LP-9",IF('Limestone Plant (LP-9)'!$F$12&gt;0,'Limestone Plant (LP-9)'!$F$12,AF14*R14*K14),IF(C14="LP-10",IF('Limestone Plant (LP-10)'!$F$12&gt;0,'Limestone Plant (LP-10)'!$F$12,AF14*R14*K14))))))))))))</f>
        <v/>
      </c>
      <c r="AH14" s="48" t="str">
        <f t="shared" si="12"/>
        <v/>
      </c>
      <c r="AI14" s="48" t="str">
        <f t="shared" si="13"/>
        <v/>
      </c>
      <c r="AJ14" s="48" t="str">
        <f>IF(F14="","",IF(B14="no",'Emission Factors'!$J$43,'Emission Factors'!$J$44))</f>
        <v/>
      </c>
      <c r="AK14" s="48" t="str">
        <f>IF(F14="","",IF(C14="LP-1",IF('Limestone Plant (LP-1)'!$F$13&gt;0,'Limestone Plant (LP-1)'!$F$13,AJ14*R14),IF(C14="LP-2",IF('Limestone Plant (LP-2)'!$F$13&gt;0,'Limestone Plant (LP-2)'!$F$13,AJ14*R14),IF(C14="LP-3",IF('Limestone Plant (LP-3)'!$F$13&gt;0,'Limestone Plant (LP-3)'!$F$13,AJ14*R14),IF(C14="LP-4",IF('Limestone Plant (LP-4)'!$F$13&gt;0,'Limestone Plant (LP-4)'!$F$13,AJ14*R14),IF(C14="LP-5",IF('Limestone Plant (LP-5)'!$F$13&gt;0,'Limestone Plant (LP-5)'!$F$13,AJ14*R14),IF(C14="LP-6",IF('Limestone Plant (LP-6)'!$F$13&gt;0,'Limestone Plant (LP-6)'!$F$13,AJ14*R14),IF(C14="LP-7",IF('Limestone Plant (LP-7)'!$F$13&gt;0,'Limestone Plant (LP-7)'!$F$13,AJ14*R14),IF(C14="LP-8",IF('Limestone Plant (LP-8)'!$F$13&gt;0,'Limestone Plant (LP-8)'!$F$13,AJ14*R14),IF(C14="LP-9",IF('Limestone Plant (LP-9)'!$F$13&gt;0,'Limestone Plant (LP-9)'!$F$13,AJ14*R14),IF(C14="LP-10",IF('Limestone Plant (LP-10)'!$F$13&gt;0,'Limestone Plant (LP-10)'!$F$13,AJ14*R14))))))))))))</f>
        <v/>
      </c>
      <c r="AL14" s="48" t="str">
        <f t="shared" si="14"/>
        <v/>
      </c>
      <c r="AM14" s="48" t="str">
        <f t="shared" si="15"/>
        <v/>
      </c>
      <c r="AN14" s="48" t="str">
        <f>IF(F14="","",IF(B14="no",'Emission Factors'!$L$43,'Emission Factors'!$L$44))</f>
        <v/>
      </c>
      <c r="AO14" s="48" t="str">
        <f>IF(F14="","",IF(C14="LP-1",IF('Limestone Plant (LP-1)'!$F$14&gt;0,'Limestone Plant (LP-1)'!$F$14,AN14*R14),IF(C14="LP-2",IF('Limestone Plant (LP-2)'!$F$14&gt;0,'Limestone Plant (LP-2)'!$F$14,AN14*R14),IF(C14="LP-3",IF('Limestone Plant (LP-3)'!$F$14&gt;0,'Limestone Plant (LP-3)'!$F$14,AN14*R14),IF(C14="LP-4",IF('Limestone Plant (LP-4)'!$F$14&gt;0,'Limestone Plant (LP-4)'!$F$14,AN14*R14),IF(C14="LP-5",IF('Limestone Plant (LP-5)'!$F$14&gt;0,'Limestone Plant (LP-5)'!$F$14,AN14*R14),IF(C14="LP-6",IF('Limestone Plant (LP-6)'!$F$14&gt;0,'Limestone Plant (LP-6)'!$F$14,AN14*R14),IF(C14="LP-7",IF('Limestone Plant (LP-7)'!$F$14&gt;0,'Limestone Plant (LP-7)'!$F$14,AN14*R14),IF(C14="LP-8",IF('Limestone Plant (LP-8)'!$F$14&gt;0,'Limestone Plant (LP-8)'!$F$14,AN14*R14),IF(C14="LP-9",IF('Limestone Plant (LP-9)'!$F$14&gt;0,'Limestone Plant (LP-9)'!$F$14,AN14*R14),IF(C14="LP-10",IF('Limestone Plant (LP-10)'!$F$14&gt;0,'Limestone Plant (LP-10)'!$F$14,AN14*R14))))))))))))</f>
        <v/>
      </c>
      <c r="AP14" s="48" t="str">
        <f t="shared" si="16"/>
        <v/>
      </c>
      <c r="AQ14" s="48" t="str">
        <f t="shared" si="17"/>
        <v/>
      </c>
      <c r="AR14" s="48" t="str">
        <f>IF(F14="","",IF(B14="no",'Emission Factors'!$N$43,'Emission Factors'!$N$44))</f>
        <v/>
      </c>
      <c r="AS14" s="48" t="str">
        <f>IF(F14="","",IF(C14="LP-1",IF('Limestone Plant (LP-1)'!$F$15&gt;0,'Limestone Plant (LP-1)'!$F$15,AR14*R14),IF(C14="LP-2",IF('Limestone Plant (LP-2)'!$F$15&gt;0,'Limestone Plant (LP-2)'!$F$15,AR14*R14),IF(C14="LP-3",IF('Limestone Plant (LP-3)'!$F$15&gt;0,'Limestone Plant (LP-3)'!$F$15,AR14*R14),IF(C14="LP-4",IF('Limestone Plant (LP-4)'!$F$15&gt;0,'Limestone Plant (LP-4)'!$F$15,AR14*R14),IF(C14="LP-5",IF('Limestone Plant (LP-5)'!$F$15&gt;0,'Limestone Plant (LP-5)'!$F$15,AR14*R14),IF(C14="LP-6",IF('Limestone Plant (LP-6)'!$F$15&gt;0,'Limestone Plant (LP-6)'!$F$15,AR14*R14),IF(C14="LP-7",IF('Limestone Plant (LP-7)'!$F$15&gt;0,'Limestone Plant (LP-7)'!$F$15,AR14*R14),IF(C14="LP-8",IF('Limestone Plant (LP-8)'!$F$15&gt;0,'Limestone Plant (LP-8)'!$F$15,AR14*R14),IF(C14="LP-9",IF('Limestone Plant (LP-9)'!$F$15&gt;0,'Limestone Plant (LP-9)'!$F$15,AR14*R14),IF(C14="LP-10",IF('Limestone Plant (LP-10)'!$F$15&gt;0,'Limestone Plant (LP-10)'!$F$15,AR14*R14))))))))))))</f>
        <v/>
      </c>
      <c r="AT14" s="48" t="str">
        <f t="shared" si="18"/>
        <v/>
      </c>
      <c r="AU14" s="48" t="str">
        <f t="shared" si="19"/>
        <v/>
      </c>
      <c r="AV14" s="48" t="str">
        <f>IF(F14="","",IF(B14="no",'Emission Factors'!$P$43,'Emission Factors'!$P$44))</f>
        <v/>
      </c>
      <c r="AW14" s="48" t="str">
        <f t="shared" si="20"/>
        <v/>
      </c>
      <c r="AX14" s="48" t="str">
        <f t="shared" si="21"/>
        <v/>
      </c>
      <c r="AY14" s="48" t="str">
        <f t="shared" si="22"/>
        <v/>
      </c>
      <c r="AZ14" s="48" t="str">
        <f>IF(F14="","",IF(B14="no",'Emission Factors'!$R$43,'Emission Factors'!$R$44))</f>
        <v/>
      </c>
      <c r="BA14" s="48" t="str">
        <f t="shared" si="23"/>
        <v/>
      </c>
      <c r="BB14" s="48" t="str">
        <f t="shared" si="24"/>
        <v/>
      </c>
      <c r="BC14" s="48" t="str">
        <f t="shared" si="25"/>
        <v/>
      </c>
    </row>
    <row r="15" spans="1:55" x14ac:dyDescent="0.25">
      <c r="A15" s="6" t="str">
        <f>IF('Facility Information'!$C$21&gt;5,"LP-6","")</f>
        <v/>
      </c>
      <c r="B15" s="6" t="str">
        <f t="shared" si="26"/>
        <v>no</v>
      </c>
      <c r="C15" s="44"/>
      <c r="D15" s="44"/>
      <c r="E15" s="44"/>
      <c r="F15" s="45"/>
      <c r="G15" s="44"/>
      <c r="H15" s="46"/>
      <c r="I15" s="46"/>
      <c r="J15" s="147"/>
      <c r="K15" s="46">
        <f t="shared" si="5"/>
        <v>1</v>
      </c>
      <c r="L15" s="46"/>
      <c r="M15" s="46"/>
      <c r="N15" s="46"/>
      <c r="O15" s="46"/>
      <c r="P15" s="46"/>
      <c r="Q15" s="46"/>
      <c r="R15" s="49" t="str">
        <f t="shared" si="27"/>
        <v/>
      </c>
      <c r="S15" s="46"/>
      <c r="T15" s="48" t="str">
        <f t="shared" si="28"/>
        <v/>
      </c>
      <c r="U15" s="170"/>
      <c r="V15" s="170">
        <f t="shared" si="3"/>
        <v>0</v>
      </c>
      <c r="W15" s="170" t="str">
        <f t="shared" si="4"/>
        <v/>
      </c>
      <c r="X15" s="48" t="str">
        <f>IF(F15="","",IF(B15="no",'Emission Factors'!$D$43,'Emission Factors'!$D$44))</f>
        <v/>
      </c>
      <c r="Y15" s="48" t="str">
        <f t="shared" si="6"/>
        <v/>
      </c>
      <c r="Z15" s="48" t="str">
        <f t="shared" si="7"/>
        <v/>
      </c>
      <c r="AA15" s="48" t="str">
        <f t="shared" si="8"/>
        <v/>
      </c>
      <c r="AB15" s="48" t="str">
        <f>IF(F15="","",IF(B15="no",'Emission Factors'!$F$43,'Emission Factors'!$F$44))</f>
        <v/>
      </c>
      <c r="AC15" s="48" t="str">
        <f t="shared" si="9"/>
        <v/>
      </c>
      <c r="AD15" s="48" t="str">
        <f t="shared" si="10"/>
        <v/>
      </c>
      <c r="AE15" s="48" t="str">
        <f t="shared" si="11"/>
        <v/>
      </c>
      <c r="AF15" s="48" t="str">
        <f>IF(F15="","",IF(B15="no",'Emission Factors'!$H$43,'Emission Factors'!$H$44))</f>
        <v/>
      </c>
      <c r="AG15" s="48" t="str">
        <f>IF(F15="","",IF(C15="LP-1",IF('Limestone Plant (LP-1)'!$F$12&gt;0,'Limestone Plant (LP-1)'!$F$12,AF15*R15*K15),IF(C15="LP-2",IF('Limestone Plant (LP-2)'!$F$12&gt;0,'Limestone Plant (LP-2)'!$F$12,AF15*R15*K15),IF(C15="LP-3",IF('Limestone Plant (LP-3)'!$F$12&gt;0,'Limestone Plant (LP-3)'!$F$12,AF15*R15*K15),IF(C15="LP-4",IF('Limestone Plant (LP-4)'!$F$12&gt;0,'Limestone Plant (LP-4)'!$F$12,AF15*R15*K15),IF(C15="LP-5",IF('Limestone Plant (LP-5)'!$F$12&gt;0,'Limestone Plant (LP-5)'!$F$12,AF15*R15*K15),IF(C15="LP-6",IF('Limestone Plant (LP-6)'!$F$12&gt;0,'Limestone Plant (LP-6)'!$F$12,AF15*R15*K15),IF(C15="LP-7",IF('Limestone Plant (LP-7)'!$F$12&gt;0,'Limestone Plant (LP-7)'!$F$12,AF15*R15*K15),IF(C15="LP-8",IF('Limestone Plant (LP-8)'!$F$12&gt;0,'Limestone Plant (LP-8)'!$F$12,AF15*R15*K15),IF(C15="LP-9",IF('Limestone Plant (LP-9)'!$F$12&gt;0,'Limestone Plant (LP-9)'!$F$12,AF15*R15*K15),IF(C15="LP-10",IF('Limestone Plant (LP-10)'!$F$12&gt;0,'Limestone Plant (LP-10)'!$F$12,AF15*R15*K15))))))))))))</f>
        <v/>
      </c>
      <c r="AH15" s="48" t="str">
        <f t="shared" si="12"/>
        <v/>
      </c>
      <c r="AI15" s="48" t="str">
        <f t="shared" si="13"/>
        <v/>
      </c>
      <c r="AJ15" s="48" t="str">
        <f>IF(F15="","",IF(B15="no",'Emission Factors'!$J$43,'Emission Factors'!$J$44))</f>
        <v/>
      </c>
      <c r="AK15" s="48" t="str">
        <f>IF(F15="","",IF(C15="LP-1",IF('Limestone Plant (LP-1)'!$F$13&gt;0,'Limestone Plant (LP-1)'!$F$13,AJ15*R15),IF(C15="LP-2",IF('Limestone Plant (LP-2)'!$F$13&gt;0,'Limestone Plant (LP-2)'!$F$13,AJ15*R15),IF(C15="LP-3",IF('Limestone Plant (LP-3)'!$F$13&gt;0,'Limestone Plant (LP-3)'!$F$13,AJ15*R15),IF(C15="LP-4",IF('Limestone Plant (LP-4)'!$F$13&gt;0,'Limestone Plant (LP-4)'!$F$13,AJ15*R15),IF(C15="LP-5",IF('Limestone Plant (LP-5)'!$F$13&gt;0,'Limestone Plant (LP-5)'!$F$13,AJ15*R15),IF(C15="LP-6",IF('Limestone Plant (LP-6)'!$F$13&gt;0,'Limestone Plant (LP-6)'!$F$13,AJ15*R15),IF(C15="LP-7",IF('Limestone Plant (LP-7)'!$F$13&gt;0,'Limestone Plant (LP-7)'!$F$13,AJ15*R15),IF(C15="LP-8",IF('Limestone Plant (LP-8)'!$F$13&gt;0,'Limestone Plant (LP-8)'!$F$13,AJ15*R15),IF(C15="LP-9",IF('Limestone Plant (LP-9)'!$F$13&gt;0,'Limestone Plant (LP-9)'!$F$13,AJ15*R15),IF(C15="LP-10",IF('Limestone Plant (LP-10)'!$F$13&gt;0,'Limestone Plant (LP-10)'!$F$13,AJ15*R15))))))))))))</f>
        <v/>
      </c>
      <c r="AL15" s="48" t="str">
        <f t="shared" si="14"/>
        <v/>
      </c>
      <c r="AM15" s="48" t="str">
        <f t="shared" si="15"/>
        <v/>
      </c>
      <c r="AN15" s="48" t="str">
        <f>IF(F15="","",IF(B15="no",'Emission Factors'!$L$43,'Emission Factors'!$L$44))</f>
        <v/>
      </c>
      <c r="AO15" s="48" t="str">
        <f>IF(F15="","",IF(C15="LP-1",IF('Limestone Plant (LP-1)'!$F$14&gt;0,'Limestone Plant (LP-1)'!$F$14,AN15*R15),IF(C15="LP-2",IF('Limestone Plant (LP-2)'!$F$14&gt;0,'Limestone Plant (LP-2)'!$F$14,AN15*R15),IF(C15="LP-3",IF('Limestone Plant (LP-3)'!$F$14&gt;0,'Limestone Plant (LP-3)'!$F$14,AN15*R15),IF(C15="LP-4",IF('Limestone Plant (LP-4)'!$F$14&gt;0,'Limestone Plant (LP-4)'!$F$14,AN15*R15),IF(C15="LP-5",IF('Limestone Plant (LP-5)'!$F$14&gt;0,'Limestone Plant (LP-5)'!$F$14,AN15*R15),IF(C15="LP-6",IF('Limestone Plant (LP-6)'!$F$14&gt;0,'Limestone Plant (LP-6)'!$F$14,AN15*R15),IF(C15="LP-7",IF('Limestone Plant (LP-7)'!$F$14&gt;0,'Limestone Plant (LP-7)'!$F$14,AN15*R15),IF(C15="LP-8",IF('Limestone Plant (LP-8)'!$F$14&gt;0,'Limestone Plant (LP-8)'!$F$14,AN15*R15),IF(C15="LP-9",IF('Limestone Plant (LP-9)'!$F$14&gt;0,'Limestone Plant (LP-9)'!$F$14,AN15*R15),IF(C15="LP-10",IF('Limestone Plant (LP-10)'!$F$14&gt;0,'Limestone Plant (LP-10)'!$F$14,AN15*R15))))))))))))</f>
        <v/>
      </c>
      <c r="AP15" s="48" t="str">
        <f t="shared" si="16"/>
        <v/>
      </c>
      <c r="AQ15" s="48" t="str">
        <f t="shared" si="17"/>
        <v/>
      </c>
      <c r="AR15" s="48" t="str">
        <f>IF(F15="","",IF(B15="no",'Emission Factors'!$N$43,'Emission Factors'!$N$44))</f>
        <v/>
      </c>
      <c r="AS15" s="48" t="str">
        <f>IF(F15="","",IF(C15="LP-1",IF('Limestone Plant (LP-1)'!$F$15&gt;0,'Limestone Plant (LP-1)'!$F$15,AR15*R15),IF(C15="LP-2",IF('Limestone Plant (LP-2)'!$F$15&gt;0,'Limestone Plant (LP-2)'!$F$15,AR15*R15),IF(C15="LP-3",IF('Limestone Plant (LP-3)'!$F$15&gt;0,'Limestone Plant (LP-3)'!$F$15,AR15*R15),IF(C15="LP-4",IF('Limestone Plant (LP-4)'!$F$15&gt;0,'Limestone Plant (LP-4)'!$F$15,AR15*R15),IF(C15="LP-5",IF('Limestone Plant (LP-5)'!$F$15&gt;0,'Limestone Plant (LP-5)'!$F$15,AR15*R15),IF(C15="LP-6",IF('Limestone Plant (LP-6)'!$F$15&gt;0,'Limestone Plant (LP-6)'!$F$15,AR15*R15),IF(C15="LP-7",IF('Limestone Plant (LP-7)'!$F$15&gt;0,'Limestone Plant (LP-7)'!$F$15,AR15*R15),IF(C15="LP-8",IF('Limestone Plant (LP-8)'!$F$15&gt;0,'Limestone Plant (LP-8)'!$F$15,AR15*R15),IF(C15="LP-9",IF('Limestone Plant (LP-9)'!$F$15&gt;0,'Limestone Plant (LP-9)'!$F$15,AR15*R15),IF(C15="LP-10",IF('Limestone Plant (LP-10)'!$F$15&gt;0,'Limestone Plant (LP-10)'!$F$15,AR15*R15))))))))))))</f>
        <v/>
      </c>
      <c r="AT15" s="48" t="str">
        <f t="shared" si="18"/>
        <v/>
      </c>
      <c r="AU15" s="48" t="str">
        <f t="shared" si="19"/>
        <v/>
      </c>
      <c r="AV15" s="48" t="str">
        <f>IF(F15="","",IF(B15="no",'Emission Factors'!$P$43,'Emission Factors'!$P$44))</f>
        <v/>
      </c>
      <c r="AW15" s="48" t="str">
        <f t="shared" si="20"/>
        <v/>
      </c>
      <c r="AX15" s="48" t="str">
        <f t="shared" si="21"/>
        <v/>
      </c>
      <c r="AY15" s="48" t="str">
        <f t="shared" si="22"/>
        <v/>
      </c>
      <c r="AZ15" s="48" t="str">
        <f>IF(F15="","",IF(B15="no",'Emission Factors'!$R$43,'Emission Factors'!$R$44))</f>
        <v/>
      </c>
      <c r="BA15" s="48" t="str">
        <f t="shared" si="23"/>
        <v/>
      </c>
      <c r="BB15" s="48" t="str">
        <f t="shared" si="24"/>
        <v/>
      </c>
      <c r="BC15" s="48" t="str">
        <f t="shared" si="25"/>
        <v/>
      </c>
    </row>
    <row r="16" spans="1:55" x14ac:dyDescent="0.25">
      <c r="A16" s="6" t="str">
        <f>IF('Facility Information'!$C$21&gt;6,"LP-7","")</f>
        <v/>
      </c>
      <c r="B16" s="6" t="str">
        <f t="shared" si="26"/>
        <v>no</v>
      </c>
      <c r="C16" s="44"/>
      <c r="D16" s="44"/>
      <c r="E16" s="44"/>
      <c r="F16" s="45"/>
      <c r="G16" s="44"/>
      <c r="H16" s="46"/>
      <c r="I16" s="46"/>
      <c r="J16" s="147"/>
      <c r="K16" s="46">
        <f t="shared" si="5"/>
        <v>1</v>
      </c>
      <c r="L16" s="46"/>
      <c r="M16" s="46"/>
      <c r="N16" s="46"/>
      <c r="O16" s="46"/>
      <c r="P16" s="46"/>
      <c r="Q16" s="46"/>
      <c r="R16" s="49" t="str">
        <f t="shared" si="27"/>
        <v/>
      </c>
      <c r="S16" s="46"/>
      <c r="T16" s="48" t="str">
        <f t="shared" si="28"/>
        <v/>
      </c>
      <c r="U16" s="170"/>
      <c r="V16" s="170">
        <f t="shared" si="3"/>
        <v>0</v>
      </c>
      <c r="W16" s="170" t="str">
        <f t="shared" si="4"/>
        <v/>
      </c>
      <c r="X16" s="48" t="str">
        <f>IF(F16="","",IF(B16="no",'Emission Factors'!$D$43,'Emission Factors'!$D$44))</f>
        <v/>
      </c>
      <c r="Y16" s="48" t="str">
        <f t="shared" si="6"/>
        <v/>
      </c>
      <c r="Z16" s="48" t="str">
        <f t="shared" si="7"/>
        <v/>
      </c>
      <c r="AA16" s="48" t="str">
        <f t="shared" si="8"/>
        <v/>
      </c>
      <c r="AB16" s="48" t="str">
        <f>IF(F16="","",IF(B16="no",'Emission Factors'!$F$43,'Emission Factors'!$F$44))</f>
        <v/>
      </c>
      <c r="AC16" s="48" t="str">
        <f t="shared" si="9"/>
        <v/>
      </c>
      <c r="AD16" s="48" t="str">
        <f t="shared" si="10"/>
        <v/>
      </c>
      <c r="AE16" s="48" t="str">
        <f t="shared" si="11"/>
        <v/>
      </c>
      <c r="AF16" s="48" t="str">
        <f>IF(F16="","",IF(B16="no",'Emission Factors'!$H$43,'Emission Factors'!$H$44))</f>
        <v/>
      </c>
      <c r="AG16" s="48" t="str">
        <f>IF(F16="","",IF(C16="LP-1",IF('Limestone Plant (LP-1)'!$F$12&gt;0,'Limestone Plant (LP-1)'!$F$12,AF16*R16*K16),IF(C16="LP-2",IF('Limestone Plant (LP-2)'!$F$12&gt;0,'Limestone Plant (LP-2)'!$F$12,AF16*R16*K16),IF(C16="LP-3",IF('Limestone Plant (LP-3)'!$F$12&gt;0,'Limestone Plant (LP-3)'!$F$12,AF16*R16*K16),IF(C16="LP-4",IF('Limestone Plant (LP-4)'!$F$12&gt;0,'Limestone Plant (LP-4)'!$F$12,AF16*R16*K16),IF(C16="LP-5",IF('Limestone Plant (LP-5)'!$F$12&gt;0,'Limestone Plant (LP-5)'!$F$12,AF16*R16*K16),IF(C16="LP-6",IF('Limestone Plant (LP-6)'!$F$12&gt;0,'Limestone Plant (LP-6)'!$F$12,AF16*R16*K16),IF(C16="LP-7",IF('Limestone Plant (LP-7)'!$F$12&gt;0,'Limestone Plant (LP-7)'!$F$12,AF16*R16*K16),IF(C16="LP-8",IF('Limestone Plant (LP-8)'!$F$12&gt;0,'Limestone Plant (LP-8)'!$F$12,AF16*R16*K16),IF(C16="LP-9",IF('Limestone Plant (LP-9)'!$F$12&gt;0,'Limestone Plant (LP-9)'!$F$12,AF16*R16*K16),IF(C16="LP-10",IF('Limestone Plant (LP-10)'!$F$12&gt;0,'Limestone Plant (LP-10)'!$F$12,AF16*R16*K16))))))))))))</f>
        <v/>
      </c>
      <c r="AH16" s="48" t="str">
        <f t="shared" si="12"/>
        <v/>
      </c>
      <c r="AI16" s="48" t="str">
        <f t="shared" si="13"/>
        <v/>
      </c>
      <c r="AJ16" s="48" t="str">
        <f>IF(F16="","",IF(B16="no",'Emission Factors'!$J$43,'Emission Factors'!$J$44))</f>
        <v/>
      </c>
      <c r="AK16" s="48" t="str">
        <f>IF(F16="","",IF(C16="LP-1",IF('Limestone Plant (LP-1)'!$F$13&gt;0,'Limestone Plant (LP-1)'!$F$13,AJ16*R16),IF(C16="LP-2",IF('Limestone Plant (LP-2)'!$F$13&gt;0,'Limestone Plant (LP-2)'!$F$13,AJ16*R16),IF(C16="LP-3",IF('Limestone Plant (LP-3)'!$F$13&gt;0,'Limestone Plant (LP-3)'!$F$13,AJ16*R16),IF(C16="LP-4",IF('Limestone Plant (LP-4)'!$F$13&gt;0,'Limestone Plant (LP-4)'!$F$13,AJ16*R16),IF(C16="LP-5",IF('Limestone Plant (LP-5)'!$F$13&gt;0,'Limestone Plant (LP-5)'!$F$13,AJ16*R16),IF(C16="LP-6",IF('Limestone Plant (LP-6)'!$F$13&gt;0,'Limestone Plant (LP-6)'!$F$13,AJ16*R16),IF(C16="LP-7",IF('Limestone Plant (LP-7)'!$F$13&gt;0,'Limestone Plant (LP-7)'!$F$13,AJ16*R16),IF(C16="LP-8",IF('Limestone Plant (LP-8)'!$F$13&gt;0,'Limestone Plant (LP-8)'!$F$13,AJ16*R16),IF(C16="LP-9",IF('Limestone Plant (LP-9)'!$F$13&gt;0,'Limestone Plant (LP-9)'!$F$13,AJ16*R16),IF(C16="LP-10",IF('Limestone Plant (LP-10)'!$F$13&gt;0,'Limestone Plant (LP-10)'!$F$13,AJ16*R16))))))))))))</f>
        <v/>
      </c>
      <c r="AL16" s="48" t="str">
        <f t="shared" si="14"/>
        <v/>
      </c>
      <c r="AM16" s="48" t="str">
        <f t="shared" si="15"/>
        <v/>
      </c>
      <c r="AN16" s="48" t="str">
        <f>IF(F16="","",IF(B16="no",'Emission Factors'!$L$43,'Emission Factors'!$L$44))</f>
        <v/>
      </c>
      <c r="AO16" s="48" t="str">
        <f>IF(F16="","",IF(C16="LP-1",IF('Limestone Plant (LP-1)'!$F$14&gt;0,'Limestone Plant (LP-1)'!$F$14,AN16*R16),IF(C16="LP-2",IF('Limestone Plant (LP-2)'!$F$14&gt;0,'Limestone Plant (LP-2)'!$F$14,AN16*R16),IF(C16="LP-3",IF('Limestone Plant (LP-3)'!$F$14&gt;0,'Limestone Plant (LP-3)'!$F$14,AN16*R16),IF(C16="LP-4",IF('Limestone Plant (LP-4)'!$F$14&gt;0,'Limestone Plant (LP-4)'!$F$14,AN16*R16),IF(C16="LP-5",IF('Limestone Plant (LP-5)'!$F$14&gt;0,'Limestone Plant (LP-5)'!$F$14,AN16*R16),IF(C16="LP-6",IF('Limestone Plant (LP-6)'!$F$14&gt;0,'Limestone Plant (LP-6)'!$F$14,AN16*R16),IF(C16="LP-7",IF('Limestone Plant (LP-7)'!$F$14&gt;0,'Limestone Plant (LP-7)'!$F$14,AN16*R16),IF(C16="LP-8",IF('Limestone Plant (LP-8)'!$F$14&gt;0,'Limestone Plant (LP-8)'!$F$14,AN16*R16),IF(C16="LP-9",IF('Limestone Plant (LP-9)'!$F$14&gt;0,'Limestone Plant (LP-9)'!$F$14,AN16*R16),IF(C16="LP-10",IF('Limestone Plant (LP-10)'!$F$14&gt;0,'Limestone Plant (LP-10)'!$F$14,AN16*R16))))))))))))</f>
        <v/>
      </c>
      <c r="AP16" s="48" t="str">
        <f t="shared" si="16"/>
        <v/>
      </c>
      <c r="AQ16" s="48" t="str">
        <f t="shared" si="17"/>
        <v/>
      </c>
      <c r="AR16" s="48" t="str">
        <f>IF(F16="","",IF(B16="no",'Emission Factors'!$N$43,'Emission Factors'!$N$44))</f>
        <v/>
      </c>
      <c r="AS16" s="48" t="str">
        <f>IF(F16="","",IF(C16="LP-1",IF('Limestone Plant (LP-1)'!$F$15&gt;0,'Limestone Plant (LP-1)'!$F$15,AR16*R16),IF(C16="LP-2",IF('Limestone Plant (LP-2)'!$F$15&gt;0,'Limestone Plant (LP-2)'!$F$15,AR16*R16),IF(C16="LP-3",IF('Limestone Plant (LP-3)'!$F$15&gt;0,'Limestone Plant (LP-3)'!$F$15,AR16*R16),IF(C16="LP-4",IF('Limestone Plant (LP-4)'!$F$15&gt;0,'Limestone Plant (LP-4)'!$F$15,AR16*R16),IF(C16="LP-5",IF('Limestone Plant (LP-5)'!$F$15&gt;0,'Limestone Plant (LP-5)'!$F$15,AR16*R16),IF(C16="LP-6",IF('Limestone Plant (LP-6)'!$F$15&gt;0,'Limestone Plant (LP-6)'!$F$15,AR16*R16),IF(C16="LP-7",IF('Limestone Plant (LP-7)'!$F$15&gt;0,'Limestone Plant (LP-7)'!$F$15,AR16*R16),IF(C16="LP-8",IF('Limestone Plant (LP-8)'!$F$15&gt;0,'Limestone Plant (LP-8)'!$F$15,AR16*R16),IF(C16="LP-9",IF('Limestone Plant (LP-9)'!$F$15&gt;0,'Limestone Plant (LP-9)'!$F$15,AR16*R16),IF(C16="LP-10",IF('Limestone Plant (LP-10)'!$F$15&gt;0,'Limestone Plant (LP-10)'!$F$15,AR16*R16))))))))))))</f>
        <v/>
      </c>
      <c r="AT16" s="48" t="str">
        <f t="shared" si="18"/>
        <v/>
      </c>
      <c r="AU16" s="48" t="str">
        <f t="shared" si="19"/>
        <v/>
      </c>
      <c r="AV16" s="48" t="str">
        <f>IF(F16="","",IF(B16="no",'Emission Factors'!$P$43,'Emission Factors'!$P$44))</f>
        <v/>
      </c>
      <c r="AW16" s="48" t="str">
        <f t="shared" si="20"/>
        <v/>
      </c>
      <c r="AX16" s="48" t="str">
        <f t="shared" si="21"/>
        <v/>
      </c>
      <c r="AY16" s="48" t="str">
        <f t="shared" si="22"/>
        <v/>
      </c>
      <c r="AZ16" s="48" t="str">
        <f>IF(F16="","",IF(B16="no",'Emission Factors'!$R$43,'Emission Factors'!$R$44))</f>
        <v/>
      </c>
      <c r="BA16" s="48" t="str">
        <f t="shared" si="23"/>
        <v/>
      </c>
      <c r="BB16" s="48" t="str">
        <f t="shared" si="24"/>
        <v/>
      </c>
      <c r="BC16" s="48" t="str">
        <f t="shared" si="25"/>
        <v/>
      </c>
    </row>
    <row r="17" spans="1:55" x14ac:dyDescent="0.25">
      <c r="A17" s="6" t="str">
        <f>IF('Facility Information'!$C$21&gt;7,"LP-8","")</f>
        <v/>
      </c>
      <c r="B17" s="6" t="str">
        <f t="shared" si="26"/>
        <v>no</v>
      </c>
      <c r="C17" s="44"/>
      <c r="D17" s="44"/>
      <c r="E17" s="44"/>
      <c r="F17" s="45"/>
      <c r="G17" s="44"/>
      <c r="H17" s="46"/>
      <c r="I17" s="46"/>
      <c r="J17" s="147"/>
      <c r="K17" s="46">
        <f t="shared" si="5"/>
        <v>1</v>
      </c>
      <c r="L17" s="46"/>
      <c r="M17" s="46"/>
      <c r="N17" s="46"/>
      <c r="O17" s="46"/>
      <c r="P17" s="46"/>
      <c r="Q17" s="46"/>
      <c r="R17" s="49" t="str">
        <f t="shared" si="27"/>
        <v/>
      </c>
      <c r="S17" s="46"/>
      <c r="T17" s="48" t="str">
        <f t="shared" si="28"/>
        <v/>
      </c>
      <c r="U17" s="170"/>
      <c r="V17" s="170">
        <f t="shared" si="3"/>
        <v>0</v>
      </c>
      <c r="W17" s="170" t="str">
        <f t="shared" si="4"/>
        <v/>
      </c>
      <c r="X17" s="48" t="str">
        <f>IF(F17="","",IF(B17="no",'Emission Factors'!$D$43,'Emission Factors'!$D$44))</f>
        <v/>
      </c>
      <c r="Y17" s="48" t="str">
        <f t="shared" si="6"/>
        <v/>
      </c>
      <c r="Z17" s="48" t="str">
        <f t="shared" si="7"/>
        <v/>
      </c>
      <c r="AA17" s="48" t="str">
        <f t="shared" si="8"/>
        <v/>
      </c>
      <c r="AB17" s="48" t="str">
        <f>IF(F17="","",IF(B17="no",'Emission Factors'!$F$43,'Emission Factors'!$F$44))</f>
        <v/>
      </c>
      <c r="AC17" s="48" t="str">
        <f t="shared" si="9"/>
        <v/>
      </c>
      <c r="AD17" s="48" t="str">
        <f t="shared" si="10"/>
        <v/>
      </c>
      <c r="AE17" s="48" t="str">
        <f t="shared" si="11"/>
        <v/>
      </c>
      <c r="AF17" s="48" t="str">
        <f>IF(F17="","",IF(B17="no",'Emission Factors'!$H$43,'Emission Factors'!$H$44))</f>
        <v/>
      </c>
      <c r="AG17" s="48" t="str">
        <f>IF(F17="","",IF(C17="LP-1",IF('Limestone Plant (LP-1)'!$F$12&gt;0,'Limestone Plant (LP-1)'!$F$12,AF17*R17*K17),IF(C17="LP-2",IF('Limestone Plant (LP-2)'!$F$12&gt;0,'Limestone Plant (LP-2)'!$F$12,AF17*R17*K17),IF(C17="LP-3",IF('Limestone Plant (LP-3)'!$F$12&gt;0,'Limestone Plant (LP-3)'!$F$12,AF17*R17*K17),IF(C17="LP-4",IF('Limestone Plant (LP-4)'!$F$12&gt;0,'Limestone Plant (LP-4)'!$F$12,AF17*R17*K17),IF(C17="LP-5",IF('Limestone Plant (LP-5)'!$F$12&gt;0,'Limestone Plant (LP-5)'!$F$12,AF17*R17*K17),IF(C17="LP-6",IF('Limestone Plant (LP-6)'!$F$12&gt;0,'Limestone Plant (LP-6)'!$F$12,AF17*R17*K17),IF(C17="LP-7",IF('Limestone Plant (LP-7)'!$F$12&gt;0,'Limestone Plant (LP-7)'!$F$12,AF17*R17*K17),IF(C17="LP-8",IF('Limestone Plant (LP-8)'!$F$12&gt;0,'Limestone Plant (LP-8)'!$F$12,AF17*R17*K17),IF(C17="LP-9",IF('Limestone Plant (LP-9)'!$F$12&gt;0,'Limestone Plant (LP-9)'!$F$12,AF17*R17*K17),IF(C17="LP-10",IF('Limestone Plant (LP-10)'!$F$12&gt;0,'Limestone Plant (LP-10)'!$F$12,AF17*R17*K17))))))))))))</f>
        <v/>
      </c>
      <c r="AH17" s="48" t="str">
        <f t="shared" si="12"/>
        <v/>
      </c>
      <c r="AI17" s="48" t="str">
        <f t="shared" si="13"/>
        <v/>
      </c>
      <c r="AJ17" s="48" t="str">
        <f>IF(F17="","",IF(B17="no",'Emission Factors'!$J$43,'Emission Factors'!$J$44))</f>
        <v/>
      </c>
      <c r="AK17" s="48" t="str">
        <f>IF(F17="","",IF(C17="LP-1",IF('Limestone Plant (LP-1)'!$F$13&gt;0,'Limestone Plant (LP-1)'!$F$13,AJ17*R17),IF(C17="LP-2",IF('Limestone Plant (LP-2)'!$F$13&gt;0,'Limestone Plant (LP-2)'!$F$13,AJ17*R17),IF(C17="LP-3",IF('Limestone Plant (LP-3)'!$F$13&gt;0,'Limestone Plant (LP-3)'!$F$13,AJ17*R17),IF(C17="LP-4",IF('Limestone Plant (LP-4)'!$F$13&gt;0,'Limestone Plant (LP-4)'!$F$13,AJ17*R17),IF(C17="LP-5",IF('Limestone Plant (LP-5)'!$F$13&gt;0,'Limestone Plant (LP-5)'!$F$13,AJ17*R17),IF(C17="LP-6",IF('Limestone Plant (LP-6)'!$F$13&gt;0,'Limestone Plant (LP-6)'!$F$13,AJ17*R17),IF(C17="LP-7",IF('Limestone Plant (LP-7)'!$F$13&gt;0,'Limestone Plant (LP-7)'!$F$13,AJ17*R17),IF(C17="LP-8",IF('Limestone Plant (LP-8)'!$F$13&gt;0,'Limestone Plant (LP-8)'!$F$13,AJ17*R17),IF(C17="LP-9",IF('Limestone Plant (LP-9)'!$F$13&gt;0,'Limestone Plant (LP-9)'!$F$13,AJ17*R17),IF(C17="LP-10",IF('Limestone Plant (LP-10)'!$F$13&gt;0,'Limestone Plant (LP-10)'!$F$13,AJ17*R17))))))))))))</f>
        <v/>
      </c>
      <c r="AL17" s="48" t="str">
        <f t="shared" si="14"/>
        <v/>
      </c>
      <c r="AM17" s="48" t="str">
        <f t="shared" si="15"/>
        <v/>
      </c>
      <c r="AN17" s="48" t="str">
        <f>IF(F17="","",IF(B17="no",'Emission Factors'!$L$43,'Emission Factors'!$L$44))</f>
        <v/>
      </c>
      <c r="AO17" s="48" t="str">
        <f>IF(F17="","",IF(C17="LP-1",IF('Limestone Plant (LP-1)'!$F$14&gt;0,'Limestone Plant (LP-1)'!$F$14,AN17*R17),IF(C17="LP-2",IF('Limestone Plant (LP-2)'!$F$14&gt;0,'Limestone Plant (LP-2)'!$F$14,AN17*R17),IF(C17="LP-3",IF('Limestone Plant (LP-3)'!$F$14&gt;0,'Limestone Plant (LP-3)'!$F$14,AN17*R17),IF(C17="LP-4",IF('Limestone Plant (LP-4)'!$F$14&gt;0,'Limestone Plant (LP-4)'!$F$14,AN17*R17),IF(C17="LP-5",IF('Limestone Plant (LP-5)'!$F$14&gt;0,'Limestone Plant (LP-5)'!$F$14,AN17*R17),IF(C17="LP-6",IF('Limestone Plant (LP-6)'!$F$14&gt;0,'Limestone Plant (LP-6)'!$F$14,AN17*R17),IF(C17="LP-7",IF('Limestone Plant (LP-7)'!$F$14&gt;0,'Limestone Plant (LP-7)'!$F$14,AN17*R17),IF(C17="LP-8",IF('Limestone Plant (LP-8)'!$F$14&gt;0,'Limestone Plant (LP-8)'!$F$14,AN17*R17),IF(C17="LP-9",IF('Limestone Plant (LP-9)'!$F$14&gt;0,'Limestone Plant (LP-9)'!$F$14,AN17*R17),IF(C17="LP-10",IF('Limestone Plant (LP-10)'!$F$14&gt;0,'Limestone Plant (LP-10)'!$F$14,AN17*R17))))))))))))</f>
        <v/>
      </c>
      <c r="AP17" s="48" t="str">
        <f t="shared" si="16"/>
        <v/>
      </c>
      <c r="AQ17" s="48" t="str">
        <f t="shared" si="17"/>
        <v/>
      </c>
      <c r="AR17" s="48" t="str">
        <f>IF(F17="","",IF(B17="no",'Emission Factors'!$N$43,'Emission Factors'!$N$44))</f>
        <v/>
      </c>
      <c r="AS17" s="48" t="str">
        <f>IF(F17="","",IF(C17="LP-1",IF('Limestone Plant (LP-1)'!$F$15&gt;0,'Limestone Plant (LP-1)'!$F$15,AR17*R17),IF(C17="LP-2",IF('Limestone Plant (LP-2)'!$F$15&gt;0,'Limestone Plant (LP-2)'!$F$15,AR17*R17),IF(C17="LP-3",IF('Limestone Plant (LP-3)'!$F$15&gt;0,'Limestone Plant (LP-3)'!$F$15,AR17*R17),IF(C17="LP-4",IF('Limestone Plant (LP-4)'!$F$15&gt;0,'Limestone Plant (LP-4)'!$F$15,AR17*R17),IF(C17="LP-5",IF('Limestone Plant (LP-5)'!$F$15&gt;0,'Limestone Plant (LP-5)'!$F$15,AR17*R17),IF(C17="LP-6",IF('Limestone Plant (LP-6)'!$F$15&gt;0,'Limestone Plant (LP-6)'!$F$15,AR17*R17),IF(C17="LP-7",IF('Limestone Plant (LP-7)'!$F$15&gt;0,'Limestone Plant (LP-7)'!$F$15,AR17*R17),IF(C17="LP-8",IF('Limestone Plant (LP-8)'!$F$15&gt;0,'Limestone Plant (LP-8)'!$F$15,AR17*R17),IF(C17="LP-9",IF('Limestone Plant (LP-9)'!$F$15&gt;0,'Limestone Plant (LP-9)'!$F$15,AR17*R17),IF(C17="LP-10",IF('Limestone Plant (LP-10)'!$F$15&gt;0,'Limestone Plant (LP-10)'!$F$15,AR17*R17))))))))))))</f>
        <v/>
      </c>
      <c r="AT17" s="48" t="str">
        <f t="shared" si="18"/>
        <v/>
      </c>
      <c r="AU17" s="48" t="str">
        <f t="shared" si="19"/>
        <v/>
      </c>
      <c r="AV17" s="48" t="str">
        <f>IF(F17="","",IF(B17="no",'Emission Factors'!$P$43,'Emission Factors'!$P$44))</f>
        <v/>
      </c>
      <c r="AW17" s="48" t="str">
        <f t="shared" si="20"/>
        <v/>
      </c>
      <c r="AX17" s="48" t="str">
        <f t="shared" si="21"/>
        <v/>
      </c>
      <c r="AY17" s="48" t="str">
        <f t="shared" si="22"/>
        <v/>
      </c>
      <c r="AZ17" s="48" t="str">
        <f>IF(F17="","",IF(B17="no",'Emission Factors'!$R$43,'Emission Factors'!$R$44))</f>
        <v/>
      </c>
      <c r="BA17" s="48" t="str">
        <f t="shared" si="23"/>
        <v/>
      </c>
      <c r="BB17" s="48" t="str">
        <f t="shared" si="24"/>
        <v/>
      </c>
      <c r="BC17" s="48" t="str">
        <f t="shared" si="25"/>
        <v/>
      </c>
    </row>
    <row r="18" spans="1:55" x14ac:dyDescent="0.25">
      <c r="A18" s="6" t="str">
        <f>IF('Facility Information'!$C$21&gt;8,"LP-9","")</f>
        <v/>
      </c>
      <c r="B18" s="6" t="str">
        <f t="shared" si="26"/>
        <v>no</v>
      </c>
      <c r="C18" s="44"/>
      <c r="D18" s="44"/>
      <c r="E18" s="44"/>
      <c r="F18" s="45"/>
      <c r="G18" s="44"/>
      <c r="H18" s="46"/>
      <c r="I18" s="46"/>
      <c r="J18" s="147"/>
      <c r="K18" s="46">
        <f t="shared" si="5"/>
        <v>1</v>
      </c>
      <c r="L18" s="46"/>
      <c r="M18" s="46"/>
      <c r="N18" s="46"/>
      <c r="O18" s="46"/>
      <c r="P18" s="46"/>
      <c r="Q18" s="46"/>
      <c r="R18" s="49" t="str">
        <f t="shared" si="27"/>
        <v/>
      </c>
      <c r="S18" s="46"/>
      <c r="T18" s="48" t="str">
        <f t="shared" si="28"/>
        <v/>
      </c>
      <c r="U18" s="170"/>
      <c r="V18" s="170">
        <f t="shared" si="3"/>
        <v>0</v>
      </c>
      <c r="W18" s="170" t="str">
        <f t="shared" si="4"/>
        <v/>
      </c>
      <c r="X18" s="48" t="str">
        <f>IF(F18="","",IF(B18="no",'Emission Factors'!$D$43,'Emission Factors'!$D$44))</f>
        <v/>
      </c>
      <c r="Y18" s="48" t="str">
        <f t="shared" si="6"/>
        <v/>
      </c>
      <c r="Z18" s="48" t="str">
        <f t="shared" si="7"/>
        <v/>
      </c>
      <c r="AA18" s="48" t="str">
        <f t="shared" si="8"/>
        <v/>
      </c>
      <c r="AB18" s="48" t="str">
        <f>IF(F18="","",IF(B18="no",'Emission Factors'!$F$43,'Emission Factors'!$F$44))</f>
        <v/>
      </c>
      <c r="AC18" s="48" t="str">
        <f t="shared" si="9"/>
        <v/>
      </c>
      <c r="AD18" s="48" t="str">
        <f t="shared" si="10"/>
        <v/>
      </c>
      <c r="AE18" s="48" t="str">
        <f t="shared" si="11"/>
        <v/>
      </c>
      <c r="AF18" s="48" t="str">
        <f>IF(F18="","",IF(B18="no",'Emission Factors'!$H$43,'Emission Factors'!$H$44))</f>
        <v/>
      </c>
      <c r="AG18" s="48" t="str">
        <f>IF(F18="","",IF(C18="LP-1",IF('Limestone Plant (LP-1)'!$F$12&gt;0,'Limestone Plant (LP-1)'!$F$12,AF18*R18*K18),IF(C18="LP-2",IF('Limestone Plant (LP-2)'!$F$12&gt;0,'Limestone Plant (LP-2)'!$F$12,AF18*R18*K18),IF(C18="LP-3",IF('Limestone Plant (LP-3)'!$F$12&gt;0,'Limestone Plant (LP-3)'!$F$12,AF18*R18*K18),IF(C18="LP-4",IF('Limestone Plant (LP-4)'!$F$12&gt;0,'Limestone Plant (LP-4)'!$F$12,AF18*R18*K18),IF(C18="LP-5",IF('Limestone Plant (LP-5)'!$F$12&gt;0,'Limestone Plant (LP-5)'!$F$12,AF18*R18*K18),IF(C18="LP-6",IF('Limestone Plant (LP-6)'!$F$12&gt;0,'Limestone Plant (LP-6)'!$F$12,AF18*R18*K18),IF(C18="LP-7",IF('Limestone Plant (LP-7)'!$F$12&gt;0,'Limestone Plant (LP-7)'!$F$12,AF18*R18*K18),IF(C18="LP-8",IF('Limestone Plant (LP-8)'!$F$12&gt;0,'Limestone Plant (LP-8)'!$F$12,AF18*R18*K18),IF(C18="LP-9",IF('Limestone Plant (LP-9)'!$F$12&gt;0,'Limestone Plant (LP-9)'!$F$12,AF18*R18*K18),IF(C18="LP-10",IF('Limestone Plant (LP-10)'!$F$12&gt;0,'Limestone Plant (LP-10)'!$F$12,AF18*R18*K18))))))))))))</f>
        <v/>
      </c>
      <c r="AH18" s="48" t="str">
        <f t="shared" si="12"/>
        <v/>
      </c>
      <c r="AI18" s="48" t="str">
        <f t="shared" si="13"/>
        <v/>
      </c>
      <c r="AJ18" s="48" t="str">
        <f>IF(F18="","",IF(B18="no",'Emission Factors'!$J$43,'Emission Factors'!$J$44))</f>
        <v/>
      </c>
      <c r="AK18" s="48" t="str">
        <f>IF(F18="","",IF(C18="LP-1",IF('Limestone Plant (LP-1)'!$F$13&gt;0,'Limestone Plant (LP-1)'!$F$13,AJ18*R18),IF(C18="LP-2",IF('Limestone Plant (LP-2)'!$F$13&gt;0,'Limestone Plant (LP-2)'!$F$13,AJ18*R18),IF(C18="LP-3",IF('Limestone Plant (LP-3)'!$F$13&gt;0,'Limestone Plant (LP-3)'!$F$13,AJ18*R18),IF(C18="LP-4",IF('Limestone Plant (LP-4)'!$F$13&gt;0,'Limestone Plant (LP-4)'!$F$13,AJ18*R18),IF(C18="LP-5",IF('Limestone Plant (LP-5)'!$F$13&gt;0,'Limestone Plant (LP-5)'!$F$13,AJ18*R18),IF(C18="LP-6",IF('Limestone Plant (LP-6)'!$F$13&gt;0,'Limestone Plant (LP-6)'!$F$13,AJ18*R18),IF(C18="LP-7",IF('Limestone Plant (LP-7)'!$F$13&gt;0,'Limestone Plant (LP-7)'!$F$13,AJ18*R18),IF(C18="LP-8",IF('Limestone Plant (LP-8)'!$F$13&gt;0,'Limestone Plant (LP-8)'!$F$13,AJ18*R18),IF(C18="LP-9",IF('Limestone Plant (LP-9)'!$F$13&gt;0,'Limestone Plant (LP-9)'!$F$13,AJ18*R18),IF(C18="LP-10",IF('Limestone Plant (LP-10)'!$F$13&gt;0,'Limestone Plant (LP-10)'!$F$13,AJ18*R18))))))))))))</f>
        <v/>
      </c>
      <c r="AL18" s="48" t="str">
        <f t="shared" si="14"/>
        <v/>
      </c>
      <c r="AM18" s="48" t="str">
        <f t="shared" si="15"/>
        <v/>
      </c>
      <c r="AN18" s="48" t="str">
        <f>IF(F18="","",IF(B18="no",'Emission Factors'!$L$43,'Emission Factors'!$L$44))</f>
        <v/>
      </c>
      <c r="AO18" s="48" t="str">
        <f>IF(F18="","",IF(C18="LP-1",IF('Limestone Plant (LP-1)'!$F$14&gt;0,'Limestone Plant (LP-1)'!$F$14,AN18*R18),IF(C18="LP-2",IF('Limestone Plant (LP-2)'!$F$14&gt;0,'Limestone Plant (LP-2)'!$F$14,AN18*R18),IF(C18="LP-3",IF('Limestone Plant (LP-3)'!$F$14&gt;0,'Limestone Plant (LP-3)'!$F$14,AN18*R18),IF(C18="LP-4",IF('Limestone Plant (LP-4)'!$F$14&gt;0,'Limestone Plant (LP-4)'!$F$14,AN18*R18),IF(C18="LP-5",IF('Limestone Plant (LP-5)'!$F$14&gt;0,'Limestone Plant (LP-5)'!$F$14,AN18*R18),IF(C18="LP-6",IF('Limestone Plant (LP-6)'!$F$14&gt;0,'Limestone Plant (LP-6)'!$F$14,AN18*R18),IF(C18="LP-7",IF('Limestone Plant (LP-7)'!$F$14&gt;0,'Limestone Plant (LP-7)'!$F$14,AN18*R18),IF(C18="LP-8",IF('Limestone Plant (LP-8)'!$F$14&gt;0,'Limestone Plant (LP-8)'!$F$14,AN18*R18),IF(C18="LP-9",IF('Limestone Plant (LP-9)'!$F$14&gt;0,'Limestone Plant (LP-9)'!$F$14,AN18*R18),IF(C18="LP-10",IF('Limestone Plant (LP-10)'!$F$14&gt;0,'Limestone Plant (LP-10)'!$F$14,AN18*R18))))))))))))</f>
        <v/>
      </c>
      <c r="AP18" s="48" t="str">
        <f t="shared" si="16"/>
        <v/>
      </c>
      <c r="AQ18" s="48" t="str">
        <f t="shared" si="17"/>
        <v/>
      </c>
      <c r="AR18" s="48" t="str">
        <f>IF(F18="","",IF(B18="no",'Emission Factors'!$N$43,'Emission Factors'!$N$44))</f>
        <v/>
      </c>
      <c r="AS18" s="48" t="str">
        <f>IF(F18="","",IF(C18="LP-1",IF('Limestone Plant (LP-1)'!$F$15&gt;0,'Limestone Plant (LP-1)'!$F$15,AR18*R18),IF(C18="LP-2",IF('Limestone Plant (LP-2)'!$F$15&gt;0,'Limestone Plant (LP-2)'!$F$15,AR18*R18),IF(C18="LP-3",IF('Limestone Plant (LP-3)'!$F$15&gt;0,'Limestone Plant (LP-3)'!$F$15,AR18*R18),IF(C18="LP-4",IF('Limestone Plant (LP-4)'!$F$15&gt;0,'Limestone Plant (LP-4)'!$F$15,AR18*R18),IF(C18="LP-5",IF('Limestone Plant (LP-5)'!$F$15&gt;0,'Limestone Plant (LP-5)'!$F$15,AR18*R18),IF(C18="LP-6",IF('Limestone Plant (LP-6)'!$F$15&gt;0,'Limestone Plant (LP-6)'!$F$15,AR18*R18),IF(C18="LP-7",IF('Limestone Plant (LP-7)'!$F$15&gt;0,'Limestone Plant (LP-7)'!$F$15,AR18*R18),IF(C18="LP-8",IF('Limestone Plant (LP-8)'!$F$15&gt;0,'Limestone Plant (LP-8)'!$F$15,AR18*R18),IF(C18="LP-9",IF('Limestone Plant (LP-9)'!$F$15&gt;0,'Limestone Plant (LP-9)'!$F$15,AR18*R18),IF(C18="LP-10",IF('Limestone Plant (LP-10)'!$F$15&gt;0,'Limestone Plant (LP-10)'!$F$15,AR18*R18))))))))))))</f>
        <v/>
      </c>
      <c r="AT18" s="48" t="str">
        <f t="shared" si="18"/>
        <v/>
      </c>
      <c r="AU18" s="48" t="str">
        <f t="shared" si="19"/>
        <v/>
      </c>
      <c r="AV18" s="48" t="str">
        <f>IF(F18="","",IF(B18="no",'Emission Factors'!$P$43,'Emission Factors'!$P$44))</f>
        <v/>
      </c>
      <c r="AW18" s="48" t="str">
        <f t="shared" si="20"/>
        <v/>
      </c>
      <c r="AX18" s="48" t="str">
        <f t="shared" si="21"/>
        <v/>
      </c>
      <c r="AY18" s="48" t="str">
        <f t="shared" si="22"/>
        <v/>
      </c>
      <c r="AZ18" s="48" t="str">
        <f>IF(F18="","",IF(B18="no",'Emission Factors'!$R$43,'Emission Factors'!$R$44))</f>
        <v/>
      </c>
      <c r="BA18" s="48" t="str">
        <f t="shared" si="23"/>
        <v/>
      </c>
      <c r="BB18" s="48" t="str">
        <f t="shared" si="24"/>
        <v/>
      </c>
      <c r="BC18" s="48" t="str">
        <f t="shared" si="25"/>
        <v/>
      </c>
    </row>
    <row r="19" spans="1:55" x14ac:dyDescent="0.25">
      <c r="A19" s="6" t="str">
        <f>IF('Facility Information'!$C$21&gt;9,"LP-10","")</f>
        <v/>
      </c>
      <c r="B19" s="6" t="str">
        <f t="shared" si="26"/>
        <v>no</v>
      </c>
      <c r="C19" s="44"/>
      <c r="D19" s="44"/>
      <c r="E19" s="44"/>
      <c r="F19" s="45"/>
      <c r="G19" s="44"/>
      <c r="H19" s="46"/>
      <c r="I19" s="46"/>
      <c r="J19" s="147"/>
      <c r="K19" s="46">
        <f t="shared" si="5"/>
        <v>1</v>
      </c>
      <c r="L19" s="46"/>
      <c r="M19" s="46"/>
      <c r="N19" s="46"/>
      <c r="O19" s="46"/>
      <c r="P19" s="46"/>
      <c r="Q19" s="46"/>
      <c r="R19" s="49" t="str">
        <f t="shared" si="27"/>
        <v/>
      </c>
      <c r="S19" s="46"/>
      <c r="T19" s="48" t="str">
        <f t="shared" si="28"/>
        <v/>
      </c>
      <c r="U19" s="170"/>
      <c r="V19" s="170">
        <f t="shared" si="3"/>
        <v>0</v>
      </c>
      <c r="W19" s="170" t="str">
        <f t="shared" si="4"/>
        <v/>
      </c>
      <c r="X19" s="48" t="str">
        <f>IF(F19="","",IF(B19="no",'Emission Factors'!$D$43,'Emission Factors'!$D$44))</f>
        <v/>
      </c>
      <c r="Y19" s="48" t="str">
        <f t="shared" si="6"/>
        <v/>
      </c>
      <c r="Z19" s="48" t="str">
        <f t="shared" si="7"/>
        <v/>
      </c>
      <c r="AA19" s="48" t="str">
        <f t="shared" si="8"/>
        <v/>
      </c>
      <c r="AB19" s="48" t="str">
        <f>IF(F19="","",IF(B19="no",'Emission Factors'!$F$43,'Emission Factors'!$F$44))</f>
        <v/>
      </c>
      <c r="AC19" s="48" t="str">
        <f t="shared" si="9"/>
        <v/>
      </c>
      <c r="AD19" s="48" t="str">
        <f t="shared" si="10"/>
        <v/>
      </c>
      <c r="AE19" s="48" t="str">
        <f t="shared" si="11"/>
        <v/>
      </c>
      <c r="AF19" s="48" t="str">
        <f>IF(F19="","",IF(B19="no",'Emission Factors'!$H$43,'Emission Factors'!$H$44))</f>
        <v/>
      </c>
      <c r="AG19" s="48" t="str">
        <f>IF(F19="","",IF(C19="LP-1",IF('Limestone Plant (LP-1)'!$F$12&gt;0,'Limestone Plant (LP-1)'!$F$12,AF19*R19*K19),IF(C19="LP-2",IF('Limestone Plant (LP-2)'!$F$12&gt;0,'Limestone Plant (LP-2)'!$F$12,AF19*R19*K19),IF(C19="LP-3",IF('Limestone Plant (LP-3)'!$F$12&gt;0,'Limestone Plant (LP-3)'!$F$12,AF19*R19*K19),IF(C19="LP-4",IF('Limestone Plant (LP-4)'!$F$12&gt;0,'Limestone Plant (LP-4)'!$F$12,AF19*R19*K19),IF(C19="LP-5",IF('Limestone Plant (LP-5)'!$F$12&gt;0,'Limestone Plant (LP-5)'!$F$12,AF19*R19*K19),IF(C19="LP-6",IF('Limestone Plant (LP-6)'!$F$12&gt;0,'Limestone Plant (LP-6)'!$F$12,AF19*R19*K19),IF(C19="LP-7",IF('Limestone Plant (LP-7)'!$F$12&gt;0,'Limestone Plant (LP-7)'!$F$12,AF19*R19*K19),IF(C19="LP-8",IF('Limestone Plant (LP-8)'!$F$12&gt;0,'Limestone Plant (LP-8)'!$F$12,AF19*R19*K19),IF(C19="LP-9",IF('Limestone Plant (LP-9)'!$F$12&gt;0,'Limestone Plant (LP-9)'!$F$12,AF19*R19*K19),IF(C19="LP-10",IF('Limestone Plant (LP-10)'!$F$12&gt;0,'Limestone Plant (LP-10)'!$F$12,AF19*R19*K19))))))))))))</f>
        <v/>
      </c>
      <c r="AH19" s="48" t="str">
        <f t="shared" si="12"/>
        <v/>
      </c>
      <c r="AI19" s="48" t="str">
        <f t="shared" si="13"/>
        <v/>
      </c>
      <c r="AJ19" s="48" t="str">
        <f>IF(F19="","",IF(B19="no",'Emission Factors'!$J$43,'Emission Factors'!$J$44))</f>
        <v/>
      </c>
      <c r="AK19" s="48" t="str">
        <f>IF(F19="","",IF(C19="LP-1",IF('Limestone Plant (LP-1)'!$F$13&gt;0,'Limestone Plant (LP-1)'!$F$13,AJ19*R19),IF(C19="LP-2",IF('Limestone Plant (LP-2)'!$F$13&gt;0,'Limestone Plant (LP-2)'!$F$13,AJ19*R19),IF(C19="LP-3",IF('Limestone Plant (LP-3)'!$F$13&gt;0,'Limestone Plant (LP-3)'!$F$13,AJ19*R19),IF(C19="LP-4",IF('Limestone Plant (LP-4)'!$F$13&gt;0,'Limestone Plant (LP-4)'!$F$13,AJ19*R19),IF(C19="LP-5",IF('Limestone Plant (LP-5)'!$F$13&gt;0,'Limestone Plant (LP-5)'!$F$13,AJ19*R19),IF(C19="LP-6",IF('Limestone Plant (LP-6)'!$F$13&gt;0,'Limestone Plant (LP-6)'!$F$13,AJ19*R19),IF(C19="LP-7",IF('Limestone Plant (LP-7)'!$F$13&gt;0,'Limestone Plant (LP-7)'!$F$13,AJ19*R19),IF(C19="LP-8",IF('Limestone Plant (LP-8)'!$F$13&gt;0,'Limestone Plant (LP-8)'!$F$13,AJ19*R19),IF(C19="LP-9",IF('Limestone Plant (LP-9)'!$F$13&gt;0,'Limestone Plant (LP-9)'!$F$13,AJ19*R19),IF(C19="LP-10",IF('Limestone Plant (LP-10)'!$F$13&gt;0,'Limestone Plant (LP-10)'!$F$13,AJ19*R19))))))))))))</f>
        <v/>
      </c>
      <c r="AL19" s="48" t="str">
        <f t="shared" si="14"/>
        <v/>
      </c>
      <c r="AM19" s="48" t="str">
        <f t="shared" si="15"/>
        <v/>
      </c>
      <c r="AN19" s="48" t="str">
        <f>IF(F19="","",IF(B19="no",'Emission Factors'!$L$43,'Emission Factors'!$L$44))</f>
        <v/>
      </c>
      <c r="AO19" s="48" t="str">
        <f>IF(F19="","",IF(C19="LP-1",IF('Limestone Plant (LP-1)'!$F$14&gt;0,'Limestone Plant (LP-1)'!$F$14,AN19*R19),IF(C19="LP-2",IF('Limestone Plant (LP-2)'!$F$14&gt;0,'Limestone Plant (LP-2)'!$F$14,AN19*R19),IF(C19="LP-3",IF('Limestone Plant (LP-3)'!$F$14&gt;0,'Limestone Plant (LP-3)'!$F$14,AN19*R19),IF(C19="LP-4",IF('Limestone Plant (LP-4)'!$F$14&gt;0,'Limestone Plant (LP-4)'!$F$14,AN19*R19),IF(C19="LP-5",IF('Limestone Plant (LP-5)'!$F$14&gt;0,'Limestone Plant (LP-5)'!$F$14,AN19*R19),IF(C19="LP-6",IF('Limestone Plant (LP-6)'!$F$14&gt;0,'Limestone Plant (LP-6)'!$F$14,AN19*R19),IF(C19="LP-7",IF('Limestone Plant (LP-7)'!$F$14&gt;0,'Limestone Plant (LP-7)'!$F$14,AN19*R19),IF(C19="LP-8",IF('Limestone Plant (LP-8)'!$F$14&gt;0,'Limestone Plant (LP-8)'!$F$14,AN19*R19),IF(C19="LP-9",IF('Limestone Plant (LP-9)'!$F$14&gt;0,'Limestone Plant (LP-9)'!$F$14,AN19*R19),IF(C19="LP-10",IF('Limestone Plant (LP-10)'!$F$14&gt;0,'Limestone Plant (LP-10)'!$F$14,AN19*R19))))))))))))</f>
        <v/>
      </c>
      <c r="AP19" s="48" t="str">
        <f t="shared" si="16"/>
        <v/>
      </c>
      <c r="AQ19" s="48" t="str">
        <f t="shared" si="17"/>
        <v/>
      </c>
      <c r="AR19" s="48" t="str">
        <f>IF(F19="","",IF(B19="no",'Emission Factors'!$N$43,'Emission Factors'!$N$44))</f>
        <v/>
      </c>
      <c r="AS19" s="48" t="str">
        <f>IF(F19="","",IF(C19="LP-1",IF('Limestone Plant (LP-1)'!$F$15&gt;0,'Limestone Plant (LP-1)'!$F$15,AR19*R19),IF(C19="LP-2",IF('Limestone Plant (LP-2)'!$F$15&gt;0,'Limestone Plant (LP-2)'!$F$15,AR19*R19),IF(C19="LP-3",IF('Limestone Plant (LP-3)'!$F$15&gt;0,'Limestone Plant (LP-3)'!$F$15,AR19*R19),IF(C19="LP-4",IF('Limestone Plant (LP-4)'!$F$15&gt;0,'Limestone Plant (LP-4)'!$F$15,AR19*R19),IF(C19="LP-5",IF('Limestone Plant (LP-5)'!$F$15&gt;0,'Limestone Plant (LP-5)'!$F$15,AR19*R19),IF(C19="LP-6",IF('Limestone Plant (LP-6)'!$F$15&gt;0,'Limestone Plant (LP-6)'!$F$15,AR19*R19),IF(C19="LP-7",IF('Limestone Plant (LP-7)'!$F$15&gt;0,'Limestone Plant (LP-7)'!$F$15,AR19*R19),IF(C19="LP-8",IF('Limestone Plant (LP-8)'!$F$15&gt;0,'Limestone Plant (LP-8)'!$F$15,AR19*R19),IF(C19="LP-9",IF('Limestone Plant (LP-9)'!$F$15&gt;0,'Limestone Plant (LP-9)'!$F$15,AR19*R19),IF(C19="LP-10",IF('Limestone Plant (LP-10)'!$F$15&gt;0,'Limestone Plant (LP-10)'!$F$15,AR19*R19))))))))))))</f>
        <v/>
      </c>
      <c r="AT19" s="48" t="str">
        <f t="shared" si="18"/>
        <v/>
      </c>
      <c r="AU19" s="48" t="str">
        <f t="shared" si="19"/>
        <v/>
      </c>
      <c r="AV19" s="48" t="str">
        <f>IF(F19="","",IF(B19="no",'Emission Factors'!$P$43,'Emission Factors'!$P$44))</f>
        <v/>
      </c>
      <c r="AW19" s="48" t="str">
        <f t="shared" si="20"/>
        <v/>
      </c>
      <c r="AX19" s="48" t="str">
        <f t="shared" si="21"/>
        <v/>
      </c>
      <c r="AY19" s="48" t="str">
        <f t="shared" si="22"/>
        <v/>
      </c>
      <c r="AZ19" s="48" t="str">
        <f>IF(F19="","",IF(B19="no",'Emission Factors'!$R$43,'Emission Factors'!$R$44))</f>
        <v/>
      </c>
      <c r="BA19" s="48" t="str">
        <f t="shared" si="23"/>
        <v/>
      </c>
      <c r="BB19" s="48" t="str">
        <f t="shared" si="24"/>
        <v/>
      </c>
      <c r="BC19" s="48" t="str">
        <f t="shared" si="25"/>
        <v/>
      </c>
    </row>
    <row r="20" spans="1:55" x14ac:dyDescent="0.25">
      <c r="B20" s="6" t="str">
        <f t="shared" si="26"/>
        <v>no</v>
      </c>
      <c r="C20" s="44"/>
      <c r="D20" s="44"/>
      <c r="E20" s="44"/>
      <c r="F20" s="45"/>
      <c r="G20" s="44"/>
      <c r="H20" s="46"/>
      <c r="I20" s="46"/>
      <c r="J20" s="147"/>
      <c r="K20" s="46">
        <f t="shared" si="5"/>
        <v>1</v>
      </c>
      <c r="L20" s="46"/>
      <c r="M20" s="46"/>
      <c r="N20" s="46"/>
      <c r="O20" s="46"/>
      <c r="P20" s="46"/>
      <c r="Q20" s="46"/>
      <c r="R20" s="49" t="str">
        <f t="shared" si="27"/>
        <v/>
      </c>
      <c r="S20" s="46"/>
      <c r="T20" s="48" t="str">
        <f t="shared" si="28"/>
        <v/>
      </c>
      <c r="U20" s="170"/>
      <c r="V20" s="170">
        <f t="shared" si="3"/>
        <v>0</v>
      </c>
      <c r="W20" s="170" t="str">
        <f t="shared" si="4"/>
        <v/>
      </c>
      <c r="X20" s="48" t="str">
        <f>IF(F20="","",IF(B20="no",'Emission Factors'!$D$43,'Emission Factors'!$D$44))</f>
        <v/>
      </c>
      <c r="Y20" s="48" t="str">
        <f t="shared" si="6"/>
        <v/>
      </c>
      <c r="Z20" s="48" t="str">
        <f t="shared" si="7"/>
        <v/>
      </c>
      <c r="AA20" s="48" t="str">
        <f t="shared" si="8"/>
        <v/>
      </c>
      <c r="AB20" s="48" t="str">
        <f>IF(F20="","",IF(B20="no",'Emission Factors'!$F$43,'Emission Factors'!$F$44))</f>
        <v/>
      </c>
      <c r="AC20" s="48" t="str">
        <f t="shared" si="9"/>
        <v/>
      </c>
      <c r="AD20" s="48" t="str">
        <f t="shared" si="10"/>
        <v/>
      </c>
      <c r="AE20" s="48" t="str">
        <f t="shared" si="11"/>
        <v/>
      </c>
      <c r="AF20" s="48" t="str">
        <f>IF(F20="","",IF(B20="no",'Emission Factors'!$H$43,'Emission Factors'!$H$44))</f>
        <v/>
      </c>
      <c r="AG20" s="48" t="str">
        <f>IF(F20="","",IF(C20="LP-1",IF('Limestone Plant (LP-1)'!$F$12&gt;0,'Limestone Plant (LP-1)'!$F$12,AF20*R20*K20),IF(C20="LP-2",IF('Limestone Plant (LP-2)'!$F$12&gt;0,'Limestone Plant (LP-2)'!$F$12,AF20*R20*K20),IF(C20="LP-3",IF('Limestone Plant (LP-3)'!$F$12&gt;0,'Limestone Plant (LP-3)'!$F$12,AF20*R20*K20),IF(C20="LP-4",IF('Limestone Plant (LP-4)'!$F$12&gt;0,'Limestone Plant (LP-4)'!$F$12,AF20*R20*K20),IF(C20="LP-5",IF('Limestone Plant (LP-5)'!$F$12&gt;0,'Limestone Plant (LP-5)'!$F$12,AF20*R20*K20),IF(C20="LP-6",IF('Limestone Plant (LP-6)'!$F$12&gt;0,'Limestone Plant (LP-6)'!$F$12,AF20*R20*K20),IF(C20="LP-7",IF('Limestone Plant (LP-7)'!$F$12&gt;0,'Limestone Plant (LP-7)'!$F$12,AF20*R20*K20),IF(C20="LP-8",IF('Limestone Plant (LP-8)'!$F$12&gt;0,'Limestone Plant (LP-8)'!$F$12,AF20*R20*K20),IF(C20="LP-9",IF('Limestone Plant (LP-9)'!$F$12&gt;0,'Limestone Plant (LP-9)'!$F$12,AF20*R20*K20),IF(C20="LP-10",IF('Limestone Plant (LP-10)'!$F$12&gt;0,'Limestone Plant (LP-10)'!$F$12,AF20*R20*K20))))))))))))</f>
        <v/>
      </c>
      <c r="AH20" s="48" t="str">
        <f t="shared" si="12"/>
        <v/>
      </c>
      <c r="AI20" s="48" t="str">
        <f t="shared" si="13"/>
        <v/>
      </c>
      <c r="AJ20" s="48" t="str">
        <f>IF(F20="","",IF(B20="no",'Emission Factors'!$J$43,'Emission Factors'!$J$44))</f>
        <v/>
      </c>
      <c r="AK20" s="48" t="str">
        <f>IF(F20="","",IF(C20="LP-1",IF('Limestone Plant (LP-1)'!$F$13&gt;0,'Limestone Plant (LP-1)'!$F$13,AJ20*R20),IF(C20="LP-2",IF('Limestone Plant (LP-2)'!$F$13&gt;0,'Limestone Plant (LP-2)'!$F$13,AJ20*R20),IF(C20="LP-3",IF('Limestone Plant (LP-3)'!$F$13&gt;0,'Limestone Plant (LP-3)'!$F$13,AJ20*R20),IF(C20="LP-4",IF('Limestone Plant (LP-4)'!$F$13&gt;0,'Limestone Plant (LP-4)'!$F$13,AJ20*R20),IF(C20="LP-5",IF('Limestone Plant (LP-5)'!$F$13&gt;0,'Limestone Plant (LP-5)'!$F$13,AJ20*R20),IF(C20="LP-6",IF('Limestone Plant (LP-6)'!$F$13&gt;0,'Limestone Plant (LP-6)'!$F$13,AJ20*R20),IF(C20="LP-7",IF('Limestone Plant (LP-7)'!$F$13&gt;0,'Limestone Plant (LP-7)'!$F$13,AJ20*R20),IF(C20="LP-8",IF('Limestone Plant (LP-8)'!$F$13&gt;0,'Limestone Plant (LP-8)'!$F$13,AJ20*R20),IF(C20="LP-9",IF('Limestone Plant (LP-9)'!$F$13&gt;0,'Limestone Plant (LP-9)'!$F$13,AJ20*R20),IF(C20="LP-10",IF('Limestone Plant (LP-10)'!$F$13&gt;0,'Limestone Plant (LP-10)'!$F$13,AJ20*R20))))))))))))</f>
        <v/>
      </c>
      <c r="AL20" s="48" t="str">
        <f t="shared" si="14"/>
        <v/>
      </c>
      <c r="AM20" s="48" t="str">
        <f t="shared" si="15"/>
        <v/>
      </c>
      <c r="AN20" s="48" t="str">
        <f>IF(F20="","",IF(B20="no",'Emission Factors'!$L$43,'Emission Factors'!$L$44))</f>
        <v/>
      </c>
      <c r="AO20" s="48" t="str">
        <f>IF(F20="","",IF(C20="LP-1",IF('Limestone Plant (LP-1)'!$F$14&gt;0,'Limestone Plant (LP-1)'!$F$14,AN20*R20),IF(C20="LP-2",IF('Limestone Plant (LP-2)'!$F$14&gt;0,'Limestone Plant (LP-2)'!$F$14,AN20*R20),IF(C20="LP-3",IF('Limestone Plant (LP-3)'!$F$14&gt;0,'Limestone Plant (LP-3)'!$F$14,AN20*R20),IF(C20="LP-4",IF('Limestone Plant (LP-4)'!$F$14&gt;0,'Limestone Plant (LP-4)'!$F$14,AN20*R20),IF(C20="LP-5",IF('Limestone Plant (LP-5)'!$F$14&gt;0,'Limestone Plant (LP-5)'!$F$14,AN20*R20),IF(C20="LP-6",IF('Limestone Plant (LP-6)'!$F$14&gt;0,'Limestone Plant (LP-6)'!$F$14,AN20*R20),IF(C20="LP-7",IF('Limestone Plant (LP-7)'!$F$14&gt;0,'Limestone Plant (LP-7)'!$F$14,AN20*R20),IF(C20="LP-8",IF('Limestone Plant (LP-8)'!$F$14&gt;0,'Limestone Plant (LP-8)'!$F$14,AN20*R20),IF(C20="LP-9",IF('Limestone Plant (LP-9)'!$F$14&gt;0,'Limestone Plant (LP-9)'!$F$14,AN20*R20),IF(C20="LP-10",IF('Limestone Plant (LP-10)'!$F$14&gt;0,'Limestone Plant (LP-10)'!$F$14,AN20*R20))))))))))))</f>
        <v/>
      </c>
      <c r="AP20" s="48" t="str">
        <f t="shared" si="16"/>
        <v/>
      </c>
      <c r="AQ20" s="48" t="str">
        <f t="shared" si="17"/>
        <v/>
      </c>
      <c r="AR20" s="48" t="str">
        <f>IF(F20="","",IF(B20="no",'Emission Factors'!$N$43,'Emission Factors'!$N$44))</f>
        <v/>
      </c>
      <c r="AS20" s="48" t="str">
        <f>IF(F20="","",IF(C20="LP-1",IF('Limestone Plant (LP-1)'!$F$15&gt;0,'Limestone Plant (LP-1)'!$F$15,AR20*R20),IF(C20="LP-2",IF('Limestone Plant (LP-2)'!$F$15&gt;0,'Limestone Plant (LP-2)'!$F$15,AR20*R20),IF(C20="LP-3",IF('Limestone Plant (LP-3)'!$F$15&gt;0,'Limestone Plant (LP-3)'!$F$15,AR20*R20),IF(C20="LP-4",IF('Limestone Plant (LP-4)'!$F$15&gt;0,'Limestone Plant (LP-4)'!$F$15,AR20*R20),IF(C20="LP-5",IF('Limestone Plant (LP-5)'!$F$15&gt;0,'Limestone Plant (LP-5)'!$F$15,AR20*R20),IF(C20="LP-6",IF('Limestone Plant (LP-6)'!$F$15&gt;0,'Limestone Plant (LP-6)'!$F$15,AR20*R20),IF(C20="LP-7",IF('Limestone Plant (LP-7)'!$F$15&gt;0,'Limestone Plant (LP-7)'!$F$15,AR20*R20),IF(C20="LP-8",IF('Limestone Plant (LP-8)'!$F$15&gt;0,'Limestone Plant (LP-8)'!$F$15,AR20*R20),IF(C20="LP-9",IF('Limestone Plant (LP-9)'!$F$15&gt;0,'Limestone Plant (LP-9)'!$F$15,AR20*R20),IF(C20="LP-10",IF('Limestone Plant (LP-10)'!$F$15&gt;0,'Limestone Plant (LP-10)'!$F$15,AR20*R20))))))))))))</f>
        <v/>
      </c>
      <c r="AT20" s="48" t="str">
        <f t="shared" si="18"/>
        <v/>
      </c>
      <c r="AU20" s="48" t="str">
        <f t="shared" si="19"/>
        <v/>
      </c>
      <c r="AV20" s="48" t="str">
        <f>IF(F20="","",IF(B20="no",'Emission Factors'!$P$43,'Emission Factors'!$P$44))</f>
        <v/>
      </c>
      <c r="AW20" s="48" t="str">
        <f t="shared" si="20"/>
        <v/>
      </c>
      <c r="AX20" s="48" t="str">
        <f t="shared" si="21"/>
        <v/>
      </c>
      <c r="AY20" s="48" t="str">
        <f t="shared" si="22"/>
        <v/>
      </c>
      <c r="AZ20" s="48" t="str">
        <f>IF(F20="","",IF(B20="no",'Emission Factors'!$R$43,'Emission Factors'!$R$44))</f>
        <v/>
      </c>
      <c r="BA20" s="48" t="str">
        <f t="shared" si="23"/>
        <v/>
      </c>
      <c r="BB20" s="48" t="str">
        <f t="shared" si="24"/>
        <v/>
      </c>
      <c r="BC20" s="48" t="str">
        <f t="shared" si="25"/>
        <v/>
      </c>
    </row>
    <row r="21" spans="1:55" x14ac:dyDescent="0.25">
      <c r="B21" s="6" t="str">
        <f t="shared" si="26"/>
        <v>no</v>
      </c>
      <c r="C21" s="44"/>
      <c r="D21" s="44"/>
      <c r="E21" s="44"/>
      <c r="F21" s="45"/>
      <c r="G21" s="44"/>
      <c r="H21" s="46"/>
      <c r="I21" s="46"/>
      <c r="J21" s="147"/>
      <c r="K21" s="46">
        <f t="shared" si="5"/>
        <v>1</v>
      </c>
      <c r="L21" s="46"/>
      <c r="M21" s="46"/>
      <c r="N21" s="46"/>
      <c r="O21" s="46"/>
      <c r="P21" s="46"/>
      <c r="Q21" s="46"/>
      <c r="R21" s="49" t="str">
        <f t="shared" si="27"/>
        <v/>
      </c>
      <c r="S21" s="46"/>
      <c r="T21" s="48" t="str">
        <f t="shared" si="28"/>
        <v/>
      </c>
      <c r="U21" s="170"/>
      <c r="V21" s="170">
        <f t="shared" si="3"/>
        <v>0</v>
      </c>
      <c r="W21" s="170" t="str">
        <f t="shared" si="4"/>
        <v/>
      </c>
      <c r="X21" s="48" t="str">
        <f>IF(F21="","",IF(B21="no",'Emission Factors'!$D$43,'Emission Factors'!$D$44))</f>
        <v/>
      </c>
      <c r="Y21" s="48" t="str">
        <f t="shared" si="6"/>
        <v/>
      </c>
      <c r="Z21" s="48" t="str">
        <f t="shared" si="7"/>
        <v/>
      </c>
      <c r="AA21" s="48" t="str">
        <f t="shared" si="8"/>
        <v/>
      </c>
      <c r="AB21" s="48" t="str">
        <f>IF(F21="","",IF(B21="no",'Emission Factors'!$F$43,'Emission Factors'!$F$44))</f>
        <v/>
      </c>
      <c r="AC21" s="48" t="str">
        <f t="shared" si="9"/>
        <v/>
      </c>
      <c r="AD21" s="48" t="str">
        <f t="shared" si="10"/>
        <v/>
      </c>
      <c r="AE21" s="48" t="str">
        <f t="shared" si="11"/>
        <v/>
      </c>
      <c r="AF21" s="48" t="str">
        <f>IF(F21="","",IF(B21="no",'Emission Factors'!$H$43,'Emission Factors'!$H$44))</f>
        <v/>
      </c>
      <c r="AG21" s="48" t="str">
        <f>IF(F21="","",IF(C21="LP-1",IF('Limestone Plant (LP-1)'!$F$12&gt;0,'Limestone Plant (LP-1)'!$F$12,AF21*R21*K21),IF(C21="LP-2",IF('Limestone Plant (LP-2)'!$F$12&gt;0,'Limestone Plant (LP-2)'!$F$12,AF21*R21*K21),IF(C21="LP-3",IF('Limestone Plant (LP-3)'!$F$12&gt;0,'Limestone Plant (LP-3)'!$F$12,AF21*R21*K21),IF(C21="LP-4",IF('Limestone Plant (LP-4)'!$F$12&gt;0,'Limestone Plant (LP-4)'!$F$12,AF21*R21*K21),IF(C21="LP-5",IF('Limestone Plant (LP-5)'!$F$12&gt;0,'Limestone Plant (LP-5)'!$F$12,AF21*R21*K21),IF(C21="LP-6",IF('Limestone Plant (LP-6)'!$F$12&gt;0,'Limestone Plant (LP-6)'!$F$12,AF21*R21*K21),IF(C21="LP-7",IF('Limestone Plant (LP-7)'!$F$12&gt;0,'Limestone Plant (LP-7)'!$F$12,AF21*R21*K21),IF(C21="LP-8",IF('Limestone Plant (LP-8)'!$F$12&gt;0,'Limestone Plant (LP-8)'!$F$12,AF21*R21*K21),IF(C21="LP-9",IF('Limestone Plant (LP-9)'!$F$12&gt;0,'Limestone Plant (LP-9)'!$F$12,AF21*R21*K21),IF(C21="LP-10",IF('Limestone Plant (LP-10)'!$F$12&gt;0,'Limestone Plant (LP-10)'!$F$12,AF21*R21*K21))))))))))))</f>
        <v/>
      </c>
      <c r="AH21" s="48" t="str">
        <f t="shared" si="12"/>
        <v/>
      </c>
      <c r="AI21" s="48" t="str">
        <f t="shared" si="13"/>
        <v/>
      </c>
      <c r="AJ21" s="48" t="str">
        <f>IF(F21="","",IF(B21="no",'Emission Factors'!$J$43,'Emission Factors'!$J$44))</f>
        <v/>
      </c>
      <c r="AK21" s="48" t="str">
        <f>IF(F21="","",IF(C21="LP-1",IF('Limestone Plant (LP-1)'!$F$13&gt;0,'Limestone Plant (LP-1)'!$F$13,AJ21*R21),IF(C21="LP-2",IF('Limestone Plant (LP-2)'!$F$13&gt;0,'Limestone Plant (LP-2)'!$F$13,AJ21*R21),IF(C21="LP-3",IF('Limestone Plant (LP-3)'!$F$13&gt;0,'Limestone Plant (LP-3)'!$F$13,AJ21*R21),IF(C21="LP-4",IF('Limestone Plant (LP-4)'!$F$13&gt;0,'Limestone Plant (LP-4)'!$F$13,AJ21*R21),IF(C21="LP-5",IF('Limestone Plant (LP-5)'!$F$13&gt;0,'Limestone Plant (LP-5)'!$F$13,AJ21*R21),IF(C21="LP-6",IF('Limestone Plant (LP-6)'!$F$13&gt;0,'Limestone Plant (LP-6)'!$F$13,AJ21*R21),IF(C21="LP-7",IF('Limestone Plant (LP-7)'!$F$13&gt;0,'Limestone Plant (LP-7)'!$F$13,AJ21*R21),IF(C21="LP-8",IF('Limestone Plant (LP-8)'!$F$13&gt;0,'Limestone Plant (LP-8)'!$F$13,AJ21*R21),IF(C21="LP-9",IF('Limestone Plant (LP-9)'!$F$13&gt;0,'Limestone Plant (LP-9)'!$F$13,AJ21*R21),IF(C21="LP-10",IF('Limestone Plant (LP-10)'!$F$13&gt;0,'Limestone Plant (LP-10)'!$F$13,AJ21*R21))))))))))))</f>
        <v/>
      </c>
      <c r="AL21" s="48" t="str">
        <f t="shared" si="14"/>
        <v/>
      </c>
      <c r="AM21" s="48" t="str">
        <f t="shared" si="15"/>
        <v/>
      </c>
      <c r="AN21" s="48" t="str">
        <f>IF(F21="","",IF(B21="no",'Emission Factors'!$L$43,'Emission Factors'!$L$44))</f>
        <v/>
      </c>
      <c r="AO21" s="48" t="str">
        <f>IF(F21="","",IF(C21="LP-1",IF('Limestone Plant (LP-1)'!$F$14&gt;0,'Limestone Plant (LP-1)'!$F$14,AN21*R21),IF(C21="LP-2",IF('Limestone Plant (LP-2)'!$F$14&gt;0,'Limestone Plant (LP-2)'!$F$14,AN21*R21),IF(C21="LP-3",IF('Limestone Plant (LP-3)'!$F$14&gt;0,'Limestone Plant (LP-3)'!$F$14,AN21*R21),IF(C21="LP-4",IF('Limestone Plant (LP-4)'!$F$14&gt;0,'Limestone Plant (LP-4)'!$F$14,AN21*R21),IF(C21="LP-5",IF('Limestone Plant (LP-5)'!$F$14&gt;0,'Limestone Plant (LP-5)'!$F$14,AN21*R21),IF(C21="LP-6",IF('Limestone Plant (LP-6)'!$F$14&gt;0,'Limestone Plant (LP-6)'!$F$14,AN21*R21),IF(C21="LP-7",IF('Limestone Plant (LP-7)'!$F$14&gt;0,'Limestone Plant (LP-7)'!$F$14,AN21*R21),IF(C21="LP-8",IF('Limestone Plant (LP-8)'!$F$14&gt;0,'Limestone Plant (LP-8)'!$F$14,AN21*R21),IF(C21="LP-9",IF('Limestone Plant (LP-9)'!$F$14&gt;0,'Limestone Plant (LP-9)'!$F$14,AN21*R21),IF(C21="LP-10",IF('Limestone Plant (LP-10)'!$F$14&gt;0,'Limestone Plant (LP-10)'!$F$14,AN21*R21))))))))))))</f>
        <v/>
      </c>
      <c r="AP21" s="48" t="str">
        <f t="shared" si="16"/>
        <v/>
      </c>
      <c r="AQ21" s="48" t="str">
        <f t="shared" si="17"/>
        <v/>
      </c>
      <c r="AR21" s="48" t="str">
        <f>IF(F21="","",IF(B21="no",'Emission Factors'!$N$43,'Emission Factors'!$N$44))</f>
        <v/>
      </c>
      <c r="AS21" s="48" t="str">
        <f>IF(F21="","",IF(C21="LP-1",IF('Limestone Plant (LP-1)'!$F$15&gt;0,'Limestone Plant (LP-1)'!$F$15,AR21*R21),IF(C21="LP-2",IF('Limestone Plant (LP-2)'!$F$15&gt;0,'Limestone Plant (LP-2)'!$F$15,AR21*R21),IF(C21="LP-3",IF('Limestone Plant (LP-3)'!$F$15&gt;0,'Limestone Plant (LP-3)'!$F$15,AR21*R21),IF(C21="LP-4",IF('Limestone Plant (LP-4)'!$F$15&gt;0,'Limestone Plant (LP-4)'!$F$15,AR21*R21),IF(C21="LP-5",IF('Limestone Plant (LP-5)'!$F$15&gt;0,'Limestone Plant (LP-5)'!$F$15,AR21*R21),IF(C21="LP-6",IF('Limestone Plant (LP-6)'!$F$15&gt;0,'Limestone Plant (LP-6)'!$F$15,AR21*R21),IF(C21="LP-7",IF('Limestone Plant (LP-7)'!$F$15&gt;0,'Limestone Plant (LP-7)'!$F$15,AR21*R21),IF(C21="LP-8",IF('Limestone Plant (LP-8)'!$F$15&gt;0,'Limestone Plant (LP-8)'!$F$15,AR21*R21),IF(C21="LP-9",IF('Limestone Plant (LP-9)'!$F$15&gt;0,'Limestone Plant (LP-9)'!$F$15,AR21*R21),IF(C21="LP-10",IF('Limestone Plant (LP-10)'!$F$15&gt;0,'Limestone Plant (LP-10)'!$F$15,AR21*R21))))))))))))</f>
        <v/>
      </c>
      <c r="AT21" s="48" t="str">
        <f t="shared" si="18"/>
        <v/>
      </c>
      <c r="AU21" s="48" t="str">
        <f t="shared" si="19"/>
        <v/>
      </c>
      <c r="AV21" s="48" t="str">
        <f>IF(F21="","",IF(B21="no",'Emission Factors'!$P$43,'Emission Factors'!$P$44))</f>
        <v/>
      </c>
      <c r="AW21" s="48" t="str">
        <f t="shared" si="20"/>
        <v/>
      </c>
      <c r="AX21" s="48" t="str">
        <f t="shared" si="21"/>
        <v/>
      </c>
      <c r="AY21" s="48" t="str">
        <f t="shared" si="22"/>
        <v/>
      </c>
      <c r="AZ21" s="48" t="str">
        <f>IF(F21="","",IF(B21="no",'Emission Factors'!$R$43,'Emission Factors'!$R$44))</f>
        <v/>
      </c>
      <c r="BA21" s="48" t="str">
        <f t="shared" si="23"/>
        <v/>
      </c>
      <c r="BB21" s="48" t="str">
        <f t="shared" si="24"/>
        <v/>
      </c>
      <c r="BC21" s="48" t="str">
        <f t="shared" si="25"/>
        <v/>
      </c>
    </row>
    <row r="22" spans="1:55" x14ac:dyDescent="0.25">
      <c r="B22" s="6" t="str">
        <f t="shared" si="26"/>
        <v>no</v>
      </c>
      <c r="C22" s="44"/>
      <c r="D22" s="44"/>
      <c r="E22" s="44"/>
      <c r="F22" s="45"/>
      <c r="G22" s="44"/>
      <c r="H22" s="46"/>
      <c r="I22" s="46"/>
      <c r="J22" s="147"/>
      <c r="K22" s="46">
        <f t="shared" si="5"/>
        <v>1</v>
      </c>
      <c r="L22" s="46"/>
      <c r="M22" s="46"/>
      <c r="N22" s="46"/>
      <c r="O22" s="46"/>
      <c r="P22" s="46"/>
      <c r="Q22" s="46"/>
      <c r="R22" s="49" t="str">
        <f t="shared" si="27"/>
        <v/>
      </c>
      <c r="S22" s="46"/>
      <c r="T22" s="48" t="str">
        <f t="shared" si="28"/>
        <v/>
      </c>
      <c r="U22" s="170"/>
      <c r="V22" s="170">
        <f t="shared" si="3"/>
        <v>0</v>
      </c>
      <c r="W22" s="170" t="str">
        <f t="shared" si="4"/>
        <v/>
      </c>
      <c r="X22" s="48" t="str">
        <f>IF(F22="","",IF(B22="no",'Emission Factors'!$D$43,'Emission Factors'!$D$44))</f>
        <v/>
      </c>
      <c r="Y22" s="48" t="str">
        <f t="shared" si="6"/>
        <v/>
      </c>
      <c r="Z22" s="48" t="str">
        <f t="shared" si="7"/>
        <v/>
      </c>
      <c r="AA22" s="48" t="str">
        <f t="shared" si="8"/>
        <v/>
      </c>
      <c r="AB22" s="48" t="str">
        <f>IF(F22="","",IF(B22="no",'Emission Factors'!$F$43,'Emission Factors'!$F$44))</f>
        <v/>
      </c>
      <c r="AC22" s="48" t="str">
        <f t="shared" si="9"/>
        <v/>
      </c>
      <c r="AD22" s="48" t="str">
        <f t="shared" si="10"/>
        <v/>
      </c>
      <c r="AE22" s="48" t="str">
        <f t="shared" si="11"/>
        <v/>
      </c>
      <c r="AF22" s="48" t="str">
        <f>IF(F22="","",IF(B22="no",'Emission Factors'!$H$43,'Emission Factors'!$H$44))</f>
        <v/>
      </c>
      <c r="AG22" s="48" t="str">
        <f>IF(F22="","",IF(C22="LP-1",IF('Limestone Plant (LP-1)'!$F$12&gt;0,'Limestone Plant (LP-1)'!$F$12,AF22*R22*K22),IF(C22="LP-2",IF('Limestone Plant (LP-2)'!$F$12&gt;0,'Limestone Plant (LP-2)'!$F$12,AF22*R22*K22),IF(C22="LP-3",IF('Limestone Plant (LP-3)'!$F$12&gt;0,'Limestone Plant (LP-3)'!$F$12,AF22*R22*K22),IF(C22="LP-4",IF('Limestone Plant (LP-4)'!$F$12&gt;0,'Limestone Plant (LP-4)'!$F$12,AF22*R22*K22),IF(C22="LP-5",IF('Limestone Plant (LP-5)'!$F$12&gt;0,'Limestone Plant (LP-5)'!$F$12,AF22*R22*K22),IF(C22="LP-6",IF('Limestone Plant (LP-6)'!$F$12&gt;0,'Limestone Plant (LP-6)'!$F$12,AF22*R22*K22),IF(C22="LP-7",IF('Limestone Plant (LP-7)'!$F$12&gt;0,'Limestone Plant (LP-7)'!$F$12,AF22*R22*K22),IF(C22="LP-8",IF('Limestone Plant (LP-8)'!$F$12&gt;0,'Limestone Plant (LP-8)'!$F$12,AF22*R22*K22),IF(C22="LP-9",IF('Limestone Plant (LP-9)'!$F$12&gt;0,'Limestone Plant (LP-9)'!$F$12,AF22*R22*K22),IF(C22="LP-10",IF('Limestone Plant (LP-10)'!$F$12&gt;0,'Limestone Plant (LP-10)'!$F$12,AF22*R22*K22))))))))))))</f>
        <v/>
      </c>
      <c r="AH22" s="48" t="str">
        <f t="shared" si="12"/>
        <v/>
      </c>
      <c r="AI22" s="48" t="str">
        <f t="shared" si="13"/>
        <v/>
      </c>
      <c r="AJ22" s="48" t="str">
        <f>IF(F22="","",IF(B22="no",'Emission Factors'!$J$43,'Emission Factors'!$J$44))</f>
        <v/>
      </c>
      <c r="AK22" s="48" t="str">
        <f>IF(F22="","",IF(C22="LP-1",IF('Limestone Plant (LP-1)'!$F$13&gt;0,'Limestone Plant (LP-1)'!$F$13,AJ22*R22),IF(C22="LP-2",IF('Limestone Plant (LP-2)'!$F$13&gt;0,'Limestone Plant (LP-2)'!$F$13,AJ22*R22),IF(C22="LP-3",IF('Limestone Plant (LP-3)'!$F$13&gt;0,'Limestone Plant (LP-3)'!$F$13,AJ22*R22),IF(C22="LP-4",IF('Limestone Plant (LP-4)'!$F$13&gt;0,'Limestone Plant (LP-4)'!$F$13,AJ22*R22),IF(C22="LP-5",IF('Limestone Plant (LP-5)'!$F$13&gt;0,'Limestone Plant (LP-5)'!$F$13,AJ22*R22),IF(C22="LP-6",IF('Limestone Plant (LP-6)'!$F$13&gt;0,'Limestone Plant (LP-6)'!$F$13,AJ22*R22),IF(C22="LP-7",IF('Limestone Plant (LP-7)'!$F$13&gt;0,'Limestone Plant (LP-7)'!$F$13,AJ22*R22),IF(C22="LP-8",IF('Limestone Plant (LP-8)'!$F$13&gt;0,'Limestone Plant (LP-8)'!$F$13,AJ22*R22),IF(C22="LP-9",IF('Limestone Plant (LP-9)'!$F$13&gt;0,'Limestone Plant (LP-9)'!$F$13,AJ22*R22),IF(C22="LP-10",IF('Limestone Plant (LP-10)'!$F$13&gt;0,'Limestone Plant (LP-10)'!$F$13,AJ22*R22))))))))))))</f>
        <v/>
      </c>
      <c r="AL22" s="48" t="str">
        <f t="shared" si="14"/>
        <v/>
      </c>
      <c r="AM22" s="48" t="str">
        <f t="shared" si="15"/>
        <v/>
      </c>
      <c r="AN22" s="48" t="str">
        <f>IF(F22="","",IF(B22="no",'Emission Factors'!$L$43,'Emission Factors'!$L$44))</f>
        <v/>
      </c>
      <c r="AO22" s="48" t="str">
        <f>IF(F22="","",IF(C22="LP-1",IF('Limestone Plant (LP-1)'!$F$14&gt;0,'Limestone Plant (LP-1)'!$F$14,AN22*R22),IF(C22="LP-2",IF('Limestone Plant (LP-2)'!$F$14&gt;0,'Limestone Plant (LP-2)'!$F$14,AN22*R22),IF(C22="LP-3",IF('Limestone Plant (LP-3)'!$F$14&gt;0,'Limestone Plant (LP-3)'!$F$14,AN22*R22),IF(C22="LP-4",IF('Limestone Plant (LP-4)'!$F$14&gt;0,'Limestone Plant (LP-4)'!$F$14,AN22*R22),IF(C22="LP-5",IF('Limestone Plant (LP-5)'!$F$14&gt;0,'Limestone Plant (LP-5)'!$F$14,AN22*R22),IF(C22="LP-6",IF('Limestone Plant (LP-6)'!$F$14&gt;0,'Limestone Plant (LP-6)'!$F$14,AN22*R22),IF(C22="LP-7",IF('Limestone Plant (LP-7)'!$F$14&gt;0,'Limestone Plant (LP-7)'!$F$14,AN22*R22),IF(C22="LP-8",IF('Limestone Plant (LP-8)'!$F$14&gt;0,'Limestone Plant (LP-8)'!$F$14,AN22*R22),IF(C22="LP-9",IF('Limestone Plant (LP-9)'!$F$14&gt;0,'Limestone Plant (LP-9)'!$F$14,AN22*R22),IF(C22="LP-10",IF('Limestone Plant (LP-10)'!$F$14&gt;0,'Limestone Plant (LP-10)'!$F$14,AN22*R22))))))))))))</f>
        <v/>
      </c>
      <c r="AP22" s="48" t="str">
        <f t="shared" si="16"/>
        <v/>
      </c>
      <c r="AQ22" s="48" t="str">
        <f t="shared" si="17"/>
        <v/>
      </c>
      <c r="AR22" s="48" t="str">
        <f>IF(F22="","",IF(B22="no",'Emission Factors'!$N$43,'Emission Factors'!$N$44))</f>
        <v/>
      </c>
      <c r="AS22" s="48" t="str">
        <f>IF(F22="","",IF(C22="LP-1",IF('Limestone Plant (LP-1)'!$F$15&gt;0,'Limestone Plant (LP-1)'!$F$15,AR22*R22),IF(C22="LP-2",IF('Limestone Plant (LP-2)'!$F$15&gt;0,'Limestone Plant (LP-2)'!$F$15,AR22*R22),IF(C22="LP-3",IF('Limestone Plant (LP-3)'!$F$15&gt;0,'Limestone Plant (LP-3)'!$F$15,AR22*R22),IF(C22="LP-4",IF('Limestone Plant (LP-4)'!$F$15&gt;0,'Limestone Plant (LP-4)'!$F$15,AR22*R22),IF(C22="LP-5",IF('Limestone Plant (LP-5)'!$F$15&gt;0,'Limestone Plant (LP-5)'!$F$15,AR22*R22),IF(C22="LP-6",IF('Limestone Plant (LP-6)'!$F$15&gt;0,'Limestone Plant (LP-6)'!$F$15,AR22*R22),IF(C22="LP-7",IF('Limestone Plant (LP-7)'!$F$15&gt;0,'Limestone Plant (LP-7)'!$F$15,AR22*R22),IF(C22="LP-8",IF('Limestone Plant (LP-8)'!$F$15&gt;0,'Limestone Plant (LP-8)'!$F$15,AR22*R22),IF(C22="LP-9",IF('Limestone Plant (LP-9)'!$F$15&gt;0,'Limestone Plant (LP-9)'!$F$15,AR22*R22),IF(C22="LP-10",IF('Limestone Plant (LP-10)'!$F$15&gt;0,'Limestone Plant (LP-10)'!$F$15,AR22*R22))))))))))))</f>
        <v/>
      </c>
      <c r="AT22" s="48" t="str">
        <f t="shared" si="18"/>
        <v/>
      </c>
      <c r="AU22" s="48" t="str">
        <f t="shared" si="19"/>
        <v/>
      </c>
      <c r="AV22" s="48" t="str">
        <f>IF(F22="","",IF(B22="no",'Emission Factors'!$P$43,'Emission Factors'!$P$44))</f>
        <v/>
      </c>
      <c r="AW22" s="48" t="str">
        <f t="shared" si="20"/>
        <v/>
      </c>
      <c r="AX22" s="48" t="str">
        <f t="shared" si="21"/>
        <v/>
      </c>
      <c r="AY22" s="48" t="str">
        <f t="shared" si="22"/>
        <v/>
      </c>
      <c r="AZ22" s="48" t="str">
        <f>IF(F22="","",IF(B22="no",'Emission Factors'!$R$43,'Emission Factors'!$R$44))</f>
        <v/>
      </c>
      <c r="BA22" s="48" t="str">
        <f t="shared" si="23"/>
        <v/>
      </c>
      <c r="BB22" s="48" t="str">
        <f t="shared" si="24"/>
        <v/>
      </c>
      <c r="BC22" s="48" t="str">
        <f t="shared" si="25"/>
        <v/>
      </c>
    </row>
    <row r="23" spans="1:55" x14ac:dyDescent="0.25">
      <c r="B23" s="6" t="str">
        <f t="shared" si="26"/>
        <v>no</v>
      </c>
      <c r="C23" s="44"/>
      <c r="D23" s="44"/>
      <c r="E23" s="44"/>
      <c r="F23" s="45"/>
      <c r="G23" s="44"/>
      <c r="H23" s="46"/>
      <c r="I23" s="46"/>
      <c r="J23" s="147"/>
      <c r="K23" s="46">
        <f t="shared" si="5"/>
        <v>1</v>
      </c>
      <c r="L23" s="46"/>
      <c r="M23" s="46"/>
      <c r="N23" s="46"/>
      <c r="O23" s="46"/>
      <c r="P23" s="46"/>
      <c r="Q23" s="46"/>
      <c r="R23" s="49" t="str">
        <f t="shared" si="27"/>
        <v/>
      </c>
      <c r="S23" s="46"/>
      <c r="T23" s="48" t="str">
        <f t="shared" si="28"/>
        <v/>
      </c>
      <c r="U23" s="170"/>
      <c r="V23" s="170">
        <f t="shared" si="3"/>
        <v>0</v>
      </c>
      <c r="W23" s="170" t="str">
        <f t="shared" si="4"/>
        <v/>
      </c>
      <c r="X23" s="48" t="str">
        <f>IF(F23="","",IF(B23="no",'Emission Factors'!$D$43,'Emission Factors'!$D$44))</f>
        <v/>
      </c>
      <c r="Y23" s="48" t="str">
        <f t="shared" si="6"/>
        <v/>
      </c>
      <c r="Z23" s="48" t="str">
        <f t="shared" si="7"/>
        <v/>
      </c>
      <c r="AA23" s="48" t="str">
        <f t="shared" si="8"/>
        <v/>
      </c>
      <c r="AB23" s="48" t="str">
        <f>IF(F23="","",IF(B23="no",'Emission Factors'!$F$43,'Emission Factors'!$F$44))</f>
        <v/>
      </c>
      <c r="AC23" s="48" t="str">
        <f t="shared" si="9"/>
        <v/>
      </c>
      <c r="AD23" s="48" t="str">
        <f t="shared" si="10"/>
        <v/>
      </c>
      <c r="AE23" s="48" t="str">
        <f t="shared" si="11"/>
        <v/>
      </c>
      <c r="AF23" s="48" t="str">
        <f>IF(F23="","",IF(B23="no",'Emission Factors'!$H$43,'Emission Factors'!$H$44))</f>
        <v/>
      </c>
      <c r="AG23" s="48" t="str">
        <f>IF(F23="","",IF(C23="LP-1",IF('Limestone Plant (LP-1)'!$F$12&gt;0,'Limestone Plant (LP-1)'!$F$12,AF23*R23*K23),IF(C23="LP-2",IF('Limestone Plant (LP-2)'!$F$12&gt;0,'Limestone Plant (LP-2)'!$F$12,AF23*R23*K23),IF(C23="LP-3",IF('Limestone Plant (LP-3)'!$F$12&gt;0,'Limestone Plant (LP-3)'!$F$12,AF23*R23*K23),IF(C23="LP-4",IF('Limestone Plant (LP-4)'!$F$12&gt;0,'Limestone Plant (LP-4)'!$F$12,AF23*R23*K23),IF(C23="LP-5",IF('Limestone Plant (LP-5)'!$F$12&gt;0,'Limestone Plant (LP-5)'!$F$12,AF23*R23*K23),IF(C23="LP-6",IF('Limestone Plant (LP-6)'!$F$12&gt;0,'Limestone Plant (LP-6)'!$F$12,AF23*R23*K23),IF(C23="LP-7",IF('Limestone Plant (LP-7)'!$F$12&gt;0,'Limestone Plant (LP-7)'!$F$12,AF23*R23*K23),IF(C23="LP-8",IF('Limestone Plant (LP-8)'!$F$12&gt;0,'Limestone Plant (LP-8)'!$F$12,AF23*R23*K23),IF(C23="LP-9",IF('Limestone Plant (LP-9)'!$F$12&gt;0,'Limestone Plant (LP-9)'!$F$12,AF23*R23*K23),IF(C23="LP-10",IF('Limestone Plant (LP-10)'!$F$12&gt;0,'Limestone Plant (LP-10)'!$F$12,AF23*R23*K23))))))))))))</f>
        <v/>
      </c>
      <c r="AH23" s="48" t="str">
        <f t="shared" si="12"/>
        <v/>
      </c>
      <c r="AI23" s="48" t="str">
        <f t="shared" si="13"/>
        <v/>
      </c>
      <c r="AJ23" s="48" t="str">
        <f>IF(F23="","",IF(B23="no",'Emission Factors'!$J$43,'Emission Factors'!$J$44))</f>
        <v/>
      </c>
      <c r="AK23" s="48" t="str">
        <f>IF(F23="","",IF(C23="LP-1",IF('Limestone Plant (LP-1)'!$F$13&gt;0,'Limestone Plant (LP-1)'!$F$13,AJ23*R23),IF(C23="LP-2",IF('Limestone Plant (LP-2)'!$F$13&gt;0,'Limestone Plant (LP-2)'!$F$13,AJ23*R23),IF(C23="LP-3",IF('Limestone Plant (LP-3)'!$F$13&gt;0,'Limestone Plant (LP-3)'!$F$13,AJ23*R23),IF(C23="LP-4",IF('Limestone Plant (LP-4)'!$F$13&gt;0,'Limestone Plant (LP-4)'!$F$13,AJ23*R23),IF(C23="LP-5",IF('Limestone Plant (LP-5)'!$F$13&gt;0,'Limestone Plant (LP-5)'!$F$13,AJ23*R23),IF(C23="LP-6",IF('Limestone Plant (LP-6)'!$F$13&gt;0,'Limestone Plant (LP-6)'!$F$13,AJ23*R23),IF(C23="LP-7",IF('Limestone Plant (LP-7)'!$F$13&gt;0,'Limestone Plant (LP-7)'!$F$13,AJ23*R23),IF(C23="LP-8",IF('Limestone Plant (LP-8)'!$F$13&gt;0,'Limestone Plant (LP-8)'!$F$13,AJ23*R23),IF(C23="LP-9",IF('Limestone Plant (LP-9)'!$F$13&gt;0,'Limestone Plant (LP-9)'!$F$13,AJ23*R23),IF(C23="LP-10",IF('Limestone Plant (LP-10)'!$F$13&gt;0,'Limestone Plant (LP-10)'!$F$13,AJ23*R23))))))))))))</f>
        <v/>
      </c>
      <c r="AL23" s="48" t="str">
        <f t="shared" si="14"/>
        <v/>
      </c>
      <c r="AM23" s="48" t="str">
        <f t="shared" si="15"/>
        <v/>
      </c>
      <c r="AN23" s="48" t="str">
        <f>IF(F23="","",IF(B23="no",'Emission Factors'!$L$43,'Emission Factors'!$L$44))</f>
        <v/>
      </c>
      <c r="AO23" s="48" t="str">
        <f>IF(F23="","",IF(C23="LP-1",IF('Limestone Plant (LP-1)'!$F$14&gt;0,'Limestone Plant (LP-1)'!$F$14,AN23*R23),IF(C23="LP-2",IF('Limestone Plant (LP-2)'!$F$14&gt;0,'Limestone Plant (LP-2)'!$F$14,AN23*R23),IF(C23="LP-3",IF('Limestone Plant (LP-3)'!$F$14&gt;0,'Limestone Plant (LP-3)'!$F$14,AN23*R23),IF(C23="LP-4",IF('Limestone Plant (LP-4)'!$F$14&gt;0,'Limestone Plant (LP-4)'!$F$14,AN23*R23),IF(C23="LP-5",IF('Limestone Plant (LP-5)'!$F$14&gt;0,'Limestone Plant (LP-5)'!$F$14,AN23*R23),IF(C23="LP-6",IF('Limestone Plant (LP-6)'!$F$14&gt;0,'Limestone Plant (LP-6)'!$F$14,AN23*R23),IF(C23="LP-7",IF('Limestone Plant (LP-7)'!$F$14&gt;0,'Limestone Plant (LP-7)'!$F$14,AN23*R23),IF(C23="LP-8",IF('Limestone Plant (LP-8)'!$F$14&gt;0,'Limestone Plant (LP-8)'!$F$14,AN23*R23),IF(C23="LP-9",IF('Limestone Plant (LP-9)'!$F$14&gt;0,'Limestone Plant (LP-9)'!$F$14,AN23*R23),IF(C23="LP-10",IF('Limestone Plant (LP-10)'!$F$14&gt;0,'Limestone Plant (LP-10)'!$F$14,AN23*R23))))))))))))</f>
        <v/>
      </c>
      <c r="AP23" s="48" t="str">
        <f t="shared" si="16"/>
        <v/>
      </c>
      <c r="AQ23" s="48" t="str">
        <f t="shared" si="17"/>
        <v/>
      </c>
      <c r="AR23" s="48" t="str">
        <f>IF(F23="","",IF(B23="no",'Emission Factors'!$N$43,'Emission Factors'!$N$44))</f>
        <v/>
      </c>
      <c r="AS23" s="48" t="str">
        <f>IF(F23="","",IF(C23="LP-1",IF('Limestone Plant (LP-1)'!$F$15&gt;0,'Limestone Plant (LP-1)'!$F$15,AR23*R23),IF(C23="LP-2",IF('Limestone Plant (LP-2)'!$F$15&gt;0,'Limestone Plant (LP-2)'!$F$15,AR23*R23),IF(C23="LP-3",IF('Limestone Plant (LP-3)'!$F$15&gt;0,'Limestone Plant (LP-3)'!$F$15,AR23*R23),IF(C23="LP-4",IF('Limestone Plant (LP-4)'!$F$15&gt;0,'Limestone Plant (LP-4)'!$F$15,AR23*R23),IF(C23="LP-5",IF('Limestone Plant (LP-5)'!$F$15&gt;0,'Limestone Plant (LP-5)'!$F$15,AR23*R23),IF(C23="LP-6",IF('Limestone Plant (LP-6)'!$F$15&gt;0,'Limestone Plant (LP-6)'!$F$15,AR23*R23),IF(C23="LP-7",IF('Limestone Plant (LP-7)'!$F$15&gt;0,'Limestone Plant (LP-7)'!$F$15,AR23*R23),IF(C23="LP-8",IF('Limestone Plant (LP-8)'!$F$15&gt;0,'Limestone Plant (LP-8)'!$F$15,AR23*R23),IF(C23="LP-9",IF('Limestone Plant (LP-9)'!$F$15&gt;0,'Limestone Plant (LP-9)'!$F$15,AR23*R23),IF(C23="LP-10",IF('Limestone Plant (LP-10)'!$F$15&gt;0,'Limestone Plant (LP-10)'!$F$15,AR23*R23))))))))))))</f>
        <v/>
      </c>
      <c r="AT23" s="48" t="str">
        <f t="shared" si="18"/>
        <v/>
      </c>
      <c r="AU23" s="48" t="str">
        <f t="shared" si="19"/>
        <v/>
      </c>
      <c r="AV23" s="48" t="str">
        <f>IF(F23="","",IF(B23="no",'Emission Factors'!$P$43,'Emission Factors'!$P$44))</f>
        <v/>
      </c>
      <c r="AW23" s="48" t="str">
        <f t="shared" si="20"/>
        <v/>
      </c>
      <c r="AX23" s="48" t="str">
        <f t="shared" si="21"/>
        <v/>
      </c>
      <c r="AY23" s="48" t="str">
        <f t="shared" si="22"/>
        <v/>
      </c>
      <c r="AZ23" s="48" t="str">
        <f>IF(F23="","",IF(B23="no",'Emission Factors'!$R$43,'Emission Factors'!$R$44))</f>
        <v/>
      </c>
      <c r="BA23" s="48" t="str">
        <f t="shared" si="23"/>
        <v/>
      </c>
      <c r="BB23" s="48" t="str">
        <f t="shared" si="24"/>
        <v/>
      </c>
      <c r="BC23" s="48" t="str">
        <f t="shared" si="25"/>
        <v/>
      </c>
    </row>
    <row r="24" spans="1:55" x14ac:dyDescent="0.25">
      <c r="B24" s="6" t="str">
        <f>IF(F24="Diesel Generator&gt; 600 bhp","yes","no")</f>
        <v>no</v>
      </c>
      <c r="C24" s="44"/>
      <c r="D24" s="44"/>
      <c r="E24" s="44"/>
      <c r="F24" s="45"/>
      <c r="G24" s="44"/>
      <c r="H24" s="46"/>
      <c r="I24" s="46"/>
      <c r="J24" s="147"/>
      <c r="K24" s="46">
        <f t="shared" si="5"/>
        <v>1</v>
      </c>
      <c r="L24" s="46"/>
      <c r="M24" s="46"/>
      <c r="N24" s="46"/>
      <c r="O24" s="46"/>
      <c r="P24" s="46"/>
      <c r="Q24" s="46"/>
      <c r="R24" s="49" t="str">
        <f>IF(Q24="","",Q24*0.14)</f>
        <v/>
      </c>
      <c r="S24" s="46"/>
      <c r="T24" s="48" t="str">
        <f>IF(S24="","",S24*0.14)</f>
        <v/>
      </c>
      <c r="U24" s="170"/>
      <c r="V24" s="170">
        <f t="shared" si="3"/>
        <v>0</v>
      </c>
      <c r="W24" s="170" t="str">
        <f t="shared" si="4"/>
        <v/>
      </c>
      <c r="X24" s="48" t="str">
        <f>IF(F24="","",IF(B24="no",'Emission Factors'!$D$43,'Emission Factors'!$D$44))</f>
        <v/>
      </c>
      <c r="Y24" s="48" t="str">
        <f t="shared" si="6"/>
        <v/>
      </c>
      <c r="Z24" s="48" t="str">
        <f t="shared" si="7"/>
        <v/>
      </c>
      <c r="AA24" s="48" t="str">
        <f t="shared" si="8"/>
        <v/>
      </c>
      <c r="AB24" s="48" t="str">
        <f>IF(F24="","",IF(B24="no",'Emission Factors'!$F$43,'Emission Factors'!$F$44))</f>
        <v/>
      </c>
      <c r="AC24" s="48" t="str">
        <f t="shared" si="9"/>
        <v/>
      </c>
      <c r="AD24" s="48" t="str">
        <f t="shared" si="10"/>
        <v/>
      </c>
      <c r="AE24" s="48" t="str">
        <f t="shared" si="11"/>
        <v/>
      </c>
      <c r="AF24" s="48" t="str">
        <f>IF(F24="","",IF(B24="no",'Emission Factors'!$H$43,'Emission Factors'!$H$44))</f>
        <v/>
      </c>
      <c r="AG24" s="48" t="str">
        <f>IF(F24="","",IF(C24="LP-1",IF('Limestone Plant (LP-1)'!$F$12&gt;0,'Limestone Plant (LP-1)'!$F$12,AF24*R24*K24),IF(C24="LP-2",IF('Limestone Plant (LP-2)'!$F$12&gt;0,'Limestone Plant (LP-2)'!$F$12,AF24*R24*K24),IF(C24="LP-3",IF('Limestone Plant (LP-3)'!$F$12&gt;0,'Limestone Plant (LP-3)'!$F$12,AF24*R24*K24),IF(C24="LP-4",IF('Limestone Plant (LP-4)'!$F$12&gt;0,'Limestone Plant (LP-4)'!$F$12,AF24*R24*K24),IF(C24="LP-5",IF('Limestone Plant (LP-5)'!$F$12&gt;0,'Limestone Plant (LP-5)'!$F$12,AF24*R24*K24),IF(C24="LP-6",IF('Limestone Plant (LP-6)'!$F$12&gt;0,'Limestone Plant (LP-6)'!$F$12,AF24*R24*K24),IF(C24="LP-7",IF('Limestone Plant (LP-7)'!$F$12&gt;0,'Limestone Plant (LP-7)'!$F$12,AF24*R24*K24),IF(C24="LP-8",IF('Limestone Plant (LP-8)'!$F$12&gt;0,'Limestone Plant (LP-8)'!$F$12,AF24*R24*K24),IF(C24="LP-9",IF('Limestone Plant (LP-9)'!$F$12&gt;0,'Limestone Plant (LP-9)'!$F$12,AF24*R24*K24),IF(C24="LP-10",IF('Limestone Plant (LP-10)'!$F$12&gt;0,'Limestone Plant (LP-10)'!$F$12,AF24*R24*K24))))))))))))</f>
        <v/>
      </c>
      <c r="AH24" s="48" t="str">
        <f t="shared" si="12"/>
        <v/>
      </c>
      <c r="AI24" s="48" t="str">
        <f t="shared" si="13"/>
        <v/>
      </c>
      <c r="AJ24" s="48" t="str">
        <f>IF(F24="","",IF(B24="no",'Emission Factors'!$J$43,'Emission Factors'!$J$44))</f>
        <v/>
      </c>
      <c r="AK24" s="48" t="str">
        <f>IF(F24="","",IF(C24="LP-1",IF('Limestone Plant (LP-1)'!$F$13&gt;0,'Limestone Plant (LP-1)'!$F$13,AJ24*R24),IF(C24="LP-2",IF('Limestone Plant (LP-2)'!$F$13&gt;0,'Limestone Plant (LP-2)'!$F$13,AJ24*R24),IF(C24="LP-3",IF('Limestone Plant (LP-3)'!$F$13&gt;0,'Limestone Plant (LP-3)'!$F$13,AJ24*R24),IF(C24="LP-4",IF('Limestone Plant (LP-4)'!$F$13&gt;0,'Limestone Plant (LP-4)'!$F$13,AJ24*R24),IF(C24="LP-5",IF('Limestone Plant (LP-5)'!$F$13&gt;0,'Limestone Plant (LP-5)'!$F$13,AJ24*R24),IF(C24="LP-6",IF('Limestone Plant (LP-6)'!$F$13&gt;0,'Limestone Plant (LP-6)'!$F$13,AJ24*R24),IF(C24="LP-7",IF('Limestone Plant (LP-7)'!$F$13&gt;0,'Limestone Plant (LP-7)'!$F$13,AJ24*R24),IF(C24="LP-8",IF('Limestone Plant (LP-8)'!$F$13&gt;0,'Limestone Plant (LP-8)'!$F$13,AJ24*R24),IF(C24="LP-9",IF('Limestone Plant (LP-9)'!$F$13&gt;0,'Limestone Plant (LP-9)'!$F$13,AJ24*R24),IF(C24="LP-10",IF('Limestone Plant (LP-10)'!$F$13&gt;0,'Limestone Plant (LP-10)'!$F$13,AJ24*R24))))))))))))</f>
        <v/>
      </c>
      <c r="AL24" s="48" t="str">
        <f t="shared" si="14"/>
        <v/>
      </c>
      <c r="AM24" s="48" t="str">
        <f t="shared" si="15"/>
        <v/>
      </c>
      <c r="AN24" s="48" t="str">
        <f>IF(F24="","",IF(B24="no",'Emission Factors'!$L$43,'Emission Factors'!$L$44))</f>
        <v/>
      </c>
      <c r="AO24" s="48" t="str">
        <f>IF(F24="","",IF(C24="LP-1",IF('Limestone Plant (LP-1)'!$F$14&gt;0,'Limestone Plant (LP-1)'!$F$14,AN24*R24),IF(C24="LP-2",IF('Limestone Plant (LP-2)'!$F$14&gt;0,'Limestone Plant (LP-2)'!$F$14,AN24*R24),IF(C24="LP-3",IF('Limestone Plant (LP-3)'!$F$14&gt;0,'Limestone Plant (LP-3)'!$F$14,AN24*R24),IF(C24="LP-4",IF('Limestone Plant (LP-4)'!$F$14&gt;0,'Limestone Plant (LP-4)'!$F$14,AN24*R24),IF(C24="LP-5",IF('Limestone Plant (LP-5)'!$F$14&gt;0,'Limestone Plant (LP-5)'!$F$14,AN24*R24),IF(C24="LP-6",IF('Limestone Plant (LP-6)'!$F$14&gt;0,'Limestone Plant (LP-6)'!$F$14,AN24*R24),IF(C24="LP-7",IF('Limestone Plant (LP-7)'!$F$14&gt;0,'Limestone Plant (LP-7)'!$F$14,AN24*R24),IF(C24="LP-8",IF('Limestone Plant (LP-8)'!$F$14&gt;0,'Limestone Plant (LP-8)'!$F$14,AN24*R24),IF(C24="LP-9",IF('Limestone Plant (LP-9)'!$F$14&gt;0,'Limestone Plant (LP-9)'!$F$14,AN24*R24),IF(C24="LP-10",IF('Limestone Plant (LP-10)'!$F$14&gt;0,'Limestone Plant (LP-10)'!$F$14,AN24*R24))))))))))))</f>
        <v/>
      </c>
      <c r="AP24" s="48" t="str">
        <f t="shared" si="16"/>
        <v/>
      </c>
      <c r="AQ24" s="48" t="str">
        <f t="shared" si="17"/>
        <v/>
      </c>
      <c r="AR24" s="48" t="str">
        <f>IF(F24="","",IF(B24="no",'Emission Factors'!$N$43,'Emission Factors'!$N$44))</f>
        <v/>
      </c>
      <c r="AS24" s="48" t="str">
        <f>IF(F24="","",IF(C24="LP-1",IF('Limestone Plant (LP-1)'!$F$15&gt;0,'Limestone Plant (LP-1)'!$F$15,AR24*R24),IF(C24="LP-2",IF('Limestone Plant (LP-2)'!$F$15&gt;0,'Limestone Plant (LP-2)'!$F$15,AR24*R24),IF(C24="LP-3",IF('Limestone Plant (LP-3)'!$F$15&gt;0,'Limestone Plant (LP-3)'!$F$15,AR24*R24),IF(C24="LP-4",IF('Limestone Plant (LP-4)'!$F$15&gt;0,'Limestone Plant (LP-4)'!$F$15,AR24*R24),IF(C24="LP-5",IF('Limestone Plant (LP-5)'!$F$15&gt;0,'Limestone Plant (LP-5)'!$F$15,AR24*R24),IF(C24="LP-6",IF('Limestone Plant (LP-6)'!$F$15&gt;0,'Limestone Plant (LP-6)'!$F$15,AR24*R24),IF(C24="LP-7",IF('Limestone Plant (LP-7)'!$F$15&gt;0,'Limestone Plant (LP-7)'!$F$15,AR24*R24),IF(C24="LP-8",IF('Limestone Plant (LP-8)'!$F$15&gt;0,'Limestone Plant (LP-8)'!$F$15,AR24*R24),IF(C24="LP-9",IF('Limestone Plant (LP-9)'!$F$15&gt;0,'Limestone Plant (LP-9)'!$F$15,AR24*R24),IF(C24="LP-10",IF('Limestone Plant (LP-10)'!$F$15&gt;0,'Limestone Plant (LP-10)'!$F$15,AR24*R24))))))))))))</f>
        <v/>
      </c>
      <c r="AT24" s="48" t="str">
        <f t="shared" si="18"/>
        <v/>
      </c>
      <c r="AU24" s="48" t="str">
        <f t="shared" si="19"/>
        <v/>
      </c>
      <c r="AV24" s="48" t="str">
        <f>IF(F24="","",IF(B24="no",'Emission Factors'!$P$43,'Emission Factors'!$P$44))</f>
        <v/>
      </c>
      <c r="AW24" s="48" t="str">
        <f t="shared" si="20"/>
        <v/>
      </c>
      <c r="AX24" s="48" t="str">
        <f t="shared" si="21"/>
        <v/>
      </c>
      <c r="AY24" s="48" t="str">
        <f t="shared" si="22"/>
        <v/>
      </c>
      <c r="AZ24" s="48" t="str">
        <f>IF(F24="","",IF(B24="no",'Emission Factors'!$R$43,'Emission Factors'!$R$44))</f>
        <v/>
      </c>
      <c r="BA24" s="48" t="str">
        <f t="shared" si="23"/>
        <v/>
      </c>
      <c r="BB24" s="48" t="str">
        <f t="shared" si="24"/>
        <v/>
      </c>
      <c r="BC24" s="48" t="str">
        <f t="shared" si="25"/>
        <v/>
      </c>
    </row>
    <row r="25" spans="1:55" x14ac:dyDescent="0.25">
      <c r="B25" s="6" t="str">
        <f>IF(F25="Diesel Generator&gt; 600 bhp","yes","no")</f>
        <v>no</v>
      </c>
      <c r="C25" s="44"/>
      <c r="D25" s="44"/>
      <c r="E25" s="44"/>
      <c r="F25" s="45"/>
      <c r="G25" s="44"/>
      <c r="H25" s="46"/>
      <c r="I25" s="46"/>
      <c r="J25" s="147"/>
      <c r="K25" s="46">
        <f t="shared" si="5"/>
        <v>1</v>
      </c>
      <c r="L25" s="46"/>
      <c r="M25" s="46"/>
      <c r="N25" s="46"/>
      <c r="O25" s="46"/>
      <c r="P25" s="46"/>
      <c r="Q25" s="46"/>
      <c r="R25" s="49" t="str">
        <f>IF(Q25="","",Q25*0.14)</f>
        <v/>
      </c>
      <c r="S25" s="46"/>
      <c r="T25" s="48" t="str">
        <f>IF(S25="","",S25*0.14)</f>
        <v/>
      </c>
      <c r="U25" s="170"/>
      <c r="V25" s="170">
        <f t="shared" si="3"/>
        <v>0</v>
      </c>
      <c r="W25" s="170" t="str">
        <f t="shared" si="4"/>
        <v/>
      </c>
      <c r="X25" s="48" t="str">
        <f>IF(F25="","",IF(B25="no",'Emission Factors'!$D$43,'Emission Factors'!$D$44))</f>
        <v/>
      </c>
      <c r="Y25" s="48" t="str">
        <f t="shared" si="6"/>
        <v/>
      </c>
      <c r="Z25" s="48" t="str">
        <f t="shared" si="7"/>
        <v/>
      </c>
      <c r="AA25" s="48" t="str">
        <f t="shared" si="8"/>
        <v/>
      </c>
      <c r="AB25" s="48" t="str">
        <f>IF(F25="","",IF(B25="no",'Emission Factors'!$F$43,'Emission Factors'!$F$44))</f>
        <v/>
      </c>
      <c r="AC25" s="48" t="str">
        <f t="shared" si="9"/>
        <v/>
      </c>
      <c r="AD25" s="48" t="str">
        <f t="shared" si="10"/>
        <v/>
      </c>
      <c r="AE25" s="48" t="str">
        <f t="shared" si="11"/>
        <v/>
      </c>
      <c r="AF25" s="48" t="str">
        <f>IF(F25="","",IF(B25="no",'Emission Factors'!$H$43,'Emission Factors'!$H$44))</f>
        <v/>
      </c>
      <c r="AG25" s="48" t="str">
        <f>IF(F25="","",IF(C25="LP-1",IF('Limestone Plant (LP-1)'!$F$12&gt;0,'Limestone Plant (LP-1)'!$F$12,AF25*R25*K25),IF(C25="LP-2",IF('Limestone Plant (LP-2)'!$F$12&gt;0,'Limestone Plant (LP-2)'!$F$12,AF25*R25*K25),IF(C25="LP-3",IF('Limestone Plant (LP-3)'!$F$12&gt;0,'Limestone Plant (LP-3)'!$F$12,AF25*R25*K25),IF(C25="LP-4",IF('Limestone Plant (LP-4)'!$F$12&gt;0,'Limestone Plant (LP-4)'!$F$12,AF25*R25*K25),IF(C25="LP-5",IF('Limestone Plant (LP-5)'!$F$12&gt;0,'Limestone Plant (LP-5)'!$F$12,AF25*R25*K25),IF(C25="LP-6",IF('Limestone Plant (LP-6)'!$F$12&gt;0,'Limestone Plant (LP-6)'!$F$12,AF25*R25*K25),IF(C25="LP-7",IF('Limestone Plant (LP-7)'!$F$12&gt;0,'Limestone Plant (LP-7)'!$F$12,AF25*R25*K25),IF(C25="LP-8",IF('Limestone Plant (LP-8)'!$F$12&gt;0,'Limestone Plant (LP-8)'!$F$12,AF25*R25*K25),IF(C25="LP-9",IF('Limestone Plant (LP-9)'!$F$12&gt;0,'Limestone Plant (LP-9)'!$F$12,AF25*R25*K25),IF(C25="LP-10",IF('Limestone Plant (LP-10)'!$F$12&gt;0,'Limestone Plant (LP-10)'!$F$12,AF25*R25*K25))))))))))))</f>
        <v/>
      </c>
      <c r="AH25" s="48" t="str">
        <f t="shared" si="12"/>
        <v/>
      </c>
      <c r="AI25" s="48" t="str">
        <f t="shared" si="13"/>
        <v/>
      </c>
      <c r="AJ25" s="48" t="str">
        <f>IF(F25="","",IF(B25="no",'Emission Factors'!$J$43,'Emission Factors'!$J$44))</f>
        <v/>
      </c>
      <c r="AK25" s="48" t="str">
        <f>IF(F25="","",IF(C25="LP-1",IF('Limestone Plant (LP-1)'!$F$13&gt;0,'Limestone Plant (LP-1)'!$F$13,AJ25*R25),IF(C25="LP-2",IF('Limestone Plant (LP-2)'!$F$13&gt;0,'Limestone Plant (LP-2)'!$F$13,AJ25*R25),IF(C25="LP-3",IF('Limestone Plant (LP-3)'!$F$13&gt;0,'Limestone Plant (LP-3)'!$F$13,AJ25*R25),IF(C25="LP-4",IF('Limestone Plant (LP-4)'!$F$13&gt;0,'Limestone Plant (LP-4)'!$F$13,AJ25*R25),IF(C25="LP-5",IF('Limestone Plant (LP-5)'!$F$13&gt;0,'Limestone Plant (LP-5)'!$F$13,AJ25*R25),IF(C25="LP-6",IF('Limestone Plant (LP-6)'!$F$13&gt;0,'Limestone Plant (LP-6)'!$F$13,AJ25*R25),IF(C25="LP-7",IF('Limestone Plant (LP-7)'!$F$13&gt;0,'Limestone Plant (LP-7)'!$F$13,AJ25*R25),IF(C25="LP-8",IF('Limestone Plant (LP-8)'!$F$13&gt;0,'Limestone Plant (LP-8)'!$F$13,AJ25*R25),IF(C25="LP-9",IF('Limestone Plant (LP-9)'!$F$13&gt;0,'Limestone Plant (LP-9)'!$F$13,AJ25*R25),IF(C25="LP-10",IF('Limestone Plant (LP-10)'!$F$13&gt;0,'Limestone Plant (LP-10)'!$F$13,AJ25*R25))))))))))))</f>
        <v/>
      </c>
      <c r="AL25" s="48" t="str">
        <f t="shared" si="14"/>
        <v/>
      </c>
      <c r="AM25" s="48" t="str">
        <f t="shared" si="15"/>
        <v/>
      </c>
      <c r="AN25" s="48" t="str">
        <f>IF(F25="","",IF(B25="no",'Emission Factors'!$L$43,'Emission Factors'!$L$44))</f>
        <v/>
      </c>
      <c r="AO25" s="48" t="str">
        <f>IF(F25="","",IF(C25="LP-1",IF('Limestone Plant (LP-1)'!$F$14&gt;0,'Limestone Plant (LP-1)'!$F$14,AN25*R25),IF(C25="LP-2",IF('Limestone Plant (LP-2)'!$F$14&gt;0,'Limestone Plant (LP-2)'!$F$14,AN25*R25),IF(C25="LP-3",IF('Limestone Plant (LP-3)'!$F$14&gt;0,'Limestone Plant (LP-3)'!$F$14,AN25*R25),IF(C25="LP-4",IF('Limestone Plant (LP-4)'!$F$14&gt;0,'Limestone Plant (LP-4)'!$F$14,AN25*R25),IF(C25="LP-5",IF('Limestone Plant (LP-5)'!$F$14&gt;0,'Limestone Plant (LP-5)'!$F$14,AN25*R25),IF(C25="LP-6",IF('Limestone Plant (LP-6)'!$F$14&gt;0,'Limestone Plant (LP-6)'!$F$14,AN25*R25),IF(C25="LP-7",IF('Limestone Plant (LP-7)'!$F$14&gt;0,'Limestone Plant (LP-7)'!$F$14,AN25*R25),IF(C25="LP-8",IF('Limestone Plant (LP-8)'!$F$14&gt;0,'Limestone Plant (LP-8)'!$F$14,AN25*R25),IF(C25="LP-9",IF('Limestone Plant (LP-9)'!$F$14&gt;0,'Limestone Plant (LP-9)'!$F$14,AN25*R25),IF(C25="LP-10",IF('Limestone Plant (LP-10)'!$F$14&gt;0,'Limestone Plant (LP-10)'!$F$14,AN25*R25))))))))))))</f>
        <v/>
      </c>
      <c r="AP25" s="48" t="str">
        <f t="shared" si="16"/>
        <v/>
      </c>
      <c r="AQ25" s="48" t="str">
        <f t="shared" si="17"/>
        <v/>
      </c>
      <c r="AR25" s="48" t="str">
        <f>IF(F25="","",IF(B25="no",'Emission Factors'!$N$43,'Emission Factors'!$N$44))</f>
        <v/>
      </c>
      <c r="AS25" s="48" t="str">
        <f>IF(F25="","",IF(C25="LP-1",IF('Limestone Plant (LP-1)'!$F$15&gt;0,'Limestone Plant (LP-1)'!$F$15,AR25*R25),IF(C25="LP-2",IF('Limestone Plant (LP-2)'!$F$15&gt;0,'Limestone Plant (LP-2)'!$F$15,AR25*R25),IF(C25="LP-3",IF('Limestone Plant (LP-3)'!$F$15&gt;0,'Limestone Plant (LP-3)'!$F$15,AR25*R25),IF(C25="LP-4",IF('Limestone Plant (LP-4)'!$F$15&gt;0,'Limestone Plant (LP-4)'!$F$15,AR25*R25),IF(C25="LP-5",IF('Limestone Plant (LP-5)'!$F$15&gt;0,'Limestone Plant (LP-5)'!$F$15,AR25*R25),IF(C25="LP-6",IF('Limestone Plant (LP-6)'!$F$15&gt;0,'Limestone Plant (LP-6)'!$F$15,AR25*R25),IF(C25="LP-7",IF('Limestone Plant (LP-7)'!$F$15&gt;0,'Limestone Plant (LP-7)'!$F$15,AR25*R25),IF(C25="LP-8",IF('Limestone Plant (LP-8)'!$F$15&gt;0,'Limestone Plant (LP-8)'!$F$15,AR25*R25),IF(C25="LP-9",IF('Limestone Plant (LP-9)'!$F$15&gt;0,'Limestone Plant (LP-9)'!$F$15,AR25*R25),IF(C25="LP-10",IF('Limestone Plant (LP-10)'!$F$15&gt;0,'Limestone Plant (LP-10)'!$F$15,AR25*R25))))))))))))</f>
        <v/>
      </c>
      <c r="AT25" s="48" t="str">
        <f t="shared" si="18"/>
        <v/>
      </c>
      <c r="AU25" s="48" t="str">
        <f t="shared" si="19"/>
        <v/>
      </c>
      <c r="AV25" s="48" t="str">
        <f>IF(F25="","",IF(B25="no",'Emission Factors'!$P$43,'Emission Factors'!$P$44))</f>
        <v/>
      </c>
      <c r="AW25" s="48" t="str">
        <f t="shared" si="20"/>
        <v/>
      </c>
      <c r="AX25" s="48" t="str">
        <f t="shared" si="21"/>
        <v/>
      </c>
      <c r="AY25" s="48" t="str">
        <f t="shared" si="22"/>
        <v/>
      </c>
      <c r="AZ25" s="48" t="str">
        <f>IF(F25="","",IF(B25="no",'Emission Factors'!$R$43,'Emission Factors'!$R$44))</f>
        <v/>
      </c>
      <c r="BA25" s="48" t="str">
        <f t="shared" si="23"/>
        <v/>
      </c>
      <c r="BB25" s="48" t="str">
        <f t="shared" si="24"/>
        <v/>
      </c>
      <c r="BC25" s="48" t="str">
        <f t="shared" si="25"/>
        <v/>
      </c>
    </row>
    <row r="26" spans="1:55" x14ac:dyDescent="0.25">
      <c r="B26" s="6" t="str">
        <f>IF(F26="Diesel Generator&gt; 600 bhp","yes","no")</f>
        <v>no</v>
      </c>
      <c r="C26" s="44"/>
      <c r="D26" s="44"/>
      <c r="E26" s="44"/>
      <c r="F26" s="45"/>
      <c r="G26" s="44"/>
      <c r="H26" s="46"/>
      <c r="I26" s="46"/>
      <c r="J26" s="147"/>
      <c r="K26" s="46">
        <f t="shared" si="5"/>
        <v>1</v>
      </c>
      <c r="L26" s="46"/>
      <c r="M26" s="46"/>
      <c r="N26" s="46"/>
      <c r="O26" s="46"/>
      <c r="P26" s="46"/>
      <c r="Q26" s="46"/>
      <c r="R26" s="49" t="str">
        <f>IF(Q26="","",Q26*0.14)</f>
        <v/>
      </c>
      <c r="S26" s="46"/>
      <c r="T26" s="48" t="str">
        <f>IF(S26="","",S26*0.14)</f>
        <v/>
      </c>
      <c r="U26" s="170"/>
      <c r="V26" s="170">
        <f t="shared" si="3"/>
        <v>0</v>
      </c>
      <c r="W26" s="170" t="str">
        <f t="shared" si="4"/>
        <v/>
      </c>
      <c r="X26" s="48" t="str">
        <f>IF(F26="","",IF(B26="no",'Emission Factors'!$D$43,'Emission Factors'!$D$44))</f>
        <v/>
      </c>
      <c r="Y26" s="48" t="str">
        <f t="shared" si="6"/>
        <v/>
      </c>
      <c r="Z26" s="48" t="str">
        <f t="shared" si="7"/>
        <v/>
      </c>
      <c r="AA26" s="48" t="str">
        <f t="shared" si="8"/>
        <v/>
      </c>
      <c r="AB26" s="48" t="str">
        <f>IF(F26="","",IF(B26="no",'Emission Factors'!$F$43,'Emission Factors'!$F$44))</f>
        <v/>
      </c>
      <c r="AC26" s="48" t="str">
        <f t="shared" si="9"/>
        <v/>
      </c>
      <c r="AD26" s="48" t="str">
        <f t="shared" si="10"/>
        <v/>
      </c>
      <c r="AE26" s="48" t="str">
        <f t="shared" si="11"/>
        <v/>
      </c>
      <c r="AF26" s="48" t="str">
        <f>IF(F26="","",IF(B26="no",'Emission Factors'!$H$43,'Emission Factors'!$H$44))</f>
        <v/>
      </c>
      <c r="AG26" s="48" t="str">
        <f>IF(F26="","",IF(C26="LP-1",IF('Limestone Plant (LP-1)'!$F$12&gt;0,'Limestone Plant (LP-1)'!$F$12,AF26*R26*K26),IF(C26="LP-2",IF('Limestone Plant (LP-2)'!$F$12&gt;0,'Limestone Plant (LP-2)'!$F$12,AF26*R26*K26),IF(C26="LP-3",IF('Limestone Plant (LP-3)'!$F$12&gt;0,'Limestone Plant (LP-3)'!$F$12,AF26*R26*K26),IF(C26="LP-4",IF('Limestone Plant (LP-4)'!$F$12&gt;0,'Limestone Plant (LP-4)'!$F$12,AF26*R26*K26),IF(C26="LP-5",IF('Limestone Plant (LP-5)'!$F$12&gt;0,'Limestone Plant (LP-5)'!$F$12,AF26*R26*K26),IF(C26="LP-6",IF('Limestone Plant (LP-6)'!$F$12&gt;0,'Limestone Plant (LP-6)'!$F$12,AF26*R26*K26),IF(C26="LP-7",IF('Limestone Plant (LP-7)'!$F$12&gt;0,'Limestone Plant (LP-7)'!$F$12,AF26*R26*K26),IF(C26="LP-8",IF('Limestone Plant (LP-8)'!$F$12&gt;0,'Limestone Plant (LP-8)'!$F$12,AF26*R26*K26),IF(C26="LP-9",IF('Limestone Plant (LP-9)'!$F$12&gt;0,'Limestone Plant (LP-9)'!$F$12,AF26*R26*K26),IF(C26="LP-10",IF('Limestone Plant (LP-10)'!$F$12&gt;0,'Limestone Plant (LP-10)'!$F$12,AF26*R26*K26))))))))))))</f>
        <v/>
      </c>
      <c r="AH26" s="48" t="str">
        <f t="shared" si="12"/>
        <v/>
      </c>
      <c r="AI26" s="48" t="str">
        <f t="shared" si="13"/>
        <v/>
      </c>
      <c r="AJ26" s="48" t="str">
        <f>IF(F26="","",IF(B26="no",'Emission Factors'!$J$43,'Emission Factors'!$J$44))</f>
        <v/>
      </c>
      <c r="AK26" s="48" t="str">
        <f>IF(F26="","",IF(C26="LP-1",IF('Limestone Plant (LP-1)'!$F$13&gt;0,'Limestone Plant (LP-1)'!$F$13,AJ26*R26),IF(C26="LP-2",IF('Limestone Plant (LP-2)'!$F$13&gt;0,'Limestone Plant (LP-2)'!$F$13,AJ26*R26),IF(C26="LP-3",IF('Limestone Plant (LP-3)'!$F$13&gt;0,'Limestone Plant (LP-3)'!$F$13,AJ26*R26),IF(C26="LP-4",IF('Limestone Plant (LP-4)'!$F$13&gt;0,'Limestone Plant (LP-4)'!$F$13,AJ26*R26),IF(C26="LP-5",IF('Limestone Plant (LP-5)'!$F$13&gt;0,'Limestone Plant (LP-5)'!$F$13,AJ26*R26),IF(C26="LP-6",IF('Limestone Plant (LP-6)'!$F$13&gt;0,'Limestone Plant (LP-6)'!$F$13,AJ26*R26),IF(C26="LP-7",IF('Limestone Plant (LP-7)'!$F$13&gt;0,'Limestone Plant (LP-7)'!$F$13,AJ26*R26),IF(C26="LP-8",IF('Limestone Plant (LP-8)'!$F$13&gt;0,'Limestone Plant (LP-8)'!$F$13,AJ26*R26),IF(C26="LP-9",IF('Limestone Plant (LP-9)'!$F$13&gt;0,'Limestone Plant (LP-9)'!$F$13,AJ26*R26),IF(C26="LP-10",IF('Limestone Plant (LP-10)'!$F$13&gt;0,'Limestone Plant (LP-10)'!$F$13,AJ26*R26))))))))))))</f>
        <v/>
      </c>
      <c r="AL26" s="48" t="str">
        <f t="shared" si="14"/>
        <v/>
      </c>
      <c r="AM26" s="48" t="str">
        <f t="shared" si="15"/>
        <v/>
      </c>
      <c r="AN26" s="48" t="str">
        <f>IF(F26="","",IF(B26="no",'Emission Factors'!$L$43,'Emission Factors'!$L$44))</f>
        <v/>
      </c>
      <c r="AO26" s="48" t="str">
        <f>IF(F26="","",IF(C26="LP-1",IF('Limestone Plant (LP-1)'!$F$14&gt;0,'Limestone Plant (LP-1)'!$F$14,AN26*R26),IF(C26="LP-2",IF('Limestone Plant (LP-2)'!$F$14&gt;0,'Limestone Plant (LP-2)'!$F$14,AN26*R26),IF(C26="LP-3",IF('Limestone Plant (LP-3)'!$F$14&gt;0,'Limestone Plant (LP-3)'!$F$14,AN26*R26),IF(C26="LP-4",IF('Limestone Plant (LP-4)'!$F$14&gt;0,'Limestone Plant (LP-4)'!$F$14,AN26*R26),IF(C26="LP-5",IF('Limestone Plant (LP-5)'!$F$14&gt;0,'Limestone Plant (LP-5)'!$F$14,AN26*R26),IF(C26="LP-6",IF('Limestone Plant (LP-6)'!$F$14&gt;0,'Limestone Plant (LP-6)'!$F$14,AN26*R26),IF(C26="LP-7",IF('Limestone Plant (LP-7)'!$F$14&gt;0,'Limestone Plant (LP-7)'!$F$14,AN26*R26),IF(C26="LP-8",IF('Limestone Plant (LP-8)'!$F$14&gt;0,'Limestone Plant (LP-8)'!$F$14,AN26*R26),IF(C26="LP-9",IF('Limestone Plant (LP-9)'!$F$14&gt;0,'Limestone Plant (LP-9)'!$F$14,AN26*R26),IF(C26="LP-10",IF('Limestone Plant (LP-10)'!$F$14&gt;0,'Limestone Plant (LP-10)'!$F$14,AN26*R26))))))))))))</f>
        <v/>
      </c>
      <c r="AP26" s="48" t="str">
        <f t="shared" si="16"/>
        <v/>
      </c>
      <c r="AQ26" s="48" t="str">
        <f t="shared" si="17"/>
        <v/>
      </c>
      <c r="AR26" s="48" t="str">
        <f>IF(F26="","",IF(B26="no",'Emission Factors'!$N$43,'Emission Factors'!$N$44))</f>
        <v/>
      </c>
      <c r="AS26" s="48" t="str">
        <f>IF(F26="","",IF(C26="LP-1",IF('Limestone Plant (LP-1)'!$F$15&gt;0,'Limestone Plant (LP-1)'!$F$15,AR26*R26),IF(C26="LP-2",IF('Limestone Plant (LP-2)'!$F$15&gt;0,'Limestone Plant (LP-2)'!$F$15,AR26*R26),IF(C26="LP-3",IF('Limestone Plant (LP-3)'!$F$15&gt;0,'Limestone Plant (LP-3)'!$F$15,AR26*R26),IF(C26="LP-4",IF('Limestone Plant (LP-4)'!$F$15&gt;0,'Limestone Plant (LP-4)'!$F$15,AR26*R26),IF(C26="LP-5",IF('Limestone Plant (LP-5)'!$F$15&gt;0,'Limestone Plant (LP-5)'!$F$15,AR26*R26),IF(C26="LP-6",IF('Limestone Plant (LP-6)'!$F$15&gt;0,'Limestone Plant (LP-6)'!$F$15,AR26*R26),IF(C26="LP-7",IF('Limestone Plant (LP-7)'!$F$15&gt;0,'Limestone Plant (LP-7)'!$F$15,AR26*R26),IF(C26="LP-8",IF('Limestone Plant (LP-8)'!$F$15&gt;0,'Limestone Plant (LP-8)'!$F$15,AR26*R26),IF(C26="LP-9",IF('Limestone Plant (LP-9)'!$F$15&gt;0,'Limestone Plant (LP-9)'!$F$15,AR26*R26),IF(C26="LP-10",IF('Limestone Plant (LP-10)'!$F$15&gt;0,'Limestone Plant (LP-10)'!$F$15,AR26*R26))))))))))))</f>
        <v/>
      </c>
      <c r="AT26" s="48" t="str">
        <f t="shared" si="18"/>
        <v/>
      </c>
      <c r="AU26" s="48" t="str">
        <f t="shared" si="19"/>
        <v/>
      </c>
      <c r="AV26" s="48" t="str">
        <f>IF(F26="","",IF(B26="no",'Emission Factors'!$P$43,'Emission Factors'!$P$44))</f>
        <v/>
      </c>
      <c r="AW26" s="48" t="str">
        <f t="shared" si="20"/>
        <v/>
      </c>
      <c r="AX26" s="48" t="str">
        <f t="shared" si="21"/>
        <v/>
      </c>
      <c r="AY26" s="48" t="str">
        <f t="shared" si="22"/>
        <v/>
      </c>
      <c r="AZ26" s="48" t="str">
        <f>IF(F26="","",IF(B26="no",'Emission Factors'!$R$43,'Emission Factors'!$R$44))</f>
        <v/>
      </c>
      <c r="BA26" s="48" t="str">
        <f t="shared" si="23"/>
        <v/>
      </c>
      <c r="BB26" s="48" t="str">
        <f t="shared" si="24"/>
        <v/>
      </c>
      <c r="BC26" s="48" t="str">
        <f t="shared" si="25"/>
        <v/>
      </c>
    </row>
    <row r="27" spans="1:55" x14ac:dyDescent="0.25">
      <c r="B27" s="6" t="str">
        <f>IF(F27="Diesel Generator&gt; 600 bhp","yes","no")</f>
        <v>no</v>
      </c>
      <c r="C27" s="44"/>
      <c r="D27" s="44"/>
      <c r="E27" s="44"/>
      <c r="F27" s="45"/>
      <c r="G27" s="44"/>
      <c r="H27" s="46"/>
      <c r="I27" s="46"/>
      <c r="J27" s="147"/>
      <c r="K27" s="46">
        <f t="shared" si="5"/>
        <v>1</v>
      </c>
      <c r="L27" s="46"/>
      <c r="M27" s="46"/>
      <c r="N27" s="46"/>
      <c r="O27" s="46"/>
      <c r="P27" s="46"/>
      <c r="Q27" s="46"/>
      <c r="R27" s="49" t="str">
        <f>IF(Q27="","",Q27*0.14)</f>
        <v/>
      </c>
      <c r="S27" s="46"/>
      <c r="T27" s="48" t="str">
        <f>IF(S27="","",S27*0.14)</f>
        <v/>
      </c>
      <c r="U27" s="170"/>
      <c r="V27" s="170">
        <f t="shared" si="3"/>
        <v>0</v>
      </c>
      <c r="W27" s="170" t="str">
        <f t="shared" si="4"/>
        <v/>
      </c>
      <c r="X27" s="48" t="str">
        <f>IF(F27="","",IF(B27="no",'Emission Factors'!$D$43,'Emission Factors'!$D$44))</f>
        <v/>
      </c>
      <c r="Y27" s="48" t="str">
        <f t="shared" si="6"/>
        <v/>
      </c>
      <c r="Z27" s="48" t="str">
        <f t="shared" si="7"/>
        <v/>
      </c>
      <c r="AA27" s="48" t="str">
        <f t="shared" si="8"/>
        <v/>
      </c>
      <c r="AB27" s="48" t="str">
        <f>IF(F27="","",IF(B27="no",'Emission Factors'!$F$43,'Emission Factors'!$F$44))</f>
        <v/>
      </c>
      <c r="AC27" s="48" t="str">
        <f t="shared" si="9"/>
        <v/>
      </c>
      <c r="AD27" s="48" t="str">
        <f t="shared" si="10"/>
        <v/>
      </c>
      <c r="AE27" s="48" t="str">
        <f t="shared" si="11"/>
        <v/>
      </c>
      <c r="AF27" s="48" t="str">
        <f>IF(F27="","",IF(B27="no",'Emission Factors'!$H$43,'Emission Factors'!$H$44))</f>
        <v/>
      </c>
      <c r="AG27" s="48" t="str">
        <f>IF(F27="","",IF(C27="LP-1",IF('Limestone Plant (LP-1)'!$F$12&gt;0,'Limestone Plant (LP-1)'!$F$12,AF27*R27*K27),IF(C27="LP-2",IF('Limestone Plant (LP-2)'!$F$12&gt;0,'Limestone Plant (LP-2)'!$F$12,AF27*R27*K27),IF(C27="LP-3",IF('Limestone Plant (LP-3)'!$F$12&gt;0,'Limestone Plant (LP-3)'!$F$12,AF27*R27*K27),IF(C27="LP-4",IF('Limestone Plant (LP-4)'!$F$12&gt;0,'Limestone Plant (LP-4)'!$F$12,AF27*R27*K27),IF(C27="LP-5",IF('Limestone Plant (LP-5)'!$F$12&gt;0,'Limestone Plant (LP-5)'!$F$12,AF27*R27*K27),IF(C27="LP-6",IF('Limestone Plant (LP-6)'!$F$12&gt;0,'Limestone Plant (LP-6)'!$F$12,AF27*R27*K27),IF(C27="LP-7",IF('Limestone Plant (LP-7)'!$F$12&gt;0,'Limestone Plant (LP-7)'!$F$12,AF27*R27*K27),IF(C27="LP-8",IF('Limestone Plant (LP-8)'!$F$12&gt;0,'Limestone Plant (LP-8)'!$F$12,AF27*R27*K27),IF(C27="LP-9",IF('Limestone Plant (LP-9)'!$F$12&gt;0,'Limestone Plant (LP-9)'!$F$12,AF27*R27*K27),IF(C27="LP-10",IF('Limestone Plant (LP-10)'!$F$12&gt;0,'Limestone Plant (LP-10)'!$F$12,AF27*R27*K27))))))))))))</f>
        <v/>
      </c>
      <c r="AH27" s="48" t="str">
        <f t="shared" si="12"/>
        <v/>
      </c>
      <c r="AI27" s="48" t="str">
        <f t="shared" si="13"/>
        <v/>
      </c>
      <c r="AJ27" s="48" t="str">
        <f>IF(F27="","",IF(B27="no",'Emission Factors'!$J$43,'Emission Factors'!$J$44))</f>
        <v/>
      </c>
      <c r="AK27" s="48" t="str">
        <f>IF(F27="","",IF(C27="LP-1",IF('Limestone Plant (LP-1)'!$F$13&gt;0,'Limestone Plant (LP-1)'!$F$13,AJ27*R27),IF(C27="LP-2",IF('Limestone Plant (LP-2)'!$F$13&gt;0,'Limestone Plant (LP-2)'!$F$13,AJ27*R27),IF(C27="LP-3",IF('Limestone Plant (LP-3)'!$F$13&gt;0,'Limestone Plant (LP-3)'!$F$13,AJ27*R27),IF(C27="LP-4",IF('Limestone Plant (LP-4)'!$F$13&gt;0,'Limestone Plant (LP-4)'!$F$13,AJ27*R27),IF(C27="LP-5",IF('Limestone Plant (LP-5)'!$F$13&gt;0,'Limestone Plant (LP-5)'!$F$13,AJ27*R27),IF(C27="LP-6",IF('Limestone Plant (LP-6)'!$F$13&gt;0,'Limestone Plant (LP-6)'!$F$13,AJ27*R27),IF(C27="LP-7",IF('Limestone Plant (LP-7)'!$F$13&gt;0,'Limestone Plant (LP-7)'!$F$13,AJ27*R27),IF(C27="LP-8",IF('Limestone Plant (LP-8)'!$F$13&gt;0,'Limestone Plant (LP-8)'!$F$13,AJ27*R27),IF(C27="LP-9",IF('Limestone Plant (LP-9)'!$F$13&gt;0,'Limestone Plant (LP-9)'!$F$13,AJ27*R27),IF(C27="LP-10",IF('Limestone Plant (LP-10)'!$F$13&gt;0,'Limestone Plant (LP-10)'!$F$13,AJ27*R27))))))))))))</f>
        <v/>
      </c>
      <c r="AL27" s="48" t="str">
        <f t="shared" si="14"/>
        <v/>
      </c>
      <c r="AM27" s="48" t="str">
        <f t="shared" si="15"/>
        <v/>
      </c>
      <c r="AN27" s="48" t="str">
        <f>IF(F27="","",IF(B27="no",'Emission Factors'!$L$43,'Emission Factors'!$L$44))</f>
        <v/>
      </c>
      <c r="AO27" s="48" t="str">
        <f>IF(F27="","",IF(C27="LP-1",IF('Limestone Plant (LP-1)'!$F$14&gt;0,'Limestone Plant (LP-1)'!$F$14,AN27*R27),IF(C27="LP-2",IF('Limestone Plant (LP-2)'!$F$14&gt;0,'Limestone Plant (LP-2)'!$F$14,AN27*R27),IF(C27="LP-3",IF('Limestone Plant (LP-3)'!$F$14&gt;0,'Limestone Plant (LP-3)'!$F$14,AN27*R27),IF(C27="LP-4",IF('Limestone Plant (LP-4)'!$F$14&gt;0,'Limestone Plant (LP-4)'!$F$14,AN27*R27),IF(C27="LP-5",IF('Limestone Plant (LP-5)'!$F$14&gt;0,'Limestone Plant (LP-5)'!$F$14,AN27*R27),IF(C27="LP-6",IF('Limestone Plant (LP-6)'!$F$14&gt;0,'Limestone Plant (LP-6)'!$F$14,AN27*R27),IF(C27="LP-7",IF('Limestone Plant (LP-7)'!$F$14&gt;0,'Limestone Plant (LP-7)'!$F$14,AN27*R27),IF(C27="LP-8",IF('Limestone Plant (LP-8)'!$F$14&gt;0,'Limestone Plant (LP-8)'!$F$14,AN27*R27),IF(C27="LP-9",IF('Limestone Plant (LP-9)'!$F$14&gt;0,'Limestone Plant (LP-9)'!$F$14,AN27*R27),IF(C27="LP-10",IF('Limestone Plant (LP-10)'!$F$14&gt;0,'Limestone Plant (LP-10)'!$F$14,AN27*R27))))))))))))</f>
        <v/>
      </c>
      <c r="AP27" s="48" t="str">
        <f t="shared" si="16"/>
        <v/>
      </c>
      <c r="AQ27" s="48" t="str">
        <f t="shared" si="17"/>
        <v/>
      </c>
      <c r="AR27" s="48" t="str">
        <f>IF(F27="","",IF(B27="no",'Emission Factors'!$N$43,'Emission Factors'!$N$44))</f>
        <v/>
      </c>
      <c r="AS27" s="48" t="str">
        <f>IF(F27="","",IF(C27="LP-1",IF('Limestone Plant (LP-1)'!$F$15&gt;0,'Limestone Plant (LP-1)'!$F$15,AR27*R27),IF(C27="LP-2",IF('Limestone Plant (LP-2)'!$F$15&gt;0,'Limestone Plant (LP-2)'!$F$15,AR27*R27),IF(C27="LP-3",IF('Limestone Plant (LP-3)'!$F$15&gt;0,'Limestone Plant (LP-3)'!$F$15,AR27*R27),IF(C27="LP-4",IF('Limestone Plant (LP-4)'!$F$15&gt;0,'Limestone Plant (LP-4)'!$F$15,AR27*R27),IF(C27="LP-5",IF('Limestone Plant (LP-5)'!$F$15&gt;0,'Limestone Plant (LP-5)'!$F$15,AR27*R27),IF(C27="LP-6",IF('Limestone Plant (LP-6)'!$F$15&gt;0,'Limestone Plant (LP-6)'!$F$15,AR27*R27),IF(C27="LP-7",IF('Limestone Plant (LP-7)'!$F$15&gt;0,'Limestone Plant (LP-7)'!$F$15,AR27*R27),IF(C27="LP-8",IF('Limestone Plant (LP-8)'!$F$15&gt;0,'Limestone Plant (LP-8)'!$F$15,AR27*R27),IF(C27="LP-9",IF('Limestone Plant (LP-9)'!$F$15&gt;0,'Limestone Plant (LP-9)'!$F$15,AR27*R27),IF(C27="LP-10",IF('Limestone Plant (LP-10)'!$F$15&gt;0,'Limestone Plant (LP-10)'!$F$15,AR27*R27))))))))))))</f>
        <v/>
      </c>
      <c r="AT27" s="48" t="str">
        <f t="shared" si="18"/>
        <v/>
      </c>
      <c r="AU27" s="48" t="str">
        <f t="shared" si="19"/>
        <v/>
      </c>
      <c r="AV27" s="48" t="str">
        <f>IF(F27="","",IF(B27="no",'Emission Factors'!$P$43,'Emission Factors'!$P$44))</f>
        <v/>
      </c>
      <c r="AW27" s="48" t="str">
        <f t="shared" si="20"/>
        <v/>
      </c>
      <c r="AX27" s="48" t="str">
        <f t="shared" si="21"/>
        <v/>
      </c>
      <c r="AY27" s="48" t="str">
        <f t="shared" si="22"/>
        <v/>
      </c>
      <c r="AZ27" s="48" t="str">
        <f>IF(F27="","",IF(B27="no",'Emission Factors'!$R$43,'Emission Factors'!$R$44))</f>
        <v/>
      </c>
      <c r="BA27" s="48" t="str">
        <f t="shared" si="23"/>
        <v/>
      </c>
      <c r="BB27" s="48" t="str">
        <f t="shared" si="24"/>
        <v/>
      </c>
      <c r="BC27" s="48" t="str">
        <f t="shared" si="25"/>
        <v/>
      </c>
    </row>
    <row r="28" spans="1:55" x14ac:dyDescent="0.25">
      <c r="B28" s="6" t="str">
        <f>IF(F28="Diesel Generator&gt; 600 bhp","yes","no")</f>
        <v>no</v>
      </c>
      <c r="C28" s="44"/>
      <c r="D28" s="44"/>
      <c r="E28" s="44"/>
      <c r="F28" s="45"/>
      <c r="G28" s="44"/>
      <c r="H28" s="46"/>
      <c r="I28" s="46"/>
      <c r="J28" s="147"/>
      <c r="K28" s="46">
        <f t="shared" si="5"/>
        <v>1</v>
      </c>
      <c r="L28" s="46"/>
      <c r="M28" s="46"/>
      <c r="N28" s="46"/>
      <c r="O28" s="46"/>
      <c r="P28" s="46"/>
      <c r="Q28" s="46"/>
      <c r="R28" s="49" t="str">
        <f>IF(Q28="","",Q28*0.14)</f>
        <v/>
      </c>
      <c r="S28" s="46"/>
      <c r="T28" s="48" t="str">
        <f>IF(S28="","",S28*0.14)</f>
        <v/>
      </c>
      <c r="U28" s="170"/>
      <c r="V28" s="170">
        <f t="shared" si="3"/>
        <v>0</v>
      </c>
      <c r="W28" s="170" t="str">
        <f t="shared" si="4"/>
        <v/>
      </c>
      <c r="X28" s="48" t="str">
        <f>IF(F28="","",IF(B28="no",'Emission Factors'!$D$43,'Emission Factors'!$D$44))</f>
        <v/>
      </c>
      <c r="Y28" s="48" t="str">
        <f t="shared" si="6"/>
        <v/>
      </c>
      <c r="Z28" s="48" t="str">
        <f t="shared" si="7"/>
        <v/>
      </c>
      <c r="AA28" s="48" t="str">
        <f t="shared" si="8"/>
        <v/>
      </c>
      <c r="AB28" s="48" t="str">
        <f>IF(F28="","",IF(B28="no",'Emission Factors'!$F$43,'Emission Factors'!$F$44))</f>
        <v/>
      </c>
      <c r="AC28" s="48" t="str">
        <f t="shared" si="9"/>
        <v/>
      </c>
      <c r="AD28" s="48" t="str">
        <f t="shared" si="10"/>
        <v/>
      </c>
      <c r="AE28" s="48" t="str">
        <f t="shared" si="11"/>
        <v/>
      </c>
      <c r="AF28" s="48" t="str">
        <f>IF(F28="","",IF(B28="no",'Emission Factors'!$H$43,'Emission Factors'!$H$44))</f>
        <v/>
      </c>
      <c r="AG28" s="48" t="str">
        <f>IF(F28="","",IF(C28="LP-1",IF('Limestone Plant (LP-1)'!$F$12&gt;0,'Limestone Plant (LP-1)'!$F$12,AF28*R28*K28),IF(C28="LP-2",IF('Limestone Plant (LP-2)'!$F$12&gt;0,'Limestone Plant (LP-2)'!$F$12,AF28*R28*K28),IF(C28="LP-3",IF('Limestone Plant (LP-3)'!$F$12&gt;0,'Limestone Plant (LP-3)'!$F$12,AF28*R28*K28),IF(C28="LP-4",IF('Limestone Plant (LP-4)'!$F$12&gt;0,'Limestone Plant (LP-4)'!$F$12,AF28*R28*K28),IF(C28="LP-5",IF('Limestone Plant (LP-5)'!$F$12&gt;0,'Limestone Plant (LP-5)'!$F$12,AF28*R28*K28),IF(C28="LP-6",IF('Limestone Plant (LP-6)'!$F$12&gt;0,'Limestone Plant (LP-6)'!$F$12,AF28*R28*K28),IF(C28="LP-7",IF('Limestone Plant (LP-7)'!$F$12&gt;0,'Limestone Plant (LP-7)'!$F$12,AF28*R28*K28),IF(C28="LP-8",IF('Limestone Plant (LP-8)'!$F$12&gt;0,'Limestone Plant (LP-8)'!$F$12,AF28*R28*K28),IF(C28="LP-9",IF('Limestone Plant (LP-9)'!$F$12&gt;0,'Limestone Plant (LP-9)'!$F$12,AF28*R28*K28),IF(C28="LP-10",IF('Limestone Plant (LP-10)'!$F$12&gt;0,'Limestone Plant (LP-10)'!$F$12,AF28*R28*K28))))))))))))</f>
        <v/>
      </c>
      <c r="AH28" s="48" t="str">
        <f t="shared" si="12"/>
        <v/>
      </c>
      <c r="AI28" s="48" t="str">
        <f t="shared" si="13"/>
        <v/>
      </c>
      <c r="AJ28" s="48" t="str">
        <f>IF(F28="","",IF(B28="no",'Emission Factors'!$J$43,'Emission Factors'!$J$44))</f>
        <v/>
      </c>
      <c r="AK28" s="48" t="str">
        <f>IF(F28="","",IF(C28="LP-1",IF('Limestone Plant (LP-1)'!$F$13&gt;0,'Limestone Plant (LP-1)'!$F$13,AJ28*R28),IF(C28="LP-2",IF('Limestone Plant (LP-2)'!$F$13&gt;0,'Limestone Plant (LP-2)'!$F$13,AJ28*R28),IF(C28="LP-3",IF('Limestone Plant (LP-3)'!$F$13&gt;0,'Limestone Plant (LP-3)'!$F$13,AJ28*R28),IF(C28="LP-4",IF('Limestone Plant (LP-4)'!$F$13&gt;0,'Limestone Plant (LP-4)'!$F$13,AJ28*R28),IF(C28="LP-5",IF('Limestone Plant (LP-5)'!$F$13&gt;0,'Limestone Plant (LP-5)'!$F$13,AJ28*R28),IF(C28="LP-6",IF('Limestone Plant (LP-6)'!$F$13&gt;0,'Limestone Plant (LP-6)'!$F$13,AJ28*R28),IF(C28="LP-7",IF('Limestone Plant (LP-7)'!$F$13&gt;0,'Limestone Plant (LP-7)'!$F$13,AJ28*R28),IF(C28="LP-8",IF('Limestone Plant (LP-8)'!$F$13&gt;0,'Limestone Plant (LP-8)'!$F$13,AJ28*R28),IF(C28="LP-9",IF('Limestone Plant (LP-9)'!$F$13&gt;0,'Limestone Plant (LP-9)'!$F$13,AJ28*R28),IF(C28="LP-10",IF('Limestone Plant (LP-10)'!$F$13&gt;0,'Limestone Plant (LP-10)'!$F$13,AJ28*R28))))))))))))</f>
        <v/>
      </c>
      <c r="AL28" s="48" t="str">
        <f t="shared" si="14"/>
        <v/>
      </c>
      <c r="AM28" s="48" t="str">
        <f t="shared" si="15"/>
        <v/>
      </c>
      <c r="AN28" s="48" t="str">
        <f>IF(F28="","",IF(B28="no",'Emission Factors'!$L$43,'Emission Factors'!$L$44))</f>
        <v/>
      </c>
      <c r="AO28" s="48" t="str">
        <f>IF(F28="","",IF(C28="LP-1",IF('Limestone Plant (LP-1)'!$F$14&gt;0,'Limestone Plant (LP-1)'!$F$14,AN28*R28),IF(C28="LP-2",IF('Limestone Plant (LP-2)'!$F$14&gt;0,'Limestone Plant (LP-2)'!$F$14,AN28*R28),IF(C28="LP-3",IF('Limestone Plant (LP-3)'!$F$14&gt;0,'Limestone Plant (LP-3)'!$F$14,AN28*R28),IF(C28="LP-4",IF('Limestone Plant (LP-4)'!$F$14&gt;0,'Limestone Plant (LP-4)'!$F$14,AN28*R28),IF(C28="LP-5",IF('Limestone Plant (LP-5)'!$F$14&gt;0,'Limestone Plant (LP-5)'!$F$14,AN28*R28),IF(C28="LP-6",IF('Limestone Plant (LP-6)'!$F$14&gt;0,'Limestone Plant (LP-6)'!$F$14,AN28*R28),IF(C28="LP-7",IF('Limestone Plant (LP-7)'!$F$14&gt;0,'Limestone Plant (LP-7)'!$F$14,AN28*R28),IF(C28="LP-8",IF('Limestone Plant (LP-8)'!$F$14&gt;0,'Limestone Plant (LP-8)'!$F$14,AN28*R28),IF(C28="LP-9",IF('Limestone Plant (LP-9)'!$F$14&gt;0,'Limestone Plant (LP-9)'!$F$14,AN28*R28),IF(C28="LP-10",IF('Limestone Plant (LP-10)'!$F$14&gt;0,'Limestone Plant (LP-10)'!$F$14,AN28*R28))))))))))))</f>
        <v/>
      </c>
      <c r="AP28" s="48" t="str">
        <f t="shared" si="16"/>
        <v/>
      </c>
      <c r="AQ28" s="48" t="str">
        <f t="shared" si="17"/>
        <v/>
      </c>
      <c r="AR28" s="48" t="str">
        <f>IF(F28="","",IF(B28="no",'Emission Factors'!$N$43,'Emission Factors'!$N$44))</f>
        <v/>
      </c>
      <c r="AS28" s="48" t="str">
        <f>IF(F28="","",IF(C28="LP-1",IF('Limestone Plant (LP-1)'!$F$15&gt;0,'Limestone Plant (LP-1)'!$F$15,AR28*R28),IF(C28="LP-2",IF('Limestone Plant (LP-2)'!$F$15&gt;0,'Limestone Plant (LP-2)'!$F$15,AR28*R28),IF(C28="LP-3",IF('Limestone Plant (LP-3)'!$F$15&gt;0,'Limestone Plant (LP-3)'!$F$15,AR28*R28),IF(C28="LP-4",IF('Limestone Plant (LP-4)'!$F$15&gt;0,'Limestone Plant (LP-4)'!$F$15,AR28*R28),IF(C28="LP-5",IF('Limestone Plant (LP-5)'!$F$15&gt;0,'Limestone Plant (LP-5)'!$F$15,AR28*R28),IF(C28="LP-6",IF('Limestone Plant (LP-6)'!$F$15&gt;0,'Limestone Plant (LP-6)'!$F$15,AR28*R28),IF(C28="LP-7",IF('Limestone Plant (LP-7)'!$F$15&gt;0,'Limestone Plant (LP-7)'!$F$15,AR28*R28),IF(C28="LP-8",IF('Limestone Plant (LP-8)'!$F$15&gt;0,'Limestone Plant (LP-8)'!$F$15,AR28*R28),IF(C28="LP-9",IF('Limestone Plant (LP-9)'!$F$15&gt;0,'Limestone Plant (LP-9)'!$F$15,AR28*R28),IF(C28="LP-10",IF('Limestone Plant (LP-10)'!$F$15&gt;0,'Limestone Plant (LP-10)'!$F$15,AR28*R28))))))))))))</f>
        <v/>
      </c>
      <c r="AT28" s="48" t="str">
        <f t="shared" si="18"/>
        <v/>
      </c>
      <c r="AU28" s="48"/>
      <c r="AV28" s="48" t="str">
        <f>IF(F28="","",IF(B28="no",'Emission Factors'!$P$43,'Emission Factors'!$P$44))</f>
        <v/>
      </c>
      <c r="AW28" s="48" t="str">
        <f t="shared" si="20"/>
        <v/>
      </c>
      <c r="AX28" s="48" t="str">
        <f t="shared" si="21"/>
        <v/>
      </c>
      <c r="AY28" s="48" t="str">
        <f t="shared" si="22"/>
        <v/>
      </c>
      <c r="AZ28" s="48" t="str">
        <f>IF(F28="","",IF(B28="no",'Emission Factors'!$R$43,'Emission Factors'!$R$44))</f>
        <v/>
      </c>
      <c r="BA28" s="48" t="str">
        <f t="shared" si="23"/>
        <v/>
      </c>
      <c r="BB28" s="48" t="str">
        <f t="shared" si="24"/>
        <v/>
      </c>
      <c r="BC28" s="48" t="str">
        <f t="shared" si="25"/>
        <v/>
      </c>
    </row>
    <row r="29" spans="1:55" x14ac:dyDescent="0.25">
      <c r="B29" s="6" t="str">
        <f t="shared" ref="B29:B44" si="29">IF(F29="Diesel Generator&gt; 600 bhp","yes","no")</f>
        <v>no</v>
      </c>
      <c r="C29" s="44"/>
      <c r="D29" s="44"/>
      <c r="E29" s="44"/>
      <c r="F29" s="45"/>
      <c r="G29" s="44"/>
      <c r="H29" s="46"/>
      <c r="I29" s="46"/>
      <c r="J29" s="147"/>
      <c r="K29" s="46">
        <f t="shared" si="5"/>
        <v>1</v>
      </c>
      <c r="L29" s="46"/>
      <c r="M29" s="46"/>
      <c r="N29" s="46"/>
      <c r="O29" s="46"/>
      <c r="P29" s="46"/>
      <c r="Q29" s="46"/>
      <c r="R29" s="49" t="str">
        <f t="shared" ref="R29:R44" si="30">IF(Q29="","",Q29*0.14)</f>
        <v/>
      </c>
      <c r="S29" s="46"/>
      <c r="T29" s="48" t="str">
        <f t="shared" ref="T29:T44" si="31">IF(S29="","",S29*0.14)</f>
        <v/>
      </c>
      <c r="V29" s="170">
        <f t="shared" ref="V29:V49" si="32">IF(B29="no",H29*Q29*0.14,"")</f>
        <v>0</v>
      </c>
      <c r="W29" s="170" t="str">
        <f t="shared" ref="W29:W49" si="33">IF(B29="yes",H29*Q29*0.14,"")</f>
        <v/>
      </c>
      <c r="X29" s="48" t="str">
        <f>IF(F29="","",IF(B29="no",'Emission Factors'!$D$43,'Emission Factors'!$D$44))</f>
        <v/>
      </c>
      <c r="Y29" s="48" t="str">
        <f>IF(F29="","",X29*R29)</f>
        <v/>
      </c>
      <c r="Z29" s="48" t="str">
        <f>IF(F29="","",IF(I29&gt;0,I29*0.14*X29/2000,IF(H29&gt;0,X29*R29*H29/2000,Y29*8760/2000)))</f>
        <v/>
      </c>
      <c r="AA29" s="48" t="str">
        <f>IF(F29="","",T29*X29/2000)</f>
        <v/>
      </c>
      <c r="AB29" s="48" t="str">
        <f>IF(F29="","",IF(B29="no",'Emission Factors'!$F$43,'Emission Factors'!$F$44))</f>
        <v/>
      </c>
      <c r="AC29" s="48" t="str">
        <f>IF(F29="","",AB29*R29)</f>
        <v/>
      </c>
      <c r="AD29" s="48" t="str">
        <f>IF(F29="","",IF(I29&gt;0,I29*0.14*AB29/2000,IF(H29&gt;0,AB29*R29*H29/2000,AC29*8760/2000)))</f>
        <v/>
      </c>
      <c r="AE29" s="48" t="str">
        <f>IF(F29="","",T29*AB29/2000)</f>
        <v/>
      </c>
      <c r="AF29" s="48" t="str">
        <f>IF(F29="","",IF(B29="no",'Emission Factors'!$H$43,'Emission Factors'!$H$44))</f>
        <v/>
      </c>
      <c r="AG29" s="48" t="str">
        <f>IF(F29="","",IF(C29="LP-1",IF('Limestone Plant (LP-1)'!$F$12&gt;0,'Limestone Plant (LP-1)'!$F$12,AF29*R29*K29),IF(C29="LP-2",IF('Limestone Plant (LP-2)'!$F$12&gt;0,'Limestone Plant (LP-2)'!$F$12,AF29*R29*K29),IF(C29="LP-3",IF('Limestone Plant (LP-3)'!$F$12&gt;0,'Limestone Plant (LP-3)'!$F$12,AF29*R29*K29),IF(C29="LP-4",IF('Limestone Plant (LP-4)'!$F$12&gt;0,'Limestone Plant (LP-4)'!$F$12,AF29*R29*K29),IF(C29="LP-5",IF('Limestone Plant (LP-5)'!$F$12&gt;0,'Limestone Plant (LP-5)'!$F$12,AF29*R29*K29),IF(C29="LP-6",IF('Limestone Plant (LP-6)'!$F$12&gt;0,'Limestone Plant (LP-6)'!$F$12,AF29*R29*K29),IF(C29="LP-7",IF('Limestone Plant (LP-7)'!$F$12&gt;0,'Limestone Plant (LP-7)'!$F$12,AF29*R29*K29),IF(C29="LP-8",IF('Limestone Plant (LP-8)'!$F$12&gt;0,'Limestone Plant (LP-8)'!$F$12,AF29*R29*K29),IF(C29="LP-9",IF('Limestone Plant (LP-9)'!$F$12&gt;0,'Limestone Plant (LP-9)'!$F$12,AF29*R29*K29),IF(C29="LP-10",IF('Limestone Plant (LP-10)'!$F$12&gt;0,'Limestone Plant (LP-10)'!$F$12,AF29*R29*K29))))))))))))</f>
        <v/>
      </c>
      <c r="AH29" s="48" t="str">
        <f t="shared" si="12"/>
        <v/>
      </c>
      <c r="AI29" s="48" t="str">
        <f t="shared" si="13"/>
        <v/>
      </c>
      <c r="AJ29" s="48" t="str">
        <f>IF(F29="","",IF(B29="no",'Emission Factors'!$J$43,'Emission Factors'!$J$44))</f>
        <v/>
      </c>
      <c r="AK29" s="48" t="str">
        <f>IF(F29="","",IF(C29="LP-1",IF('Limestone Plant (LP-1)'!$F$13&gt;0,'Limestone Plant (LP-1)'!$F$13,AJ29*R29),IF(C29="LP-2",IF('Limestone Plant (LP-2)'!$F$13&gt;0,'Limestone Plant (LP-2)'!$F$13,AJ29*R29),IF(C29="LP-3",IF('Limestone Plant (LP-3)'!$F$13&gt;0,'Limestone Plant (LP-3)'!$F$13,AJ29*R29),IF(C29="LP-4",IF('Limestone Plant (LP-4)'!$F$13&gt;0,'Limestone Plant (LP-4)'!$F$13,AJ29*R29),IF(C29="LP-5",IF('Limestone Plant (LP-5)'!$F$13&gt;0,'Limestone Plant (LP-5)'!$F$13,AJ29*R29),IF(C29="LP-6",IF('Limestone Plant (LP-6)'!$F$13&gt;0,'Limestone Plant (LP-6)'!$F$13,AJ29*R29),IF(C29="LP-7",IF('Limestone Plant (LP-7)'!$F$13&gt;0,'Limestone Plant (LP-7)'!$F$13,AJ29*R29),IF(C29="LP-8",IF('Limestone Plant (LP-8)'!$F$13&gt;0,'Limestone Plant (LP-8)'!$F$13,AJ29*R29),IF(C29="LP-9",IF('Limestone Plant (LP-9)'!$F$13&gt;0,'Limestone Plant (LP-9)'!$F$13,AJ29*R29),IF(C29="LP-10",IF('Limestone Plant (LP-10)'!$F$13&gt;0,'Limestone Plant (LP-10)'!$F$13,AJ29*R29))))))))))))</f>
        <v/>
      </c>
      <c r="AL29" s="48" t="str">
        <f>IF(F29="","",IF(I29&gt;0,I29*0.14*AJ29/2000,IF(H29&gt;0,AJ29*R29*H29/2000,AK29*8760/2000)))</f>
        <v/>
      </c>
      <c r="AM29" s="48" t="str">
        <f>IF(F29="","",T29*AJ29/2000)</f>
        <v/>
      </c>
      <c r="AN29" s="48" t="str">
        <f>IF(F29="","",IF(B29="no",'Emission Factors'!$L$43,'Emission Factors'!$L$44))</f>
        <v/>
      </c>
      <c r="AO29" s="48" t="str">
        <f>IF(F29="","",IF(C29="LP-1",IF('Limestone Plant (LP-1)'!$F$14&gt;0,'Limestone Plant (LP-1)'!$F$14,AN29*R29),IF(C29="LP-2",IF('Limestone Plant (LP-2)'!$F$14&gt;0,'Limestone Plant (LP-2)'!$F$14,AN29*R29),IF(C29="LP-3",IF('Limestone Plant (LP-3)'!$F$14&gt;0,'Limestone Plant (LP-3)'!$F$14,AN29*R29),IF(C29="LP-4",IF('Limestone Plant (LP-4)'!$F$14&gt;0,'Limestone Plant (LP-4)'!$F$14,AN29*R29),IF(C29="LP-5",IF('Limestone Plant (LP-5)'!$F$14&gt;0,'Limestone Plant (LP-5)'!$F$14,AN29*R29),IF(C29="LP-6",IF('Limestone Plant (LP-6)'!$F$14&gt;0,'Limestone Plant (LP-6)'!$F$14,AN29*R29),IF(C29="LP-7",IF('Limestone Plant (LP-7)'!$F$14&gt;0,'Limestone Plant (LP-7)'!$F$14,AN29*R29),IF(C29="LP-8",IF('Limestone Plant (LP-8)'!$F$14&gt;0,'Limestone Plant (LP-8)'!$F$14,AN29*R29),IF(C29="LP-9",IF('Limestone Plant (LP-9)'!$F$14&gt;0,'Limestone Plant (LP-9)'!$F$14,AN29*R29),IF(C29="LP-10",IF('Limestone Plant (LP-10)'!$F$14&gt;0,'Limestone Plant (LP-10)'!$F$14,AN29*R29))))))))))))</f>
        <v/>
      </c>
      <c r="AP29" s="48" t="str">
        <f>IF(F29="","",IF(I29&gt;0,I29*0.14*AN29/2000,IF(H29&gt;0,AN29*R29*H29/2000,AO29*8760/2000)))</f>
        <v/>
      </c>
      <c r="AQ29" s="48" t="str">
        <f>IF(F29="","",T29*AN29/2000)</f>
        <v/>
      </c>
      <c r="AR29" s="48" t="str">
        <f>IF(F29="","",IF(B29="no",'Emission Factors'!$N$43,'Emission Factors'!$N$44))</f>
        <v/>
      </c>
      <c r="AS29" s="48" t="str">
        <f>IF(F29="","",IF(C29="LP-1",IF('Limestone Plant (LP-1)'!$F$15&gt;0,'Limestone Plant (LP-1)'!$F$15,AR29*R29),IF(C29="LP-2",IF('Limestone Plant (LP-2)'!$F$15&gt;0,'Limestone Plant (LP-2)'!$F$15,AR29*R29),IF(C29="LP-3",IF('Limestone Plant (LP-3)'!$F$15&gt;0,'Limestone Plant (LP-3)'!$F$15,AR29*R29),IF(C29="LP-4",IF('Limestone Plant (LP-4)'!$F$15&gt;0,'Limestone Plant (LP-4)'!$F$15,AR29*R29),IF(C29="LP-5",IF('Limestone Plant (LP-5)'!$F$15&gt;0,'Limestone Plant (LP-5)'!$F$15,AR29*R29),IF(C29="LP-6",IF('Limestone Plant (LP-6)'!$F$15&gt;0,'Limestone Plant (LP-6)'!$F$15,AR29*R29),IF(C29="LP-7",IF('Limestone Plant (LP-7)'!$F$15&gt;0,'Limestone Plant (LP-7)'!$F$15,AR29*R29),IF(C29="LP-8",IF('Limestone Plant (LP-8)'!$F$15&gt;0,'Limestone Plant (LP-8)'!$F$15,AR29*R29),IF(C29="LP-9",IF('Limestone Plant (LP-9)'!$F$15&gt;0,'Limestone Plant (LP-9)'!$F$15,AR29*R29),IF(C29="LP-10",IF('Limestone Plant (LP-10)'!$F$15&gt;0,'Limestone Plant (LP-10)'!$F$15,AR29*R29))))))))))))</f>
        <v/>
      </c>
      <c r="AT29" s="48" t="str">
        <f>IF(F29="","",IF(I29&gt;0,I29*0.14*AR29/2000,IF(H29&gt;0,AR29*R29*H29/2000,AS29*8760/2000)))</f>
        <v/>
      </c>
      <c r="AU29" s="48" t="str">
        <f>IF(F29="","",T29*AR29/2000)</f>
        <v/>
      </c>
      <c r="AV29" s="48" t="str">
        <f>IF(F29="","",IF(B29="no",'Emission Factors'!$P$43,'Emission Factors'!$P$44))</f>
        <v/>
      </c>
      <c r="AW29" s="48" t="str">
        <f>IF(F29="","",AV29*R29)</f>
        <v/>
      </c>
      <c r="AX29" s="48" t="str">
        <f>IF(F29="","",IF(I29&gt;0,I29*0.14*AV29/2000,IF(H29&gt;0,AV29*R29*H29/2000,AW29*8760/2000)))</f>
        <v/>
      </c>
      <c r="AY29" s="48" t="str">
        <f>IF(F29="","",T29*AV29/2000)</f>
        <v/>
      </c>
      <c r="AZ29" s="48" t="str">
        <f>IF(F29="","",IF(B29="no",'Emission Factors'!$R$43,'Emission Factors'!$R$44))</f>
        <v/>
      </c>
      <c r="BA29" s="48" t="str">
        <f>IF(F29="","",AZ29*R29)</f>
        <v/>
      </c>
      <c r="BB29" s="48" t="str">
        <f>IF(F29="","",IF(I29&gt;0,I29*0.14*AZ29/2000,IF(H29&gt;0,AZ29*R29*H29/2000,BA29*8760/2000)))</f>
        <v/>
      </c>
      <c r="BC29" s="48" t="str">
        <f>IF(F29="","",T29*AZ29/2000)</f>
        <v/>
      </c>
    </row>
    <row r="30" spans="1:55" x14ac:dyDescent="0.25">
      <c r="B30" s="6" t="str">
        <f t="shared" si="29"/>
        <v>no</v>
      </c>
      <c r="C30" s="44"/>
      <c r="D30" s="44"/>
      <c r="E30" s="44"/>
      <c r="F30" s="45"/>
      <c r="G30" s="44"/>
      <c r="H30" s="46"/>
      <c r="I30" s="46"/>
      <c r="J30" s="147"/>
      <c r="K30" s="46">
        <f t="shared" si="5"/>
        <v>1</v>
      </c>
      <c r="L30" s="46"/>
      <c r="M30" s="46"/>
      <c r="N30" s="46"/>
      <c r="O30" s="46"/>
      <c r="P30" s="46"/>
      <c r="Q30" s="46"/>
      <c r="R30" s="49" t="str">
        <f t="shared" si="30"/>
        <v/>
      </c>
      <c r="S30" s="46"/>
      <c r="T30" s="48" t="str">
        <f t="shared" si="31"/>
        <v/>
      </c>
      <c r="U30" s="170"/>
      <c r="V30" s="170">
        <f t="shared" si="32"/>
        <v>0</v>
      </c>
      <c r="W30" s="170" t="str">
        <f t="shared" si="33"/>
        <v/>
      </c>
      <c r="X30" s="48" t="str">
        <f>IF(F30="","",IF(B30="no",'Emission Factors'!$D$43,'Emission Factors'!$D$44))</f>
        <v/>
      </c>
      <c r="Y30" s="48" t="str">
        <f t="shared" ref="Y30:Y49" si="34">IF(F30="","",X30*R30)</f>
        <v/>
      </c>
      <c r="Z30" s="48" t="str">
        <f t="shared" ref="Z30:Z49" si="35">IF(F30="","",IF(I30&gt;0,I30*0.14*X30/2000,IF(H30&gt;0,X30*R30*H30/2000,Y30*8760/2000)))</f>
        <v/>
      </c>
      <c r="AA30" s="48" t="str">
        <f t="shared" ref="AA30:AA49" si="36">IF(F30="","",T30*X30/2000)</f>
        <v/>
      </c>
      <c r="AB30" s="48" t="str">
        <f>IF(F30="","",IF(B30="no",'Emission Factors'!$F$43,'Emission Factors'!$F$44))</f>
        <v/>
      </c>
      <c r="AC30" s="48" t="str">
        <f t="shared" ref="AC30:AC49" si="37">IF(F30="","",AB30*R30)</f>
        <v/>
      </c>
      <c r="AD30" s="48" t="str">
        <f t="shared" ref="AD30:AD49" si="38">IF(F30="","",IF(I30&gt;0,I30*0.14*AB30/2000,IF(H30&gt;0,AB30*R30*H30/2000,AC30*8760/2000)))</f>
        <v/>
      </c>
      <c r="AE30" s="48" t="str">
        <f t="shared" ref="AE30:AE49" si="39">IF(F30="","",T30*AB30/2000)</f>
        <v/>
      </c>
      <c r="AF30" s="48" t="str">
        <f>IF(F30="","",IF(B30="no",'Emission Factors'!$H$43,'Emission Factors'!$H$44))</f>
        <v/>
      </c>
      <c r="AG30" s="48" t="str">
        <f>IF(F30="","",IF(C30="LP-1",IF('Limestone Plant (LP-1)'!$F$12&gt;0,'Limestone Plant (LP-1)'!$F$12,AF30*R30*K30),IF(C30="LP-2",IF('Limestone Plant (LP-2)'!$F$12&gt;0,'Limestone Plant (LP-2)'!$F$12,AF30*R30*K30),IF(C30="LP-3",IF('Limestone Plant (LP-3)'!$F$12&gt;0,'Limestone Plant (LP-3)'!$F$12,AF30*R30*K30),IF(C30="LP-4",IF('Limestone Plant (LP-4)'!$F$12&gt;0,'Limestone Plant (LP-4)'!$F$12,AF30*R30*K30),IF(C30="LP-5",IF('Limestone Plant (LP-5)'!$F$12&gt;0,'Limestone Plant (LP-5)'!$F$12,AF30*R30*K30),IF(C30="LP-6",IF('Limestone Plant (LP-6)'!$F$12&gt;0,'Limestone Plant (LP-6)'!$F$12,AF30*R30*K30),IF(C30="LP-7",IF('Limestone Plant (LP-7)'!$F$12&gt;0,'Limestone Plant (LP-7)'!$F$12,AF30*R30*K30),IF(C30="LP-8",IF('Limestone Plant (LP-8)'!$F$12&gt;0,'Limestone Plant (LP-8)'!$F$12,AF30*R30*K30),IF(C30="LP-9",IF('Limestone Plant (LP-9)'!$F$12&gt;0,'Limestone Plant (LP-9)'!$F$12,AF30*R30*K30),IF(C30="LP-10",IF('Limestone Plant (LP-10)'!$F$12&gt;0,'Limestone Plant (LP-10)'!$F$12,AF30*R30*K30))))))))))))</f>
        <v/>
      </c>
      <c r="AH30" s="48" t="str">
        <f t="shared" si="12"/>
        <v/>
      </c>
      <c r="AI30" s="48" t="str">
        <f t="shared" si="13"/>
        <v/>
      </c>
      <c r="AJ30" s="48" t="str">
        <f>IF(F30="","",IF(B30="no",'Emission Factors'!$J$43,'Emission Factors'!$J$44))</f>
        <v/>
      </c>
      <c r="AK30" s="48" t="str">
        <f>IF(F30="","",IF(C30="LP-1",IF('Limestone Plant (LP-1)'!$F$13&gt;0,'Limestone Plant (LP-1)'!$F$13,AJ30*R30),IF(C30="LP-2",IF('Limestone Plant (LP-2)'!$F$13&gt;0,'Limestone Plant (LP-2)'!$F$13,AJ30*R30),IF(C30="LP-3",IF('Limestone Plant (LP-3)'!$F$13&gt;0,'Limestone Plant (LP-3)'!$F$13,AJ30*R30),IF(C30="LP-4",IF('Limestone Plant (LP-4)'!$F$13&gt;0,'Limestone Plant (LP-4)'!$F$13,AJ30*R30),IF(C30="LP-5",IF('Limestone Plant (LP-5)'!$F$13&gt;0,'Limestone Plant (LP-5)'!$F$13,AJ30*R30),IF(C30="LP-6",IF('Limestone Plant (LP-6)'!$F$13&gt;0,'Limestone Plant (LP-6)'!$F$13,AJ30*R30),IF(C30="LP-7",IF('Limestone Plant (LP-7)'!$F$13&gt;0,'Limestone Plant (LP-7)'!$F$13,AJ30*R30),IF(C30="LP-8",IF('Limestone Plant (LP-8)'!$F$13&gt;0,'Limestone Plant (LP-8)'!$F$13,AJ30*R30),IF(C30="LP-9",IF('Limestone Plant (LP-9)'!$F$13&gt;0,'Limestone Plant (LP-9)'!$F$13,AJ30*R30),IF(C30="LP-10",IF('Limestone Plant (LP-10)'!$F$13&gt;0,'Limestone Plant (LP-10)'!$F$13,AJ30*R30))))))))))))</f>
        <v/>
      </c>
      <c r="AL30" s="48" t="str">
        <f t="shared" ref="AL30:AL49" si="40">IF(F30="","",IF(I30&gt;0,I30*0.14*AJ30/2000,IF(H30&gt;0,AJ30*R30*H30/2000,AK30*8760/2000)))</f>
        <v/>
      </c>
      <c r="AM30" s="48" t="str">
        <f t="shared" ref="AM30:AM49" si="41">IF(F30="","",T30*AJ30/2000)</f>
        <v/>
      </c>
      <c r="AN30" s="48" t="str">
        <f>IF(F30="","",IF(B30="no",'Emission Factors'!$L$43,'Emission Factors'!$L$44))</f>
        <v/>
      </c>
      <c r="AO30" s="48" t="str">
        <f>IF(F30="","",IF(C30="LP-1",IF('Limestone Plant (LP-1)'!$F$14&gt;0,'Limestone Plant (LP-1)'!$F$14,AN30*R30),IF(C30="LP-2",IF('Limestone Plant (LP-2)'!$F$14&gt;0,'Limestone Plant (LP-2)'!$F$14,AN30*R30),IF(C30="LP-3",IF('Limestone Plant (LP-3)'!$F$14&gt;0,'Limestone Plant (LP-3)'!$F$14,AN30*R30),IF(C30="LP-4",IF('Limestone Plant (LP-4)'!$F$14&gt;0,'Limestone Plant (LP-4)'!$F$14,AN30*R30),IF(C30="LP-5",IF('Limestone Plant (LP-5)'!$F$14&gt;0,'Limestone Plant (LP-5)'!$F$14,AN30*R30),IF(C30="LP-6",IF('Limestone Plant (LP-6)'!$F$14&gt;0,'Limestone Plant (LP-6)'!$F$14,AN30*R30),IF(C30="LP-7",IF('Limestone Plant (LP-7)'!$F$14&gt;0,'Limestone Plant (LP-7)'!$F$14,AN30*R30),IF(C30="LP-8",IF('Limestone Plant (LP-8)'!$F$14&gt;0,'Limestone Plant (LP-8)'!$F$14,AN30*R30),IF(C30="LP-9",IF('Limestone Plant (LP-9)'!$F$14&gt;0,'Limestone Plant (LP-9)'!$F$14,AN30*R30),IF(C30="LP-10",IF('Limestone Plant (LP-10)'!$F$14&gt;0,'Limestone Plant (LP-10)'!$F$14,AN30*R30))))))))))))</f>
        <v/>
      </c>
      <c r="AP30" s="48" t="str">
        <f t="shared" ref="AP30:AP49" si="42">IF(F30="","",IF(I30&gt;0,I30*0.14*AN30/2000,IF(H30&gt;0,AN30*R30*H30/2000,AO30*8760/2000)))</f>
        <v/>
      </c>
      <c r="AQ30" s="48" t="str">
        <f t="shared" ref="AQ30:AQ49" si="43">IF(F30="","",T30*AN30/2000)</f>
        <v/>
      </c>
      <c r="AR30" s="48" t="str">
        <f>IF(F30="","",IF(B30="no",'Emission Factors'!$N$43,'Emission Factors'!$N$44))</f>
        <v/>
      </c>
      <c r="AS30" s="48" t="str">
        <f>IF(F30="","",IF(C30="LP-1",IF('Limestone Plant (LP-1)'!$F$15&gt;0,'Limestone Plant (LP-1)'!$F$15,AR30*R30),IF(C30="LP-2",IF('Limestone Plant (LP-2)'!$F$15&gt;0,'Limestone Plant (LP-2)'!$F$15,AR30*R30),IF(C30="LP-3",IF('Limestone Plant (LP-3)'!$F$15&gt;0,'Limestone Plant (LP-3)'!$F$15,AR30*R30),IF(C30="LP-4",IF('Limestone Plant (LP-4)'!$F$15&gt;0,'Limestone Plant (LP-4)'!$F$15,AR30*R30),IF(C30="LP-5",IF('Limestone Plant (LP-5)'!$F$15&gt;0,'Limestone Plant (LP-5)'!$F$15,AR30*R30),IF(C30="LP-6",IF('Limestone Plant (LP-6)'!$F$15&gt;0,'Limestone Plant (LP-6)'!$F$15,AR30*R30),IF(C30="LP-7",IF('Limestone Plant (LP-7)'!$F$15&gt;0,'Limestone Plant (LP-7)'!$F$15,AR30*R30),IF(C30="LP-8",IF('Limestone Plant (LP-8)'!$F$15&gt;0,'Limestone Plant (LP-8)'!$F$15,AR30*R30),IF(C30="LP-9",IF('Limestone Plant (LP-9)'!$F$15&gt;0,'Limestone Plant (LP-9)'!$F$15,AR30*R30),IF(C30="LP-10",IF('Limestone Plant (LP-10)'!$F$15&gt;0,'Limestone Plant (LP-10)'!$F$15,AR30*R30))))))))))))</f>
        <v/>
      </c>
      <c r="AT30" s="48" t="str">
        <f t="shared" ref="AT30:AT49" si="44">IF(F30="","",IF(I30&gt;0,I30*0.14*AR30/2000,IF(H30&gt;0,AR30*R30*H30/2000,AS30*8760/2000)))</f>
        <v/>
      </c>
      <c r="AU30" s="48" t="str">
        <f t="shared" ref="AU30:AU48" si="45">IF(F30="","",T30*AR30/2000)</f>
        <v/>
      </c>
      <c r="AV30" s="48" t="str">
        <f>IF(F30="","",IF(B30="no",'Emission Factors'!$P$43,'Emission Factors'!$P$44))</f>
        <v/>
      </c>
      <c r="AW30" s="48" t="str">
        <f t="shared" ref="AW30:AW49" si="46">IF(F30="","",AV30*R30)</f>
        <v/>
      </c>
      <c r="AX30" s="48" t="str">
        <f t="shared" ref="AX30:AX49" si="47">IF(F30="","",IF(I30&gt;0,I30*0.14*AV30/2000,IF(H30&gt;0,AV30*R30*H30/2000,AW30*8760/2000)))</f>
        <v/>
      </c>
      <c r="AY30" s="48" t="str">
        <f t="shared" ref="AY30:AY49" si="48">IF(F30="","",T30*AV30/2000)</f>
        <v/>
      </c>
      <c r="AZ30" s="48" t="str">
        <f>IF(F30="","",IF(B30="no",'Emission Factors'!$R$43,'Emission Factors'!$R$44))</f>
        <v/>
      </c>
      <c r="BA30" s="48" t="str">
        <f t="shared" ref="BA30:BA49" si="49">IF(F30="","",AZ30*R30)</f>
        <v/>
      </c>
      <c r="BB30" s="48" t="str">
        <f t="shared" ref="BB30:BB49" si="50">IF(F30="","",IF(I30&gt;0,I30*0.14*AZ30/2000,IF(H30&gt;0,AZ30*R30*H30/2000,BA30*8760/2000)))</f>
        <v/>
      </c>
      <c r="BC30" s="48" t="str">
        <f t="shared" ref="BC30:BC49" si="51">IF(F30="","",T30*AZ30/2000)</f>
        <v/>
      </c>
    </row>
    <row r="31" spans="1:55" x14ac:dyDescent="0.25">
      <c r="A31" s="6" t="str">
        <f>IF('Facility Information'!$C$21&gt;0,"LP-1","")</f>
        <v/>
      </c>
      <c r="B31" s="6" t="str">
        <f t="shared" si="29"/>
        <v>no</v>
      </c>
      <c r="C31" s="44"/>
      <c r="D31" s="44"/>
      <c r="E31" s="44"/>
      <c r="F31" s="45"/>
      <c r="G31" s="44"/>
      <c r="H31" s="46"/>
      <c r="I31" s="46"/>
      <c r="J31" s="147"/>
      <c r="K31" s="46">
        <f t="shared" si="5"/>
        <v>1</v>
      </c>
      <c r="L31" s="46"/>
      <c r="M31" s="46"/>
      <c r="N31" s="46"/>
      <c r="O31" s="46"/>
      <c r="P31" s="46"/>
      <c r="Q31" s="46"/>
      <c r="R31" s="49" t="str">
        <f t="shared" si="30"/>
        <v/>
      </c>
      <c r="S31" s="46"/>
      <c r="T31" s="48" t="str">
        <f t="shared" si="31"/>
        <v/>
      </c>
      <c r="U31" s="170"/>
      <c r="V31" s="170">
        <f t="shared" si="32"/>
        <v>0</v>
      </c>
      <c r="W31" s="170" t="str">
        <f t="shared" si="33"/>
        <v/>
      </c>
      <c r="X31" s="48" t="str">
        <f>IF(F31="","",IF(B31="no",'Emission Factors'!$D$43,'Emission Factors'!$D$44))</f>
        <v/>
      </c>
      <c r="Y31" s="48" t="str">
        <f t="shared" si="34"/>
        <v/>
      </c>
      <c r="Z31" s="48" t="str">
        <f t="shared" si="35"/>
        <v/>
      </c>
      <c r="AA31" s="48" t="str">
        <f t="shared" si="36"/>
        <v/>
      </c>
      <c r="AB31" s="48" t="str">
        <f>IF(F31="","",IF(B31="no",'Emission Factors'!$F$43,'Emission Factors'!$F$44))</f>
        <v/>
      </c>
      <c r="AC31" s="48" t="str">
        <f t="shared" si="37"/>
        <v/>
      </c>
      <c r="AD31" s="48" t="str">
        <f t="shared" si="38"/>
        <v/>
      </c>
      <c r="AE31" s="48" t="str">
        <f t="shared" si="39"/>
        <v/>
      </c>
      <c r="AF31" s="48" t="str">
        <f>IF(F31="","",IF(B31="no",'Emission Factors'!$H$43,'Emission Factors'!$H$44))</f>
        <v/>
      </c>
      <c r="AG31" s="48" t="str">
        <f>IF(F31="","",IF(C31="LP-1",IF('Limestone Plant (LP-1)'!$F$12&gt;0,'Limestone Plant (LP-1)'!$F$12,AF31*R31*K31),IF(C31="LP-2",IF('Limestone Plant (LP-2)'!$F$12&gt;0,'Limestone Plant (LP-2)'!$F$12,AF31*R31*K31),IF(C31="LP-3",IF('Limestone Plant (LP-3)'!$F$12&gt;0,'Limestone Plant (LP-3)'!$F$12,AF31*R31*K31),IF(C31="LP-4",IF('Limestone Plant (LP-4)'!$F$12&gt;0,'Limestone Plant (LP-4)'!$F$12,AF31*R31*K31),IF(C31="LP-5",IF('Limestone Plant (LP-5)'!$F$12&gt;0,'Limestone Plant (LP-5)'!$F$12,AF31*R31*K31),IF(C31="LP-6",IF('Limestone Plant (LP-6)'!$F$12&gt;0,'Limestone Plant (LP-6)'!$F$12,AF31*R31*K31),IF(C31="LP-7",IF('Limestone Plant (LP-7)'!$F$12&gt;0,'Limestone Plant (LP-7)'!$F$12,AF31*R31*K31),IF(C31="LP-8",IF('Limestone Plant (LP-8)'!$F$12&gt;0,'Limestone Plant (LP-8)'!$F$12,AF31*R31*K31),IF(C31="LP-9",IF('Limestone Plant (LP-9)'!$F$12&gt;0,'Limestone Plant (LP-9)'!$F$12,AF31*R31*K31),IF(C31="LP-10",IF('Limestone Plant (LP-10)'!$F$12&gt;0,'Limestone Plant (LP-10)'!$F$12,AF31*R31*K31))))))))))))</f>
        <v/>
      </c>
      <c r="AH31" s="48" t="str">
        <f t="shared" si="12"/>
        <v/>
      </c>
      <c r="AI31" s="48" t="str">
        <f t="shared" si="13"/>
        <v/>
      </c>
      <c r="AJ31" s="48" t="str">
        <f>IF(F31="","",IF(B31="no",'Emission Factors'!$J$43,'Emission Factors'!$J$44))</f>
        <v/>
      </c>
      <c r="AK31" s="48" t="str">
        <f>IF(F31="","",IF(C31="LP-1",IF('Limestone Plant (LP-1)'!$F$13&gt;0,'Limestone Plant (LP-1)'!$F$13,AJ31*R31),IF(C31="LP-2",IF('Limestone Plant (LP-2)'!$F$13&gt;0,'Limestone Plant (LP-2)'!$F$13,AJ31*R31),IF(C31="LP-3",IF('Limestone Plant (LP-3)'!$F$13&gt;0,'Limestone Plant (LP-3)'!$F$13,AJ31*R31),IF(C31="LP-4",IF('Limestone Plant (LP-4)'!$F$13&gt;0,'Limestone Plant (LP-4)'!$F$13,AJ31*R31),IF(C31="LP-5",IF('Limestone Plant (LP-5)'!$F$13&gt;0,'Limestone Plant (LP-5)'!$F$13,AJ31*R31),IF(C31="LP-6",IF('Limestone Plant (LP-6)'!$F$13&gt;0,'Limestone Plant (LP-6)'!$F$13,AJ31*R31),IF(C31="LP-7",IF('Limestone Plant (LP-7)'!$F$13&gt;0,'Limestone Plant (LP-7)'!$F$13,AJ31*R31),IF(C31="LP-8",IF('Limestone Plant (LP-8)'!$F$13&gt;0,'Limestone Plant (LP-8)'!$F$13,AJ31*R31),IF(C31="LP-9",IF('Limestone Plant (LP-9)'!$F$13&gt;0,'Limestone Plant (LP-9)'!$F$13,AJ31*R31),IF(C31="LP-10",IF('Limestone Plant (LP-10)'!$F$13&gt;0,'Limestone Plant (LP-10)'!$F$13,AJ31*R31))))))))))))</f>
        <v/>
      </c>
      <c r="AL31" s="48" t="str">
        <f t="shared" si="40"/>
        <v/>
      </c>
      <c r="AM31" s="48" t="str">
        <f t="shared" si="41"/>
        <v/>
      </c>
      <c r="AN31" s="48" t="str">
        <f>IF(F31="","",IF(B31="no",'Emission Factors'!$L$43,'Emission Factors'!$L$44))</f>
        <v/>
      </c>
      <c r="AO31" s="48" t="str">
        <f>IF(F31="","",IF(C31="LP-1",IF('Limestone Plant (LP-1)'!$F$14&gt;0,'Limestone Plant (LP-1)'!$F$14,AN31*R31),IF(C31="LP-2",IF('Limestone Plant (LP-2)'!$F$14&gt;0,'Limestone Plant (LP-2)'!$F$14,AN31*R31),IF(C31="LP-3",IF('Limestone Plant (LP-3)'!$F$14&gt;0,'Limestone Plant (LP-3)'!$F$14,AN31*R31),IF(C31="LP-4",IF('Limestone Plant (LP-4)'!$F$14&gt;0,'Limestone Plant (LP-4)'!$F$14,AN31*R31),IF(C31="LP-5",IF('Limestone Plant (LP-5)'!$F$14&gt;0,'Limestone Plant (LP-5)'!$F$14,AN31*R31),IF(C31="LP-6",IF('Limestone Plant (LP-6)'!$F$14&gt;0,'Limestone Plant (LP-6)'!$F$14,AN31*R31),IF(C31="LP-7",IF('Limestone Plant (LP-7)'!$F$14&gt;0,'Limestone Plant (LP-7)'!$F$14,AN31*R31),IF(C31="LP-8",IF('Limestone Plant (LP-8)'!$F$14&gt;0,'Limestone Plant (LP-8)'!$F$14,AN31*R31),IF(C31="LP-9",IF('Limestone Plant (LP-9)'!$F$14&gt;0,'Limestone Plant (LP-9)'!$F$14,AN31*R31),IF(C31="LP-10",IF('Limestone Plant (LP-10)'!$F$14&gt;0,'Limestone Plant (LP-10)'!$F$14,AN31*R31))))))))))))</f>
        <v/>
      </c>
      <c r="AP31" s="48" t="str">
        <f t="shared" si="42"/>
        <v/>
      </c>
      <c r="AQ31" s="48" t="str">
        <f t="shared" si="43"/>
        <v/>
      </c>
      <c r="AR31" s="48" t="str">
        <f>IF(F31="","",IF(B31="no",'Emission Factors'!$N$43,'Emission Factors'!$N$44))</f>
        <v/>
      </c>
      <c r="AS31" s="48" t="str">
        <f>IF(F31="","",IF(C31="LP-1",IF('Limestone Plant (LP-1)'!$F$15&gt;0,'Limestone Plant (LP-1)'!$F$15,AR31*R31),IF(C31="LP-2",IF('Limestone Plant (LP-2)'!$F$15&gt;0,'Limestone Plant (LP-2)'!$F$15,AR31*R31),IF(C31="LP-3",IF('Limestone Plant (LP-3)'!$F$15&gt;0,'Limestone Plant (LP-3)'!$F$15,AR31*R31),IF(C31="LP-4",IF('Limestone Plant (LP-4)'!$F$15&gt;0,'Limestone Plant (LP-4)'!$F$15,AR31*R31),IF(C31="LP-5",IF('Limestone Plant (LP-5)'!$F$15&gt;0,'Limestone Plant (LP-5)'!$F$15,AR31*R31),IF(C31="LP-6",IF('Limestone Plant (LP-6)'!$F$15&gt;0,'Limestone Plant (LP-6)'!$F$15,AR31*R31),IF(C31="LP-7",IF('Limestone Plant (LP-7)'!$F$15&gt;0,'Limestone Plant (LP-7)'!$F$15,AR31*R31),IF(C31="LP-8",IF('Limestone Plant (LP-8)'!$F$15&gt;0,'Limestone Plant (LP-8)'!$F$15,AR31*R31),IF(C31="LP-9",IF('Limestone Plant (LP-9)'!$F$15&gt;0,'Limestone Plant (LP-9)'!$F$15,AR31*R31),IF(C31="LP-10",IF('Limestone Plant (LP-10)'!$F$15&gt;0,'Limestone Plant (LP-10)'!$F$15,AR31*R31))))))))))))</f>
        <v/>
      </c>
      <c r="AT31" s="48" t="str">
        <f t="shared" si="44"/>
        <v/>
      </c>
      <c r="AU31" s="48" t="str">
        <f t="shared" si="45"/>
        <v/>
      </c>
      <c r="AV31" s="48" t="str">
        <f>IF(F31="","",IF(B31="no",'Emission Factors'!$P$43,'Emission Factors'!$P$44))</f>
        <v/>
      </c>
      <c r="AW31" s="48" t="str">
        <f t="shared" si="46"/>
        <v/>
      </c>
      <c r="AX31" s="48" t="str">
        <f t="shared" si="47"/>
        <v/>
      </c>
      <c r="AY31" s="48" t="str">
        <f t="shared" si="48"/>
        <v/>
      </c>
      <c r="AZ31" s="48" t="str">
        <f>IF(F31="","",IF(B31="no",'Emission Factors'!$R$43,'Emission Factors'!$R$44))</f>
        <v/>
      </c>
      <c r="BA31" s="48" t="str">
        <f t="shared" si="49"/>
        <v/>
      </c>
      <c r="BB31" s="48" t="str">
        <f t="shared" si="50"/>
        <v/>
      </c>
      <c r="BC31" s="48" t="str">
        <f t="shared" si="51"/>
        <v/>
      </c>
    </row>
    <row r="32" spans="1:55" x14ac:dyDescent="0.25">
      <c r="A32" s="6" t="str">
        <f>IF('Facility Information'!$C$21&gt;1,"LP-2","")</f>
        <v/>
      </c>
      <c r="B32" s="6" t="str">
        <f t="shared" si="29"/>
        <v>no</v>
      </c>
      <c r="C32" s="44"/>
      <c r="D32" s="44"/>
      <c r="E32" s="44"/>
      <c r="F32" s="45"/>
      <c r="G32" s="44"/>
      <c r="H32" s="46"/>
      <c r="I32" s="46"/>
      <c r="J32" s="147"/>
      <c r="K32" s="46">
        <f t="shared" si="5"/>
        <v>1</v>
      </c>
      <c r="L32" s="46"/>
      <c r="M32" s="46"/>
      <c r="N32" s="46"/>
      <c r="O32" s="46"/>
      <c r="P32" s="46"/>
      <c r="Q32" s="46"/>
      <c r="R32" s="49" t="str">
        <f t="shared" si="30"/>
        <v/>
      </c>
      <c r="S32" s="46"/>
      <c r="T32" s="48" t="str">
        <f t="shared" si="31"/>
        <v/>
      </c>
      <c r="U32" s="170"/>
      <c r="V32" s="170">
        <f t="shared" si="32"/>
        <v>0</v>
      </c>
      <c r="W32" s="170" t="str">
        <f t="shared" si="33"/>
        <v/>
      </c>
      <c r="X32" s="48" t="str">
        <f>IF(F32="","",IF(B32="no",'Emission Factors'!$D$43,'Emission Factors'!$D$44))</f>
        <v/>
      </c>
      <c r="Y32" s="48" t="str">
        <f t="shared" si="34"/>
        <v/>
      </c>
      <c r="Z32" s="48" t="str">
        <f t="shared" si="35"/>
        <v/>
      </c>
      <c r="AA32" s="48" t="str">
        <f t="shared" si="36"/>
        <v/>
      </c>
      <c r="AB32" s="48" t="str">
        <f>IF(F32="","",IF(B32="no",'Emission Factors'!$F$43,'Emission Factors'!$F$44))</f>
        <v/>
      </c>
      <c r="AC32" s="48" t="str">
        <f t="shared" si="37"/>
        <v/>
      </c>
      <c r="AD32" s="48" t="str">
        <f t="shared" si="38"/>
        <v/>
      </c>
      <c r="AE32" s="48" t="str">
        <f t="shared" si="39"/>
        <v/>
      </c>
      <c r="AF32" s="48" t="str">
        <f>IF(F32="","",IF(B32="no",'Emission Factors'!$H$43,'Emission Factors'!$H$44))</f>
        <v/>
      </c>
      <c r="AG32" s="48" t="str">
        <f>IF(F32="","",IF(C32="LP-1",IF('Limestone Plant (LP-1)'!$F$12&gt;0,'Limestone Plant (LP-1)'!$F$12,AF32*R32*K32),IF(C32="LP-2",IF('Limestone Plant (LP-2)'!$F$12&gt;0,'Limestone Plant (LP-2)'!$F$12,AF32*R32*K32),IF(C32="LP-3",IF('Limestone Plant (LP-3)'!$F$12&gt;0,'Limestone Plant (LP-3)'!$F$12,AF32*R32*K32),IF(C32="LP-4",IF('Limestone Plant (LP-4)'!$F$12&gt;0,'Limestone Plant (LP-4)'!$F$12,AF32*R32*K32),IF(C32="LP-5",IF('Limestone Plant (LP-5)'!$F$12&gt;0,'Limestone Plant (LP-5)'!$F$12,AF32*R32*K32),IF(C32="LP-6",IF('Limestone Plant (LP-6)'!$F$12&gt;0,'Limestone Plant (LP-6)'!$F$12,AF32*R32*K32),IF(C32="LP-7",IF('Limestone Plant (LP-7)'!$F$12&gt;0,'Limestone Plant (LP-7)'!$F$12,AF32*R32*K32),IF(C32="LP-8",IF('Limestone Plant (LP-8)'!$F$12&gt;0,'Limestone Plant (LP-8)'!$F$12,AF32*R32*K32),IF(C32="LP-9",IF('Limestone Plant (LP-9)'!$F$12&gt;0,'Limestone Plant (LP-9)'!$F$12,AF32*R32*K32),IF(C32="LP-10",IF('Limestone Plant (LP-10)'!$F$12&gt;0,'Limestone Plant (LP-10)'!$F$12,AF32*R32*K32))))))))))))</f>
        <v/>
      </c>
      <c r="AH32" s="48" t="str">
        <f t="shared" si="12"/>
        <v/>
      </c>
      <c r="AI32" s="48" t="str">
        <f t="shared" si="13"/>
        <v/>
      </c>
      <c r="AJ32" s="48" t="str">
        <f>IF(F32="","",IF(B32="no",'Emission Factors'!$J$43,'Emission Factors'!$J$44))</f>
        <v/>
      </c>
      <c r="AK32" s="48" t="str">
        <f>IF(F32="","",IF(C32="LP-1",IF('Limestone Plant (LP-1)'!$F$13&gt;0,'Limestone Plant (LP-1)'!$F$13,AJ32*R32),IF(C32="LP-2",IF('Limestone Plant (LP-2)'!$F$13&gt;0,'Limestone Plant (LP-2)'!$F$13,AJ32*R32),IF(C32="LP-3",IF('Limestone Plant (LP-3)'!$F$13&gt;0,'Limestone Plant (LP-3)'!$F$13,AJ32*R32),IF(C32="LP-4",IF('Limestone Plant (LP-4)'!$F$13&gt;0,'Limestone Plant (LP-4)'!$F$13,AJ32*R32),IF(C32="LP-5",IF('Limestone Plant (LP-5)'!$F$13&gt;0,'Limestone Plant (LP-5)'!$F$13,AJ32*R32),IF(C32="LP-6",IF('Limestone Plant (LP-6)'!$F$13&gt;0,'Limestone Plant (LP-6)'!$F$13,AJ32*R32),IF(C32="LP-7",IF('Limestone Plant (LP-7)'!$F$13&gt;0,'Limestone Plant (LP-7)'!$F$13,AJ32*R32),IF(C32="LP-8",IF('Limestone Plant (LP-8)'!$F$13&gt;0,'Limestone Plant (LP-8)'!$F$13,AJ32*R32),IF(C32="LP-9",IF('Limestone Plant (LP-9)'!$F$13&gt;0,'Limestone Plant (LP-9)'!$F$13,AJ32*R32),IF(C32="LP-10",IF('Limestone Plant (LP-10)'!$F$13&gt;0,'Limestone Plant (LP-10)'!$F$13,AJ32*R32))))))))))))</f>
        <v/>
      </c>
      <c r="AL32" s="48" t="str">
        <f t="shared" si="40"/>
        <v/>
      </c>
      <c r="AM32" s="48" t="str">
        <f t="shared" si="41"/>
        <v/>
      </c>
      <c r="AN32" s="48" t="str">
        <f>IF(F32="","",IF(B32="no",'Emission Factors'!$L$43,'Emission Factors'!$L$44))</f>
        <v/>
      </c>
      <c r="AO32" s="48" t="str">
        <f>IF(F32="","",IF(C32="LP-1",IF('Limestone Plant (LP-1)'!$F$14&gt;0,'Limestone Plant (LP-1)'!$F$14,AN32*R32),IF(C32="LP-2",IF('Limestone Plant (LP-2)'!$F$14&gt;0,'Limestone Plant (LP-2)'!$F$14,AN32*R32),IF(C32="LP-3",IF('Limestone Plant (LP-3)'!$F$14&gt;0,'Limestone Plant (LP-3)'!$F$14,AN32*R32),IF(C32="LP-4",IF('Limestone Plant (LP-4)'!$F$14&gt;0,'Limestone Plant (LP-4)'!$F$14,AN32*R32),IF(C32="LP-5",IF('Limestone Plant (LP-5)'!$F$14&gt;0,'Limestone Plant (LP-5)'!$F$14,AN32*R32),IF(C32="LP-6",IF('Limestone Plant (LP-6)'!$F$14&gt;0,'Limestone Plant (LP-6)'!$F$14,AN32*R32),IF(C32="LP-7",IF('Limestone Plant (LP-7)'!$F$14&gt;0,'Limestone Plant (LP-7)'!$F$14,AN32*R32),IF(C32="LP-8",IF('Limestone Plant (LP-8)'!$F$14&gt;0,'Limestone Plant (LP-8)'!$F$14,AN32*R32),IF(C32="LP-9",IF('Limestone Plant (LP-9)'!$F$14&gt;0,'Limestone Plant (LP-9)'!$F$14,AN32*R32),IF(C32="LP-10",IF('Limestone Plant (LP-10)'!$F$14&gt;0,'Limestone Plant (LP-10)'!$F$14,AN32*R32))))))))))))</f>
        <v/>
      </c>
      <c r="AP32" s="48" t="str">
        <f t="shared" si="42"/>
        <v/>
      </c>
      <c r="AQ32" s="48" t="str">
        <f t="shared" si="43"/>
        <v/>
      </c>
      <c r="AR32" s="48" t="str">
        <f>IF(F32="","",IF(B32="no",'Emission Factors'!$N$43,'Emission Factors'!$N$44))</f>
        <v/>
      </c>
      <c r="AS32" s="48" t="str">
        <f>IF(F32="","",IF(C32="LP-1",IF('Limestone Plant (LP-1)'!$F$15&gt;0,'Limestone Plant (LP-1)'!$F$15,AR32*R32),IF(C32="LP-2",IF('Limestone Plant (LP-2)'!$F$15&gt;0,'Limestone Plant (LP-2)'!$F$15,AR32*R32),IF(C32="LP-3",IF('Limestone Plant (LP-3)'!$F$15&gt;0,'Limestone Plant (LP-3)'!$F$15,AR32*R32),IF(C32="LP-4",IF('Limestone Plant (LP-4)'!$F$15&gt;0,'Limestone Plant (LP-4)'!$F$15,AR32*R32),IF(C32="LP-5",IF('Limestone Plant (LP-5)'!$F$15&gt;0,'Limestone Plant (LP-5)'!$F$15,AR32*R32),IF(C32="LP-6",IF('Limestone Plant (LP-6)'!$F$15&gt;0,'Limestone Plant (LP-6)'!$F$15,AR32*R32),IF(C32="LP-7",IF('Limestone Plant (LP-7)'!$F$15&gt;0,'Limestone Plant (LP-7)'!$F$15,AR32*R32),IF(C32="LP-8",IF('Limestone Plant (LP-8)'!$F$15&gt;0,'Limestone Plant (LP-8)'!$F$15,AR32*R32),IF(C32="LP-9",IF('Limestone Plant (LP-9)'!$F$15&gt;0,'Limestone Plant (LP-9)'!$F$15,AR32*R32),IF(C32="LP-10",IF('Limestone Plant (LP-10)'!$F$15&gt;0,'Limestone Plant (LP-10)'!$F$15,AR32*R32))))))))))))</f>
        <v/>
      </c>
      <c r="AT32" s="48" t="str">
        <f t="shared" si="44"/>
        <v/>
      </c>
      <c r="AU32" s="48" t="str">
        <f t="shared" si="45"/>
        <v/>
      </c>
      <c r="AV32" s="48" t="str">
        <f>IF(F32="","",IF(B32="no",'Emission Factors'!$P$43,'Emission Factors'!$P$44))</f>
        <v/>
      </c>
      <c r="AW32" s="48" t="str">
        <f t="shared" si="46"/>
        <v/>
      </c>
      <c r="AX32" s="48" t="str">
        <f t="shared" si="47"/>
        <v/>
      </c>
      <c r="AY32" s="48" t="str">
        <f t="shared" si="48"/>
        <v/>
      </c>
      <c r="AZ32" s="48" t="str">
        <f>IF(F32="","",IF(B32="no",'Emission Factors'!$R$43,'Emission Factors'!$R$44))</f>
        <v/>
      </c>
      <c r="BA32" s="48" t="str">
        <f t="shared" si="49"/>
        <v/>
      </c>
      <c r="BB32" s="48" t="str">
        <f t="shared" si="50"/>
        <v/>
      </c>
      <c r="BC32" s="48" t="str">
        <f t="shared" si="51"/>
        <v/>
      </c>
    </row>
    <row r="33" spans="1:55" x14ac:dyDescent="0.25">
      <c r="A33" s="6" t="str">
        <f>IF('Facility Information'!$C$21&gt;2,"LP-3","")</f>
        <v/>
      </c>
      <c r="B33" s="6" t="str">
        <f t="shared" si="29"/>
        <v>no</v>
      </c>
      <c r="C33" s="44"/>
      <c r="D33" s="44"/>
      <c r="E33" s="44"/>
      <c r="F33" s="45"/>
      <c r="G33" s="44"/>
      <c r="H33" s="46"/>
      <c r="I33" s="46"/>
      <c r="J33" s="147"/>
      <c r="K33" s="46">
        <f t="shared" si="5"/>
        <v>1</v>
      </c>
      <c r="L33" s="46"/>
      <c r="M33" s="46"/>
      <c r="N33" s="46"/>
      <c r="O33" s="46"/>
      <c r="P33" s="46"/>
      <c r="Q33" s="46"/>
      <c r="R33" s="49" t="str">
        <f t="shared" si="30"/>
        <v/>
      </c>
      <c r="S33" s="46"/>
      <c r="T33" s="48" t="str">
        <f t="shared" si="31"/>
        <v/>
      </c>
      <c r="U33" s="170"/>
      <c r="V33" s="170">
        <f t="shared" si="32"/>
        <v>0</v>
      </c>
      <c r="W33" s="170" t="str">
        <f t="shared" si="33"/>
        <v/>
      </c>
      <c r="X33" s="48" t="str">
        <f>IF(F33="","",IF(B33="no",'Emission Factors'!$D$43,'Emission Factors'!$D$44))</f>
        <v/>
      </c>
      <c r="Y33" s="48" t="str">
        <f t="shared" si="34"/>
        <v/>
      </c>
      <c r="Z33" s="48" t="str">
        <f t="shared" si="35"/>
        <v/>
      </c>
      <c r="AA33" s="48" t="str">
        <f t="shared" si="36"/>
        <v/>
      </c>
      <c r="AB33" s="48" t="str">
        <f>IF(F33="","",IF(B33="no",'Emission Factors'!$F$43,'Emission Factors'!$F$44))</f>
        <v/>
      </c>
      <c r="AC33" s="48" t="str">
        <f t="shared" si="37"/>
        <v/>
      </c>
      <c r="AD33" s="48" t="str">
        <f t="shared" si="38"/>
        <v/>
      </c>
      <c r="AE33" s="48" t="str">
        <f t="shared" si="39"/>
        <v/>
      </c>
      <c r="AF33" s="48" t="str">
        <f>IF(F33="","",IF(B33="no",'Emission Factors'!$H$43,'Emission Factors'!$H$44))</f>
        <v/>
      </c>
      <c r="AG33" s="48" t="str">
        <f>IF(F33="","",IF(C33="LP-1",IF('Limestone Plant (LP-1)'!$F$12&gt;0,'Limestone Plant (LP-1)'!$F$12,AF33*R33*K33),IF(C33="LP-2",IF('Limestone Plant (LP-2)'!$F$12&gt;0,'Limestone Plant (LP-2)'!$F$12,AF33*R33*K33),IF(C33="LP-3",IF('Limestone Plant (LP-3)'!$F$12&gt;0,'Limestone Plant (LP-3)'!$F$12,AF33*R33*K33),IF(C33="LP-4",IF('Limestone Plant (LP-4)'!$F$12&gt;0,'Limestone Plant (LP-4)'!$F$12,AF33*R33*K33),IF(C33="LP-5",IF('Limestone Plant (LP-5)'!$F$12&gt;0,'Limestone Plant (LP-5)'!$F$12,AF33*R33*K33),IF(C33="LP-6",IF('Limestone Plant (LP-6)'!$F$12&gt;0,'Limestone Plant (LP-6)'!$F$12,AF33*R33*K33),IF(C33="LP-7",IF('Limestone Plant (LP-7)'!$F$12&gt;0,'Limestone Plant (LP-7)'!$F$12,AF33*R33*K33),IF(C33="LP-8",IF('Limestone Plant (LP-8)'!$F$12&gt;0,'Limestone Plant (LP-8)'!$F$12,AF33*R33*K33),IF(C33="LP-9",IF('Limestone Plant (LP-9)'!$F$12&gt;0,'Limestone Plant (LP-9)'!$F$12,AF33*R33*K33),IF(C33="LP-10",IF('Limestone Plant (LP-10)'!$F$12&gt;0,'Limestone Plant (LP-10)'!$F$12,AF33*R33*K33))))))))))))</f>
        <v/>
      </c>
      <c r="AH33" s="48" t="str">
        <f t="shared" si="12"/>
        <v/>
      </c>
      <c r="AI33" s="48" t="str">
        <f t="shared" si="13"/>
        <v/>
      </c>
      <c r="AJ33" s="48" t="str">
        <f>IF(F33="","",IF(B33="no",'Emission Factors'!$J$43,'Emission Factors'!$J$44))</f>
        <v/>
      </c>
      <c r="AK33" s="48" t="str">
        <f>IF(F33="","",IF(C33="LP-1",IF('Limestone Plant (LP-1)'!$F$13&gt;0,'Limestone Plant (LP-1)'!$F$13,AJ33*R33),IF(C33="LP-2",IF('Limestone Plant (LP-2)'!$F$13&gt;0,'Limestone Plant (LP-2)'!$F$13,AJ33*R33),IF(C33="LP-3",IF('Limestone Plant (LP-3)'!$F$13&gt;0,'Limestone Plant (LP-3)'!$F$13,AJ33*R33),IF(C33="LP-4",IF('Limestone Plant (LP-4)'!$F$13&gt;0,'Limestone Plant (LP-4)'!$F$13,AJ33*R33),IF(C33="LP-5",IF('Limestone Plant (LP-5)'!$F$13&gt;0,'Limestone Plant (LP-5)'!$F$13,AJ33*R33),IF(C33="LP-6",IF('Limestone Plant (LP-6)'!$F$13&gt;0,'Limestone Plant (LP-6)'!$F$13,AJ33*R33),IF(C33="LP-7",IF('Limestone Plant (LP-7)'!$F$13&gt;0,'Limestone Plant (LP-7)'!$F$13,AJ33*R33),IF(C33="LP-8",IF('Limestone Plant (LP-8)'!$F$13&gt;0,'Limestone Plant (LP-8)'!$F$13,AJ33*R33),IF(C33="LP-9",IF('Limestone Plant (LP-9)'!$F$13&gt;0,'Limestone Plant (LP-9)'!$F$13,AJ33*R33),IF(C33="LP-10",IF('Limestone Plant (LP-10)'!$F$13&gt;0,'Limestone Plant (LP-10)'!$F$13,AJ33*R33))))))))))))</f>
        <v/>
      </c>
      <c r="AL33" s="48" t="str">
        <f t="shared" si="40"/>
        <v/>
      </c>
      <c r="AM33" s="48" t="str">
        <f t="shared" si="41"/>
        <v/>
      </c>
      <c r="AN33" s="48" t="str">
        <f>IF(F33="","",IF(B33="no",'Emission Factors'!$L$43,'Emission Factors'!$L$44))</f>
        <v/>
      </c>
      <c r="AO33" s="48" t="str">
        <f>IF(F33="","",IF(C33="LP-1",IF('Limestone Plant (LP-1)'!$F$14&gt;0,'Limestone Plant (LP-1)'!$F$14,AN33*R33),IF(C33="LP-2",IF('Limestone Plant (LP-2)'!$F$14&gt;0,'Limestone Plant (LP-2)'!$F$14,AN33*R33),IF(C33="LP-3",IF('Limestone Plant (LP-3)'!$F$14&gt;0,'Limestone Plant (LP-3)'!$F$14,AN33*R33),IF(C33="LP-4",IF('Limestone Plant (LP-4)'!$F$14&gt;0,'Limestone Plant (LP-4)'!$F$14,AN33*R33),IF(C33="LP-5",IF('Limestone Plant (LP-5)'!$F$14&gt;0,'Limestone Plant (LP-5)'!$F$14,AN33*R33),IF(C33="LP-6",IF('Limestone Plant (LP-6)'!$F$14&gt;0,'Limestone Plant (LP-6)'!$F$14,AN33*R33),IF(C33="LP-7",IF('Limestone Plant (LP-7)'!$F$14&gt;0,'Limestone Plant (LP-7)'!$F$14,AN33*R33),IF(C33="LP-8",IF('Limestone Plant (LP-8)'!$F$14&gt;0,'Limestone Plant (LP-8)'!$F$14,AN33*R33),IF(C33="LP-9",IF('Limestone Plant (LP-9)'!$F$14&gt;0,'Limestone Plant (LP-9)'!$F$14,AN33*R33),IF(C33="LP-10",IF('Limestone Plant (LP-10)'!$F$14&gt;0,'Limestone Plant (LP-10)'!$F$14,AN33*R33))))))))))))</f>
        <v/>
      </c>
      <c r="AP33" s="48" t="str">
        <f t="shared" si="42"/>
        <v/>
      </c>
      <c r="AQ33" s="48" t="str">
        <f t="shared" si="43"/>
        <v/>
      </c>
      <c r="AR33" s="48" t="str">
        <f>IF(F33="","",IF(B33="no",'Emission Factors'!$N$43,'Emission Factors'!$N$44))</f>
        <v/>
      </c>
      <c r="AS33" s="48" t="str">
        <f>IF(F33="","",IF(C33="LP-1",IF('Limestone Plant (LP-1)'!$F$15&gt;0,'Limestone Plant (LP-1)'!$F$15,AR33*R33),IF(C33="LP-2",IF('Limestone Plant (LP-2)'!$F$15&gt;0,'Limestone Plant (LP-2)'!$F$15,AR33*R33),IF(C33="LP-3",IF('Limestone Plant (LP-3)'!$F$15&gt;0,'Limestone Plant (LP-3)'!$F$15,AR33*R33),IF(C33="LP-4",IF('Limestone Plant (LP-4)'!$F$15&gt;0,'Limestone Plant (LP-4)'!$F$15,AR33*R33),IF(C33="LP-5",IF('Limestone Plant (LP-5)'!$F$15&gt;0,'Limestone Plant (LP-5)'!$F$15,AR33*R33),IF(C33="LP-6",IF('Limestone Plant (LP-6)'!$F$15&gt;0,'Limestone Plant (LP-6)'!$F$15,AR33*R33),IF(C33="LP-7",IF('Limestone Plant (LP-7)'!$F$15&gt;0,'Limestone Plant (LP-7)'!$F$15,AR33*R33),IF(C33="LP-8",IF('Limestone Plant (LP-8)'!$F$15&gt;0,'Limestone Plant (LP-8)'!$F$15,AR33*R33),IF(C33="LP-9",IF('Limestone Plant (LP-9)'!$F$15&gt;0,'Limestone Plant (LP-9)'!$F$15,AR33*R33),IF(C33="LP-10",IF('Limestone Plant (LP-10)'!$F$15&gt;0,'Limestone Plant (LP-10)'!$F$15,AR33*R33))))))))))))</f>
        <v/>
      </c>
      <c r="AT33" s="48" t="str">
        <f t="shared" si="44"/>
        <v/>
      </c>
      <c r="AU33" s="48" t="str">
        <f t="shared" si="45"/>
        <v/>
      </c>
      <c r="AV33" s="48" t="str">
        <f>IF(F33="","",IF(B33="no",'Emission Factors'!$P$43,'Emission Factors'!$P$44))</f>
        <v/>
      </c>
      <c r="AW33" s="48" t="str">
        <f t="shared" si="46"/>
        <v/>
      </c>
      <c r="AX33" s="48" t="str">
        <f t="shared" si="47"/>
        <v/>
      </c>
      <c r="AY33" s="48" t="str">
        <f t="shared" si="48"/>
        <v/>
      </c>
      <c r="AZ33" s="48" t="str">
        <f>IF(F33="","",IF(B33="no",'Emission Factors'!$R$43,'Emission Factors'!$R$44))</f>
        <v/>
      </c>
      <c r="BA33" s="48" t="str">
        <f t="shared" si="49"/>
        <v/>
      </c>
      <c r="BB33" s="48" t="str">
        <f t="shared" si="50"/>
        <v/>
      </c>
      <c r="BC33" s="48" t="str">
        <f t="shared" si="51"/>
        <v/>
      </c>
    </row>
    <row r="34" spans="1:55" x14ac:dyDescent="0.25">
      <c r="A34" s="6" t="str">
        <f>IF('Facility Information'!$C$21&gt;3,"LP-4","")</f>
        <v/>
      </c>
      <c r="B34" s="6" t="str">
        <f t="shared" si="29"/>
        <v>no</v>
      </c>
      <c r="C34" s="44"/>
      <c r="D34" s="44"/>
      <c r="E34" s="44"/>
      <c r="F34" s="45"/>
      <c r="G34" s="44"/>
      <c r="H34" s="46"/>
      <c r="I34" s="46"/>
      <c r="J34" s="147"/>
      <c r="K34" s="46">
        <f t="shared" si="5"/>
        <v>1</v>
      </c>
      <c r="L34" s="46"/>
      <c r="M34" s="46"/>
      <c r="N34" s="46"/>
      <c r="O34" s="46"/>
      <c r="P34" s="46"/>
      <c r="Q34" s="46"/>
      <c r="R34" s="49" t="str">
        <f t="shared" si="30"/>
        <v/>
      </c>
      <c r="S34" s="46"/>
      <c r="T34" s="48" t="str">
        <f t="shared" si="31"/>
        <v/>
      </c>
      <c r="U34" s="170"/>
      <c r="V34" s="170">
        <f t="shared" si="32"/>
        <v>0</v>
      </c>
      <c r="W34" s="170" t="str">
        <f t="shared" si="33"/>
        <v/>
      </c>
      <c r="X34" s="48" t="str">
        <f>IF(F34="","",IF(B34="no",'Emission Factors'!$D$43,'Emission Factors'!$D$44))</f>
        <v/>
      </c>
      <c r="Y34" s="48" t="str">
        <f t="shared" si="34"/>
        <v/>
      </c>
      <c r="Z34" s="48" t="str">
        <f t="shared" si="35"/>
        <v/>
      </c>
      <c r="AA34" s="48" t="str">
        <f t="shared" si="36"/>
        <v/>
      </c>
      <c r="AB34" s="48" t="str">
        <f>IF(F34="","",IF(B34="no",'Emission Factors'!$F$43,'Emission Factors'!$F$44))</f>
        <v/>
      </c>
      <c r="AC34" s="48" t="str">
        <f t="shared" si="37"/>
        <v/>
      </c>
      <c r="AD34" s="48" t="str">
        <f t="shared" si="38"/>
        <v/>
      </c>
      <c r="AE34" s="48" t="str">
        <f t="shared" si="39"/>
        <v/>
      </c>
      <c r="AF34" s="48" t="str">
        <f>IF(F34="","",IF(B34="no",'Emission Factors'!$H$43,'Emission Factors'!$H$44))</f>
        <v/>
      </c>
      <c r="AG34" s="48" t="str">
        <f>IF(F34="","",IF(C34="LP-1",IF('Limestone Plant (LP-1)'!$F$12&gt;0,'Limestone Plant (LP-1)'!$F$12,AF34*R34*K34),IF(C34="LP-2",IF('Limestone Plant (LP-2)'!$F$12&gt;0,'Limestone Plant (LP-2)'!$F$12,AF34*R34*K34),IF(C34="LP-3",IF('Limestone Plant (LP-3)'!$F$12&gt;0,'Limestone Plant (LP-3)'!$F$12,AF34*R34*K34),IF(C34="LP-4",IF('Limestone Plant (LP-4)'!$F$12&gt;0,'Limestone Plant (LP-4)'!$F$12,AF34*R34*K34),IF(C34="LP-5",IF('Limestone Plant (LP-5)'!$F$12&gt;0,'Limestone Plant (LP-5)'!$F$12,AF34*R34*K34),IF(C34="LP-6",IF('Limestone Plant (LP-6)'!$F$12&gt;0,'Limestone Plant (LP-6)'!$F$12,AF34*R34*K34),IF(C34="LP-7",IF('Limestone Plant (LP-7)'!$F$12&gt;0,'Limestone Plant (LP-7)'!$F$12,AF34*R34*K34),IF(C34="LP-8",IF('Limestone Plant (LP-8)'!$F$12&gt;0,'Limestone Plant (LP-8)'!$F$12,AF34*R34*K34),IF(C34="LP-9",IF('Limestone Plant (LP-9)'!$F$12&gt;0,'Limestone Plant (LP-9)'!$F$12,AF34*R34*K34),IF(C34="LP-10",IF('Limestone Plant (LP-10)'!$F$12&gt;0,'Limestone Plant (LP-10)'!$F$12,AF34*R34*K34))))))))))))</f>
        <v/>
      </c>
      <c r="AH34" s="48" t="str">
        <f t="shared" si="12"/>
        <v/>
      </c>
      <c r="AI34" s="48" t="str">
        <f t="shared" si="13"/>
        <v/>
      </c>
      <c r="AJ34" s="48" t="str">
        <f>IF(F34="","",IF(B34="no",'Emission Factors'!$J$43,'Emission Factors'!$J$44))</f>
        <v/>
      </c>
      <c r="AK34" s="48" t="str">
        <f>IF(F34="","",IF(C34="LP-1",IF('Limestone Plant (LP-1)'!$F$13&gt;0,'Limestone Plant (LP-1)'!$F$13,AJ34*R34),IF(C34="LP-2",IF('Limestone Plant (LP-2)'!$F$13&gt;0,'Limestone Plant (LP-2)'!$F$13,AJ34*R34),IF(C34="LP-3",IF('Limestone Plant (LP-3)'!$F$13&gt;0,'Limestone Plant (LP-3)'!$F$13,AJ34*R34),IF(C34="LP-4",IF('Limestone Plant (LP-4)'!$F$13&gt;0,'Limestone Plant (LP-4)'!$F$13,AJ34*R34),IF(C34="LP-5",IF('Limestone Plant (LP-5)'!$F$13&gt;0,'Limestone Plant (LP-5)'!$F$13,AJ34*R34),IF(C34="LP-6",IF('Limestone Plant (LP-6)'!$F$13&gt;0,'Limestone Plant (LP-6)'!$F$13,AJ34*R34),IF(C34="LP-7",IF('Limestone Plant (LP-7)'!$F$13&gt;0,'Limestone Plant (LP-7)'!$F$13,AJ34*R34),IF(C34="LP-8",IF('Limestone Plant (LP-8)'!$F$13&gt;0,'Limestone Plant (LP-8)'!$F$13,AJ34*R34),IF(C34="LP-9",IF('Limestone Plant (LP-9)'!$F$13&gt;0,'Limestone Plant (LP-9)'!$F$13,AJ34*R34),IF(C34="LP-10",IF('Limestone Plant (LP-10)'!$F$13&gt;0,'Limestone Plant (LP-10)'!$F$13,AJ34*R34))))))))))))</f>
        <v/>
      </c>
      <c r="AL34" s="48" t="str">
        <f t="shared" si="40"/>
        <v/>
      </c>
      <c r="AM34" s="48" t="str">
        <f t="shared" si="41"/>
        <v/>
      </c>
      <c r="AN34" s="48" t="str">
        <f>IF(F34="","",IF(B34="no",'Emission Factors'!$L$43,'Emission Factors'!$L$44))</f>
        <v/>
      </c>
      <c r="AO34" s="48" t="str">
        <f>IF(F34="","",IF(C34="LP-1",IF('Limestone Plant (LP-1)'!$F$14&gt;0,'Limestone Plant (LP-1)'!$F$14,AN34*R34),IF(C34="LP-2",IF('Limestone Plant (LP-2)'!$F$14&gt;0,'Limestone Plant (LP-2)'!$F$14,AN34*R34),IF(C34="LP-3",IF('Limestone Plant (LP-3)'!$F$14&gt;0,'Limestone Plant (LP-3)'!$F$14,AN34*R34),IF(C34="LP-4",IF('Limestone Plant (LP-4)'!$F$14&gt;0,'Limestone Plant (LP-4)'!$F$14,AN34*R34),IF(C34="LP-5",IF('Limestone Plant (LP-5)'!$F$14&gt;0,'Limestone Plant (LP-5)'!$F$14,AN34*R34),IF(C34="LP-6",IF('Limestone Plant (LP-6)'!$F$14&gt;0,'Limestone Plant (LP-6)'!$F$14,AN34*R34),IF(C34="LP-7",IF('Limestone Plant (LP-7)'!$F$14&gt;0,'Limestone Plant (LP-7)'!$F$14,AN34*R34),IF(C34="LP-8",IF('Limestone Plant (LP-8)'!$F$14&gt;0,'Limestone Plant (LP-8)'!$F$14,AN34*R34),IF(C34="LP-9",IF('Limestone Plant (LP-9)'!$F$14&gt;0,'Limestone Plant (LP-9)'!$F$14,AN34*R34),IF(C34="LP-10",IF('Limestone Plant (LP-10)'!$F$14&gt;0,'Limestone Plant (LP-10)'!$F$14,AN34*R34))))))))))))</f>
        <v/>
      </c>
      <c r="AP34" s="48" t="str">
        <f t="shared" si="42"/>
        <v/>
      </c>
      <c r="AQ34" s="48" t="str">
        <f t="shared" si="43"/>
        <v/>
      </c>
      <c r="AR34" s="48" t="str">
        <f>IF(F34="","",IF(B34="no",'Emission Factors'!$N$43,'Emission Factors'!$N$44))</f>
        <v/>
      </c>
      <c r="AS34" s="48" t="str">
        <f>IF(F34="","",IF(C34="LP-1",IF('Limestone Plant (LP-1)'!$F$15&gt;0,'Limestone Plant (LP-1)'!$F$15,AR34*R34),IF(C34="LP-2",IF('Limestone Plant (LP-2)'!$F$15&gt;0,'Limestone Plant (LP-2)'!$F$15,AR34*R34),IF(C34="LP-3",IF('Limestone Plant (LP-3)'!$F$15&gt;0,'Limestone Plant (LP-3)'!$F$15,AR34*R34),IF(C34="LP-4",IF('Limestone Plant (LP-4)'!$F$15&gt;0,'Limestone Plant (LP-4)'!$F$15,AR34*R34),IF(C34="LP-5",IF('Limestone Plant (LP-5)'!$F$15&gt;0,'Limestone Plant (LP-5)'!$F$15,AR34*R34),IF(C34="LP-6",IF('Limestone Plant (LP-6)'!$F$15&gt;0,'Limestone Plant (LP-6)'!$F$15,AR34*R34),IF(C34="LP-7",IF('Limestone Plant (LP-7)'!$F$15&gt;0,'Limestone Plant (LP-7)'!$F$15,AR34*R34),IF(C34="LP-8",IF('Limestone Plant (LP-8)'!$F$15&gt;0,'Limestone Plant (LP-8)'!$F$15,AR34*R34),IF(C34="LP-9",IF('Limestone Plant (LP-9)'!$F$15&gt;0,'Limestone Plant (LP-9)'!$F$15,AR34*R34),IF(C34="LP-10",IF('Limestone Plant (LP-10)'!$F$15&gt;0,'Limestone Plant (LP-10)'!$F$15,AR34*R34))))))))))))</f>
        <v/>
      </c>
      <c r="AT34" s="48" t="str">
        <f t="shared" si="44"/>
        <v/>
      </c>
      <c r="AU34" s="48" t="str">
        <f t="shared" si="45"/>
        <v/>
      </c>
      <c r="AV34" s="48" t="str">
        <f>IF(F34="","",IF(B34="no",'Emission Factors'!$P$43,'Emission Factors'!$P$44))</f>
        <v/>
      </c>
      <c r="AW34" s="48" t="str">
        <f t="shared" si="46"/>
        <v/>
      </c>
      <c r="AX34" s="48" t="str">
        <f t="shared" si="47"/>
        <v/>
      </c>
      <c r="AY34" s="48" t="str">
        <f t="shared" si="48"/>
        <v/>
      </c>
      <c r="AZ34" s="48" t="str">
        <f>IF(F34="","",IF(B34="no",'Emission Factors'!$R$43,'Emission Factors'!$R$44))</f>
        <v/>
      </c>
      <c r="BA34" s="48" t="str">
        <f t="shared" si="49"/>
        <v/>
      </c>
      <c r="BB34" s="48" t="str">
        <f t="shared" si="50"/>
        <v/>
      </c>
      <c r="BC34" s="48" t="str">
        <f t="shared" si="51"/>
        <v/>
      </c>
    </row>
    <row r="35" spans="1:55" x14ac:dyDescent="0.25">
      <c r="A35" s="6" t="str">
        <f>IF('Facility Information'!$C$21&gt;4,"LP-5","")</f>
        <v/>
      </c>
      <c r="B35" s="6" t="str">
        <f t="shared" si="29"/>
        <v>no</v>
      </c>
      <c r="C35" s="44"/>
      <c r="D35" s="44"/>
      <c r="E35" s="44"/>
      <c r="F35" s="45"/>
      <c r="G35" s="44"/>
      <c r="H35" s="46"/>
      <c r="I35" s="46"/>
      <c r="J35" s="147"/>
      <c r="K35" s="46">
        <f t="shared" si="5"/>
        <v>1</v>
      </c>
      <c r="L35" s="46"/>
      <c r="M35" s="46"/>
      <c r="N35" s="46"/>
      <c r="O35" s="46"/>
      <c r="P35" s="46"/>
      <c r="Q35" s="46"/>
      <c r="R35" s="49" t="str">
        <f t="shared" si="30"/>
        <v/>
      </c>
      <c r="S35" s="46"/>
      <c r="T35" s="48" t="str">
        <f t="shared" si="31"/>
        <v/>
      </c>
      <c r="U35" s="170"/>
      <c r="V35" s="170">
        <f t="shared" si="32"/>
        <v>0</v>
      </c>
      <c r="W35" s="170" t="str">
        <f t="shared" si="33"/>
        <v/>
      </c>
      <c r="X35" s="48" t="str">
        <f>IF(F35="","",IF(B35="no",'Emission Factors'!$D$43,'Emission Factors'!$D$44))</f>
        <v/>
      </c>
      <c r="Y35" s="48" t="str">
        <f t="shared" si="34"/>
        <v/>
      </c>
      <c r="Z35" s="48" t="str">
        <f t="shared" si="35"/>
        <v/>
      </c>
      <c r="AA35" s="48" t="str">
        <f t="shared" si="36"/>
        <v/>
      </c>
      <c r="AB35" s="48" t="str">
        <f>IF(F35="","",IF(B35="no",'Emission Factors'!$F$43,'Emission Factors'!$F$44))</f>
        <v/>
      </c>
      <c r="AC35" s="48" t="str">
        <f t="shared" si="37"/>
        <v/>
      </c>
      <c r="AD35" s="48" t="str">
        <f t="shared" si="38"/>
        <v/>
      </c>
      <c r="AE35" s="48" t="str">
        <f t="shared" si="39"/>
        <v/>
      </c>
      <c r="AF35" s="48" t="str">
        <f>IF(F35="","",IF(B35="no",'Emission Factors'!$H$43,'Emission Factors'!$H$44))</f>
        <v/>
      </c>
      <c r="AG35" s="48" t="str">
        <f>IF(F35="","",IF(C35="LP-1",IF('Limestone Plant (LP-1)'!$F$12&gt;0,'Limestone Plant (LP-1)'!$F$12,AF35*R35*K35),IF(C35="LP-2",IF('Limestone Plant (LP-2)'!$F$12&gt;0,'Limestone Plant (LP-2)'!$F$12,AF35*R35*K35),IF(C35="LP-3",IF('Limestone Plant (LP-3)'!$F$12&gt;0,'Limestone Plant (LP-3)'!$F$12,AF35*R35*K35),IF(C35="LP-4",IF('Limestone Plant (LP-4)'!$F$12&gt;0,'Limestone Plant (LP-4)'!$F$12,AF35*R35*K35),IF(C35="LP-5",IF('Limestone Plant (LP-5)'!$F$12&gt;0,'Limestone Plant (LP-5)'!$F$12,AF35*R35*K35),IF(C35="LP-6",IF('Limestone Plant (LP-6)'!$F$12&gt;0,'Limestone Plant (LP-6)'!$F$12,AF35*R35*K35),IF(C35="LP-7",IF('Limestone Plant (LP-7)'!$F$12&gt;0,'Limestone Plant (LP-7)'!$F$12,AF35*R35*K35),IF(C35="LP-8",IF('Limestone Plant (LP-8)'!$F$12&gt;0,'Limestone Plant (LP-8)'!$F$12,AF35*R35*K35),IF(C35="LP-9",IF('Limestone Plant (LP-9)'!$F$12&gt;0,'Limestone Plant (LP-9)'!$F$12,AF35*R35*K35),IF(C35="LP-10",IF('Limestone Plant (LP-10)'!$F$12&gt;0,'Limestone Plant (LP-10)'!$F$12,AF35*R35*K35))))))))))))</f>
        <v/>
      </c>
      <c r="AH35" s="48" t="str">
        <f t="shared" si="12"/>
        <v/>
      </c>
      <c r="AI35" s="48" t="str">
        <f t="shared" si="13"/>
        <v/>
      </c>
      <c r="AJ35" s="48" t="str">
        <f>IF(F35="","",IF(B35="no",'Emission Factors'!$J$43,'Emission Factors'!$J$44))</f>
        <v/>
      </c>
      <c r="AK35" s="48" t="str">
        <f>IF(F35="","",IF(C35="LP-1",IF('Limestone Plant (LP-1)'!$F$13&gt;0,'Limestone Plant (LP-1)'!$F$13,AJ35*R35),IF(C35="LP-2",IF('Limestone Plant (LP-2)'!$F$13&gt;0,'Limestone Plant (LP-2)'!$F$13,AJ35*R35),IF(C35="LP-3",IF('Limestone Plant (LP-3)'!$F$13&gt;0,'Limestone Plant (LP-3)'!$F$13,AJ35*R35),IF(C35="LP-4",IF('Limestone Plant (LP-4)'!$F$13&gt;0,'Limestone Plant (LP-4)'!$F$13,AJ35*R35),IF(C35="LP-5",IF('Limestone Plant (LP-5)'!$F$13&gt;0,'Limestone Plant (LP-5)'!$F$13,AJ35*R35),IF(C35="LP-6",IF('Limestone Plant (LP-6)'!$F$13&gt;0,'Limestone Plant (LP-6)'!$F$13,AJ35*R35),IF(C35="LP-7",IF('Limestone Plant (LP-7)'!$F$13&gt;0,'Limestone Plant (LP-7)'!$F$13,AJ35*R35),IF(C35="LP-8",IF('Limestone Plant (LP-8)'!$F$13&gt;0,'Limestone Plant (LP-8)'!$F$13,AJ35*R35),IF(C35="LP-9",IF('Limestone Plant (LP-9)'!$F$13&gt;0,'Limestone Plant (LP-9)'!$F$13,AJ35*R35),IF(C35="LP-10",IF('Limestone Plant (LP-10)'!$F$13&gt;0,'Limestone Plant (LP-10)'!$F$13,AJ35*R35))))))))))))</f>
        <v/>
      </c>
      <c r="AL35" s="48" t="str">
        <f t="shared" si="40"/>
        <v/>
      </c>
      <c r="AM35" s="48" t="str">
        <f t="shared" si="41"/>
        <v/>
      </c>
      <c r="AN35" s="48" t="str">
        <f>IF(F35="","",IF(B35="no",'Emission Factors'!$L$43,'Emission Factors'!$L$44))</f>
        <v/>
      </c>
      <c r="AO35" s="48" t="str">
        <f>IF(F35="","",IF(C35="LP-1",IF('Limestone Plant (LP-1)'!$F$14&gt;0,'Limestone Plant (LP-1)'!$F$14,AN35*R35),IF(C35="LP-2",IF('Limestone Plant (LP-2)'!$F$14&gt;0,'Limestone Plant (LP-2)'!$F$14,AN35*R35),IF(C35="LP-3",IF('Limestone Plant (LP-3)'!$F$14&gt;0,'Limestone Plant (LP-3)'!$F$14,AN35*R35),IF(C35="LP-4",IF('Limestone Plant (LP-4)'!$F$14&gt;0,'Limestone Plant (LP-4)'!$F$14,AN35*R35),IF(C35="LP-5",IF('Limestone Plant (LP-5)'!$F$14&gt;0,'Limestone Plant (LP-5)'!$F$14,AN35*R35),IF(C35="LP-6",IF('Limestone Plant (LP-6)'!$F$14&gt;0,'Limestone Plant (LP-6)'!$F$14,AN35*R35),IF(C35="LP-7",IF('Limestone Plant (LP-7)'!$F$14&gt;0,'Limestone Plant (LP-7)'!$F$14,AN35*R35),IF(C35="LP-8",IF('Limestone Plant (LP-8)'!$F$14&gt;0,'Limestone Plant (LP-8)'!$F$14,AN35*R35),IF(C35="LP-9",IF('Limestone Plant (LP-9)'!$F$14&gt;0,'Limestone Plant (LP-9)'!$F$14,AN35*R35),IF(C35="LP-10",IF('Limestone Plant (LP-10)'!$F$14&gt;0,'Limestone Plant (LP-10)'!$F$14,AN35*R35))))))))))))</f>
        <v/>
      </c>
      <c r="AP35" s="48" t="str">
        <f t="shared" si="42"/>
        <v/>
      </c>
      <c r="AQ35" s="48" t="str">
        <f t="shared" si="43"/>
        <v/>
      </c>
      <c r="AR35" s="48" t="str">
        <f>IF(F35="","",IF(B35="no",'Emission Factors'!$N$43,'Emission Factors'!$N$44))</f>
        <v/>
      </c>
      <c r="AS35" s="48" t="str">
        <f>IF(F35="","",IF(C35="LP-1",IF('Limestone Plant (LP-1)'!$F$15&gt;0,'Limestone Plant (LP-1)'!$F$15,AR35*R35),IF(C35="LP-2",IF('Limestone Plant (LP-2)'!$F$15&gt;0,'Limestone Plant (LP-2)'!$F$15,AR35*R35),IF(C35="LP-3",IF('Limestone Plant (LP-3)'!$F$15&gt;0,'Limestone Plant (LP-3)'!$F$15,AR35*R35),IF(C35="LP-4",IF('Limestone Plant (LP-4)'!$F$15&gt;0,'Limestone Plant (LP-4)'!$F$15,AR35*R35),IF(C35="LP-5",IF('Limestone Plant (LP-5)'!$F$15&gt;0,'Limestone Plant (LP-5)'!$F$15,AR35*R35),IF(C35="LP-6",IF('Limestone Plant (LP-6)'!$F$15&gt;0,'Limestone Plant (LP-6)'!$F$15,AR35*R35),IF(C35="LP-7",IF('Limestone Plant (LP-7)'!$F$15&gt;0,'Limestone Plant (LP-7)'!$F$15,AR35*R35),IF(C35="LP-8",IF('Limestone Plant (LP-8)'!$F$15&gt;0,'Limestone Plant (LP-8)'!$F$15,AR35*R35),IF(C35="LP-9",IF('Limestone Plant (LP-9)'!$F$15&gt;0,'Limestone Plant (LP-9)'!$F$15,AR35*R35),IF(C35="LP-10",IF('Limestone Plant (LP-10)'!$F$15&gt;0,'Limestone Plant (LP-10)'!$F$15,AR35*R35))))))))))))</f>
        <v/>
      </c>
      <c r="AT35" s="48" t="str">
        <f t="shared" si="44"/>
        <v/>
      </c>
      <c r="AU35" s="48" t="str">
        <f t="shared" si="45"/>
        <v/>
      </c>
      <c r="AV35" s="48" t="str">
        <f>IF(F35="","",IF(B35="no",'Emission Factors'!$P$43,'Emission Factors'!$P$44))</f>
        <v/>
      </c>
      <c r="AW35" s="48" t="str">
        <f t="shared" si="46"/>
        <v/>
      </c>
      <c r="AX35" s="48" t="str">
        <f t="shared" si="47"/>
        <v/>
      </c>
      <c r="AY35" s="48" t="str">
        <f t="shared" si="48"/>
        <v/>
      </c>
      <c r="AZ35" s="48" t="str">
        <f>IF(F35="","",IF(B35="no",'Emission Factors'!$R$43,'Emission Factors'!$R$44))</f>
        <v/>
      </c>
      <c r="BA35" s="48" t="str">
        <f t="shared" si="49"/>
        <v/>
      </c>
      <c r="BB35" s="48" t="str">
        <f t="shared" si="50"/>
        <v/>
      </c>
      <c r="BC35" s="48" t="str">
        <f t="shared" si="51"/>
        <v/>
      </c>
    </row>
    <row r="36" spans="1:55" x14ac:dyDescent="0.25">
      <c r="A36" s="6" t="str">
        <f>IF('Facility Information'!$C$21&gt;5,"LP-6","")</f>
        <v/>
      </c>
      <c r="B36" s="6" t="str">
        <f t="shared" si="29"/>
        <v>no</v>
      </c>
      <c r="C36" s="44"/>
      <c r="D36" s="44"/>
      <c r="E36" s="44"/>
      <c r="F36" s="45"/>
      <c r="G36" s="44"/>
      <c r="H36" s="46"/>
      <c r="I36" s="46"/>
      <c r="J36" s="147"/>
      <c r="K36" s="46">
        <f t="shared" si="5"/>
        <v>1</v>
      </c>
      <c r="L36" s="46"/>
      <c r="M36" s="46"/>
      <c r="N36" s="46"/>
      <c r="O36" s="46"/>
      <c r="P36" s="46"/>
      <c r="Q36" s="46"/>
      <c r="R36" s="49" t="str">
        <f t="shared" si="30"/>
        <v/>
      </c>
      <c r="S36" s="46"/>
      <c r="T36" s="48" t="str">
        <f t="shared" si="31"/>
        <v/>
      </c>
      <c r="U36" s="170"/>
      <c r="V36" s="170">
        <f t="shared" si="32"/>
        <v>0</v>
      </c>
      <c r="W36" s="170" t="str">
        <f t="shared" si="33"/>
        <v/>
      </c>
      <c r="X36" s="48" t="str">
        <f>IF(F36="","",IF(B36="no",'Emission Factors'!$D$43,'Emission Factors'!$D$44))</f>
        <v/>
      </c>
      <c r="Y36" s="48" t="str">
        <f t="shared" si="34"/>
        <v/>
      </c>
      <c r="Z36" s="48" t="str">
        <f t="shared" si="35"/>
        <v/>
      </c>
      <c r="AA36" s="48" t="str">
        <f t="shared" si="36"/>
        <v/>
      </c>
      <c r="AB36" s="48" t="str">
        <f>IF(F36="","",IF(B36="no",'Emission Factors'!$F$43,'Emission Factors'!$F$44))</f>
        <v/>
      </c>
      <c r="AC36" s="48" t="str">
        <f t="shared" si="37"/>
        <v/>
      </c>
      <c r="AD36" s="48" t="str">
        <f t="shared" si="38"/>
        <v/>
      </c>
      <c r="AE36" s="48" t="str">
        <f t="shared" si="39"/>
        <v/>
      </c>
      <c r="AF36" s="48" t="str">
        <f>IF(F36="","",IF(B36="no",'Emission Factors'!$H$43,'Emission Factors'!$H$44))</f>
        <v/>
      </c>
      <c r="AG36" s="48" t="str">
        <f>IF(F36="","",IF(C36="LP-1",IF('Limestone Plant (LP-1)'!$F$12&gt;0,'Limestone Plant (LP-1)'!$F$12,AF36*R36*K36),IF(C36="LP-2",IF('Limestone Plant (LP-2)'!$F$12&gt;0,'Limestone Plant (LP-2)'!$F$12,AF36*R36*K36),IF(C36="LP-3",IF('Limestone Plant (LP-3)'!$F$12&gt;0,'Limestone Plant (LP-3)'!$F$12,AF36*R36*K36),IF(C36="LP-4",IF('Limestone Plant (LP-4)'!$F$12&gt;0,'Limestone Plant (LP-4)'!$F$12,AF36*R36*K36),IF(C36="LP-5",IF('Limestone Plant (LP-5)'!$F$12&gt;0,'Limestone Plant (LP-5)'!$F$12,AF36*R36*K36),IF(C36="LP-6",IF('Limestone Plant (LP-6)'!$F$12&gt;0,'Limestone Plant (LP-6)'!$F$12,AF36*R36*K36),IF(C36="LP-7",IF('Limestone Plant (LP-7)'!$F$12&gt;0,'Limestone Plant (LP-7)'!$F$12,AF36*R36*K36),IF(C36="LP-8",IF('Limestone Plant (LP-8)'!$F$12&gt;0,'Limestone Plant (LP-8)'!$F$12,AF36*R36*K36),IF(C36="LP-9",IF('Limestone Plant (LP-9)'!$F$12&gt;0,'Limestone Plant (LP-9)'!$F$12,AF36*R36*K36),IF(C36="LP-10",IF('Limestone Plant (LP-10)'!$F$12&gt;0,'Limestone Plant (LP-10)'!$F$12,AF36*R36*K36))))))))))))</f>
        <v/>
      </c>
      <c r="AH36" s="48" t="str">
        <f t="shared" si="12"/>
        <v/>
      </c>
      <c r="AI36" s="48" t="str">
        <f t="shared" si="13"/>
        <v/>
      </c>
      <c r="AJ36" s="48" t="str">
        <f>IF(F36="","",IF(B36="no",'Emission Factors'!$J$43,'Emission Factors'!$J$44))</f>
        <v/>
      </c>
      <c r="AK36" s="48" t="str">
        <f>IF(F36="","",IF(C36="LP-1",IF('Limestone Plant (LP-1)'!$F$13&gt;0,'Limestone Plant (LP-1)'!$F$13,AJ36*R36),IF(C36="LP-2",IF('Limestone Plant (LP-2)'!$F$13&gt;0,'Limestone Plant (LP-2)'!$F$13,AJ36*R36),IF(C36="LP-3",IF('Limestone Plant (LP-3)'!$F$13&gt;0,'Limestone Plant (LP-3)'!$F$13,AJ36*R36),IF(C36="LP-4",IF('Limestone Plant (LP-4)'!$F$13&gt;0,'Limestone Plant (LP-4)'!$F$13,AJ36*R36),IF(C36="LP-5",IF('Limestone Plant (LP-5)'!$F$13&gt;0,'Limestone Plant (LP-5)'!$F$13,AJ36*R36),IF(C36="LP-6",IF('Limestone Plant (LP-6)'!$F$13&gt;0,'Limestone Plant (LP-6)'!$F$13,AJ36*R36),IF(C36="LP-7",IF('Limestone Plant (LP-7)'!$F$13&gt;0,'Limestone Plant (LP-7)'!$F$13,AJ36*R36),IF(C36="LP-8",IF('Limestone Plant (LP-8)'!$F$13&gt;0,'Limestone Plant (LP-8)'!$F$13,AJ36*R36),IF(C36="LP-9",IF('Limestone Plant (LP-9)'!$F$13&gt;0,'Limestone Plant (LP-9)'!$F$13,AJ36*R36),IF(C36="LP-10",IF('Limestone Plant (LP-10)'!$F$13&gt;0,'Limestone Plant (LP-10)'!$F$13,AJ36*R36))))))))))))</f>
        <v/>
      </c>
      <c r="AL36" s="48" t="str">
        <f t="shared" si="40"/>
        <v/>
      </c>
      <c r="AM36" s="48" t="str">
        <f t="shared" si="41"/>
        <v/>
      </c>
      <c r="AN36" s="48" t="str">
        <f>IF(F36="","",IF(B36="no",'Emission Factors'!$L$43,'Emission Factors'!$L$44))</f>
        <v/>
      </c>
      <c r="AO36" s="48" t="str">
        <f>IF(F36="","",IF(C36="LP-1",IF('Limestone Plant (LP-1)'!$F$14&gt;0,'Limestone Plant (LP-1)'!$F$14,AN36*R36),IF(C36="LP-2",IF('Limestone Plant (LP-2)'!$F$14&gt;0,'Limestone Plant (LP-2)'!$F$14,AN36*R36),IF(C36="LP-3",IF('Limestone Plant (LP-3)'!$F$14&gt;0,'Limestone Plant (LP-3)'!$F$14,AN36*R36),IF(C36="LP-4",IF('Limestone Plant (LP-4)'!$F$14&gt;0,'Limestone Plant (LP-4)'!$F$14,AN36*R36),IF(C36="LP-5",IF('Limestone Plant (LP-5)'!$F$14&gt;0,'Limestone Plant (LP-5)'!$F$14,AN36*R36),IF(C36="LP-6",IF('Limestone Plant (LP-6)'!$F$14&gt;0,'Limestone Plant (LP-6)'!$F$14,AN36*R36),IF(C36="LP-7",IF('Limestone Plant (LP-7)'!$F$14&gt;0,'Limestone Plant (LP-7)'!$F$14,AN36*R36),IF(C36="LP-8",IF('Limestone Plant (LP-8)'!$F$14&gt;0,'Limestone Plant (LP-8)'!$F$14,AN36*R36),IF(C36="LP-9",IF('Limestone Plant (LP-9)'!$F$14&gt;0,'Limestone Plant (LP-9)'!$F$14,AN36*R36),IF(C36="LP-10",IF('Limestone Plant (LP-10)'!$F$14&gt;0,'Limestone Plant (LP-10)'!$F$14,AN36*R36))))))))))))</f>
        <v/>
      </c>
      <c r="AP36" s="48" t="str">
        <f t="shared" si="42"/>
        <v/>
      </c>
      <c r="AQ36" s="48" t="str">
        <f t="shared" si="43"/>
        <v/>
      </c>
      <c r="AR36" s="48" t="str">
        <f>IF(F36="","",IF(B36="no",'Emission Factors'!$N$43,'Emission Factors'!$N$44))</f>
        <v/>
      </c>
      <c r="AS36" s="48" t="str">
        <f>IF(F36="","",IF(C36="LP-1",IF('Limestone Plant (LP-1)'!$F$15&gt;0,'Limestone Plant (LP-1)'!$F$15,AR36*R36),IF(C36="LP-2",IF('Limestone Plant (LP-2)'!$F$15&gt;0,'Limestone Plant (LP-2)'!$F$15,AR36*R36),IF(C36="LP-3",IF('Limestone Plant (LP-3)'!$F$15&gt;0,'Limestone Plant (LP-3)'!$F$15,AR36*R36),IF(C36="LP-4",IF('Limestone Plant (LP-4)'!$F$15&gt;0,'Limestone Plant (LP-4)'!$F$15,AR36*R36),IF(C36="LP-5",IF('Limestone Plant (LP-5)'!$F$15&gt;0,'Limestone Plant (LP-5)'!$F$15,AR36*R36),IF(C36="LP-6",IF('Limestone Plant (LP-6)'!$F$15&gt;0,'Limestone Plant (LP-6)'!$F$15,AR36*R36),IF(C36="LP-7",IF('Limestone Plant (LP-7)'!$F$15&gt;0,'Limestone Plant (LP-7)'!$F$15,AR36*R36),IF(C36="LP-8",IF('Limestone Plant (LP-8)'!$F$15&gt;0,'Limestone Plant (LP-8)'!$F$15,AR36*R36),IF(C36="LP-9",IF('Limestone Plant (LP-9)'!$F$15&gt;0,'Limestone Plant (LP-9)'!$F$15,AR36*R36),IF(C36="LP-10",IF('Limestone Plant (LP-10)'!$F$15&gt;0,'Limestone Plant (LP-10)'!$F$15,AR36*R36))))))))))))</f>
        <v/>
      </c>
      <c r="AT36" s="48" t="str">
        <f t="shared" si="44"/>
        <v/>
      </c>
      <c r="AU36" s="48" t="str">
        <f t="shared" si="45"/>
        <v/>
      </c>
      <c r="AV36" s="48" t="str">
        <f>IF(F36="","",IF(B36="no",'Emission Factors'!$P$43,'Emission Factors'!$P$44))</f>
        <v/>
      </c>
      <c r="AW36" s="48" t="str">
        <f t="shared" si="46"/>
        <v/>
      </c>
      <c r="AX36" s="48" t="str">
        <f t="shared" si="47"/>
        <v/>
      </c>
      <c r="AY36" s="48" t="str">
        <f t="shared" si="48"/>
        <v/>
      </c>
      <c r="AZ36" s="48" t="str">
        <f>IF(F36="","",IF(B36="no",'Emission Factors'!$R$43,'Emission Factors'!$R$44))</f>
        <v/>
      </c>
      <c r="BA36" s="48" t="str">
        <f t="shared" si="49"/>
        <v/>
      </c>
      <c r="BB36" s="48" t="str">
        <f t="shared" si="50"/>
        <v/>
      </c>
      <c r="BC36" s="48" t="str">
        <f t="shared" si="51"/>
        <v/>
      </c>
    </row>
    <row r="37" spans="1:55" x14ac:dyDescent="0.25">
      <c r="A37" s="6" t="str">
        <f>IF('Facility Information'!$C$21&gt;6,"LP-7","")</f>
        <v/>
      </c>
      <c r="B37" s="6" t="str">
        <f t="shared" si="29"/>
        <v>no</v>
      </c>
      <c r="C37" s="44"/>
      <c r="D37" s="44"/>
      <c r="E37" s="44"/>
      <c r="F37" s="45"/>
      <c r="G37" s="44"/>
      <c r="H37" s="46"/>
      <c r="I37" s="46"/>
      <c r="J37" s="147"/>
      <c r="K37" s="46">
        <f t="shared" si="5"/>
        <v>1</v>
      </c>
      <c r="L37" s="46"/>
      <c r="M37" s="46"/>
      <c r="N37" s="46"/>
      <c r="O37" s="46"/>
      <c r="P37" s="46"/>
      <c r="Q37" s="46"/>
      <c r="R37" s="49" t="str">
        <f t="shared" si="30"/>
        <v/>
      </c>
      <c r="S37" s="46"/>
      <c r="T37" s="48" t="str">
        <f t="shared" si="31"/>
        <v/>
      </c>
      <c r="U37" s="170"/>
      <c r="V37" s="170">
        <f t="shared" si="32"/>
        <v>0</v>
      </c>
      <c r="W37" s="170" t="str">
        <f t="shared" si="33"/>
        <v/>
      </c>
      <c r="X37" s="48" t="str">
        <f>IF(F37="","",IF(B37="no",'Emission Factors'!$D$43,'Emission Factors'!$D$44))</f>
        <v/>
      </c>
      <c r="Y37" s="48" t="str">
        <f t="shared" si="34"/>
        <v/>
      </c>
      <c r="Z37" s="48" t="str">
        <f t="shared" si="35"/>
        <v/>
      </c>
      <c r="AA37" s="48" t="str">
        <f t="shared" si="36"/>
        <v/>
      </c>
      <c r="AB37" s="48" t="str">
        <f>IF(F37="","",IF(B37="no",'Emission Factors'!$F$43,'Emission Factors'!$F$44))</f>
        <v/>
      </c>
      <c r="AC37" s="48" t="str">
        <f t="shared" si="37"/>
        <v/>
      </c>
      <c r="AD37" s="48" t="str">
        <f t="shared" si="38"/>
        <v/>
      </c>
      <c r="AE37" s="48" t="str">
        <f t="shared" si="39"/>
        <v/>
      </c>
      <c r="AF37" s="48" t="str">
        <f>IF(F37="","",IF(B37="no",'Emission Factors'!$H$43,'Emission Factors'!$H$44))</f>
        <v/>
      </c>
      <c r="AG37" s="48" t="str">
        <f>IF(F37="","",IF(C37="LP-1",IF('Limestone Plant (LP-1)'!$F$12&gt;0,'Limestone Plant (LP-1)'!$F$12,AF37*R37*K37),IF(C37="LP-2",IF('Limestone Plant (LP-2)'!$F$12&gt;0,'Limestone Plant (LP-2)'!$F$12,AF37*R37*K37),IF(C37="LP-3",IF('Limestone Plant (LP-3)'!$F$12&gt;0,'Limestone Plant (LP-3)'!$F$12,AF37*R37*K37),IF(C37="LP-4",IF('Limestone Plant (LP-4)'!$F$12&gt;0,'Limestone Plant (LP-4)'!$F$12,AF37*R37*K37),IF(C37="LP-5",IF('Limestone Plant (LP-5)'!$F$12&gt;0,'Limestone Plant (LP-5)'!$F$12,AF37*R37*K37),IF(C37="LP-6",IF('Limestone Plant (LP-6)'!$F$12&gt;0,'Limestone Plant (LP-6)'!$F$12,AF37*R37*K37),IF(C37="LP-7",IF('Limestone Plant (LP-7)'!$F$12&gt;0,'Limestone Plant (LP-7)'!$F$12,AF37*R37*K37),IF(C37="LP-8",IF('Limestone Plant (LP-8)'!$F$12&gt;0,'Limestone Plant (LP-8)'!$F$12,AF37*R37*K37),IF(C37="LP-9",IF('Limestone Plant (LP-9)'!$F$12&gt;0,'Limestone Plant (LP-9)'!$F$12,AF37*R37*K37),IF(C37="LP-10",IF('Limestone Plant (LP-10)'!$F$12&gt;0,'Limestone Plant (LP-10)'!$F$12,AF37*R37*K37))))))))))))</f>
        <v/>
      </c>
      <c r="AH37" s="48" t="str">
        <f t="shared" si="12"/>
        <v/>
      </c>
      <c r="AI37" s="48" t="str">
        <f t="shared" si="13"/>
        <v/>
      </c>
      <c r="AJ37" s="48" t="str">
        <f>IF(F37="","",IF(B37="no",'Emission Factors'!$J$43,'Emission Factors'!$J$44))</f>
        <v/>
      </c>
      <c r="AK37" s="48" t="str">
        <f>IF(F37="","",IF(C37="LP-1",IF('Limestone Plant (LP-1)'!$F$13&gt;0,'Limestone Plant (LP-1)'!$F$13,AJ37*R37),IF(C37="LP-2",IF('Limestone Plant (LP-2)'!$F$13&gt;0,'Limestone Plant (LP-2)'!$F$13,AJ37*R37),IF(C37="LP-3",IF('Limestone Plant (LP-3)'!$F$13&gt;0,'Limestone Plant (LP-3)'!$F$13,AJ37*R37),IF(C37="LP-4",IF('Limestone Plant (LP-4)'!$F$13&gt;0,'Limestone Plant (LP-4)'!$F$13,AJ37*R37),IF(C37="LP-5",IF('Limestone Plant (LP-5)'!$F$13&gt;0,'Limestone Plant (LP-5)'!$F$13,AJ37*R37),IF(C37="LP-6",IF('Limestone Plant (LP-6)'!$F$13&gt;0,'Limestone Plant (LP-6)'!$F$13,AJ37*R37),IF(C37="LP-7",IF('Limestone Plant (LP-7)'!$F$13&gt;0,'Limestone Plant (LP-7)'!$F$13,AJ37*R37),IF(C37="LP-8",IF('Limestone Plant (LP-8)'!$F$13&gt;0,'Limestone Plant (LP-8)'!$F$13,AJ37*R37),IF(C37="LP-9",IF('Limestone Plant (LP-9)'!$F$13&gt;0,'Limestone Plant (LP-9)'!$F$13,AJ37*R37),IF(C37="LP-10",IF('Limestone Plant (LP-10)'!$F$13&gt;0,'Limestone Plant (LP-10)'!$F$13,AJ37*R37))))))))))))</f>
        <v/>
      </c>
      <c r="AL37" s="48" t="str">
        <f t="shared" si="40"/>
        <v/>
      </c>
      <c r="AM37" s="48" t="str">
        <f t="shared" si="41"/>
        <v/>
      </c>
      <c r="AN37" s="48" t="str">
        <f>IF(F37="","",IF(B37="no",'Emission Factors'!$L$43,'Emission Factors'!$L$44))</f>
        <v/>
      </c>
      <c r="AO37" s="48" t="str">
        <f>IF(F37="","",IF(C37="LP-1",IF('Limestone Plant (LP-1)'!$F$14&gt;0,'Limestone Plant (LP-1)'!$F$14,AN37*R37),IF(C37="LP-2",IF('Limestone Plant (LP-2)'!$F$14&gt;0,'Limestone Plant (LP-2)'!$F$14,AN37*R37),IF(C37="LP-3",IF('Limestone Plant (LP-3)'!$F$14&gt;0,'Limestone Plant (LP-3)'!$F$14,AN37*R37),IF(C37="LP-4",IF('Limestone Plant (LP-4)'!$F$14&gt;0,'Limestone Plant (LP-4)'!$F$14,AN37*R37),IF(C37="LP-5",IF('Limestone Plant (LP-5)'!$F$14&gt;0,'Limestone Plant (LP-5)'!$F$14,AN37*R37),IF(C37="LP-6",IF('Limestone Plant (LP-6)'!$F$14&gt;0,'Limestone Plant (LP-6)'!$F$14,AN37*R37),IF(C37="LP-7",IF('Limestone Plant (LP-7)'!$F$14&gt;0,'Limestone Plant (LP-7)'!$F$14,AN37*R37),IF(C37="LP-8",IF('Limestone Plant (LP-8)'!$F$14&gt;0,'Limestone Plant (LP-8)'!$F$14,AN37*R37),IF(C37="LP-9",IF('Limestone Plant (LP-9)'!$F$14&gt;0,'Limestone Plant (LP-9)'!$F$14,AN37*R37),IF(C37="LP-10",IF('Limestone Plant (LP-10)'!$F$14&gt;0,'Limestone Plant (LP-10)'!$F$14,AN37*R37))))))))))))</f>
        <v/>
      </c>
      <c r="AP37" s="48" t="str">
        <f t="shared" si="42"/>
        <v/>
      </c>
      <c r="AQ37" s="48" t="str">
        <f t="shared" si="43"/>
        <v/>
      </c>
      <c r="AR37" s="48" t="str">
        <f>IF(F37="","",IF(B37="no",'Emission Factors'!$N$43,'Emission Factors'!$N$44))</f>
        <v/>
      </c>
      <c r="AS37" s="48" t="str">
        <f>IF(F37="","",IF(C37="LP-1",IF('Limestone Plant (LP-1)'!$F$15&gt;0,'Limestone Plant (LP-1)'!$F$15,AR37*R37),IF(C37="LP-2",IF('Limestone Plant (LP-2)'!$F$15&gt;0,'Limestone Plant (LP-2)'!$F$15,AR37*R37),IF(C37="LP-3",IF('Limestone Plant (LP-3)'!$F$15&gt;0,'Limestone Plant (LP-3)'!$F$15,AR37*R37),IF(C37="LP-4",IF('Limestone Plant (LP-4)'!$F$15&gt;0,'Limestone Plant (LP-4)'!$F$15,AR37*R37),IF(C37="LP-5",IF('Limestone Plant (LP-5)'!$F$15&gt;0,'Limestone Plant (LP-5)'!$F$15,AR37*R37),IF(C37="LP-6",IF('Limestone Plant (LP-6)'!$F$15&gt;0,'Limestone Plant (LP-6)'!$F$15,AR37*R37),IF(C37="LP-7",IF('Limestone Plant (LP-7)'!$F$15&gt;0,'Limestone Plant (LP-7)'!$F$15,AR37*R37),IF(C37="LP-8",IF('Limestone Plant (LP-8)'!$F$15&gt;0,'Limestone Plant (LP-8)'!$F$15,AR37*R37),IF(C37="LP-9",IF('Limestone Plant (LP-9)'!$F$15&gt;0,'Limestone Plant (LP-9)'!$F$15,AR37*R37),IF(C37="LP-10",IF('Limestone Plant (LP-10)'!$F$15&gt;0,'Limestone Plant (LP-10)'!$F$15,AR37*R37))))))))))))</f>
        <v/>
      </c>
      <c r="AT37" s="48" t="str">
        <f t="shared" si="44"/>
        <v/>
      </c>
      <c r="AU37" s="48" t="str">
        <f t="shared" si="45"/>
        <v/>
      </c>
      <c r="AV37" s="48" t="str">
        <f>IF(F37="","",IF(B37="no",'Emission Factors'!$P$43,'Emission Factors'!$P$44))</f>
        <v/>
      </c>
      <c r="AW37" s="48" t="str">
        <f t="shared" si="46"/>
        <v/>
      </c>
      <c r="AX37" s="48" t="str">
        <f t="shared" si="47"/>
        <v/>
      </c>
      <c r="AY37" s="48" t="str">
        <f t="shared" si="48"/>
        <v/>
      </c>
      <c r="AZ37" s="48" t="str">
        <f>IF(F37="","",IF(B37="no",'Emission Factors'!$R$43,'Emission Factors'!$R$44))</f>
        <v/>
      </c>
      <c r="BA37" s="48" t="str">
        <f t="shared" si="49"/>
        <v/>
      </c>
      <c r="BB37" s="48" t="str">
        <f t="shared" si="50"/>
        <v/>
      </c>
      <c r="BC37" s="48" t="str">
        <f t="shared" si="51"/>
        <v/>
      </c>
    </row>
    <row r="38" spans="1:55" x14ac:dyDescent="0.25">
      <c r="A38" s="6" t="str">
        <f>IF('Facility Information'!$C$21&gt;7,"LP-8","")</f>
        <v/>
      </c>
      <c r="B38" s="6" t="str">
        <f t="shared" si="29"/>
        <v>no</v>
      </c>
      <c r="C38" s="44"/>
      <c r="D38" s="44"/>
      <c r="E38" s="44"/>
      <c r="F38" s="45"/>
      <c r="G38" s="44"/>
      <c r="H38" s="46"/>
      <c r="I38" s="46"/>
      <c r="J38" s="147"/>
      <c r="K38" s="46">
        <f t="shared" si="5"/>
        <v>1</v>
      </c>
      <c r="L38" s="46"/>
      <c r="M38" s="46"/>
      <c r="N38" s="46"/>
      <c r="O38" s="46"/>
      <c r="P38" s="46"/>
      <c r="Q38" s="46"/>
      <c r="R38" s="49" t="str">
        <f t="shared" si="30"/>
        <v/>
      </c>
      <c r="S38" s="46"/>
      <c r="T38" s="48" t="str">
        <f t="shared" si="31"/>
        <v/>
      </c>
      <c r="U38" s="170"/>
      <c r="V38" s="170">
        <f t="shared" si="32"/>
        <v>0</v>
      </c>
      <c r="W38" s="170" t="str">
        <f t="shared" si="33"/>
        <v/>
      </c>
      <c r="X38" s="48" t="str">
        <f>IF(F38="","",IF(B38="no",'Emission Factors'!$D$43,'Emission Factors'!$D$44))</f>
        <v/>
      </c>
      <c r="Y38" s="48" t="str">
        <f t="shared" si="34"/>
        <v/>
      </c>
      <c r="Z38" s="48" t="str">
        <f t="shared" si="35"/>
        <v/>
      </c>
      <c r="AA38" s="48" t="str">
        <f t="shared" si="36"/>
        <v/>
      </c>
      <c r="AB38" s="48" t="str">
        <f>IF(F38="","",IF(B38="no",'Emission Factors'!$F$43,'Emission Factors'!$F$44))</f>
        <v/>
      </c>
      <c r="AC38" s="48" t="str">
        <f t="shared" si="37"/>
        <v/>
      </c>
      <c r="AD38" s="48" t="str">
        <f t="shared" si="38"/>
        <v/>
      </c>
      <c r="AE38" s="48" t="str">
        <f t="shared" si="39"/>
        <v/>
      </c>
      <c r="AF38" s="48" t="str">
        <f>IF(F38="","",IF(B38="no",'Emission Factors'!$H$43,'Emission Factors'!$H$44))</f>
        <v/>
      </c>
      <c r="AG38" s="48" t="str">
        <f>IF(F38="","",IF(C38="LP-1",IF('Limestone Plant (LP-1)'!$F$12&gt;0,'Limestone Plant (LP-1)'!$F$12,AF38*R38*K38),IF(C38="LP-2",IF('Limestone Plant (LP-2)'!$F$12&gt;0,'Limestone Plant (LP-2)'!$F$12,AF38*R38*K38),IF(C38="LP-3",IF('Limestone Plant (LP-3)'!$F$12&gt;0,'Limestone Plant (LP-3)'!$F$12,AF38*R38*K38),IF(C38="LP-4",IF('Limestone Plant (LP-4)'!$F$12&gt;0,'Limestone Plant (LP-4)'!$F$12,AF38*R38*K38),IF(C38="LP-5",IF('Limestone Plant (LP-5)'!$F$12&gt;0,'Limestone Plant (LP-5)'!$F$12,AF38*R38*K38),IF(C38="LP-6",IF('Limestone Plant (LP-6)'!$F$12&gt;0,'Limestone Plant (LP-6)'!$F$12,AF38*R38*K38),IF(C38="LP-7",IF('Limestone Plant (LP-7)'!$F$12&gt;0,'Limestone Plant (LP-7)'!$F$12,AF38*R38*K38),IF(C38="LP-8",IF('Limestone Plant (LP-8)'!$F$12&gt;0,'Limestone Plant (LP-8)'!$F$12,AF38*R38*K38),IF(C38="LP-9",IF('Limestone Plant (LP-9)'!$F$12&gt;0,'Limestone Plant (LP-9)'!$F$12,AF38*R38*K38),IF(C38="LP-10",IF('Limestone Plant (LP-10)'!$F$12&gt;0,'Limestone Plant (LP-10)'!$F$12,AF38*R38*K38))))))))))))</f>
        <v/>
      </c>
      <c r="AH38" s="48" t="str">
        <f t="shared" si="12"/>
        <v/>
      </c>
      <c r="AI38" s="48" t="str">
        <f t="shared" si="13"/>
        <v/>
      </c>
      <c r="AJ38" s="48" t="str">
        <f>IF(F38="","",IF(B38="no",'Emission Factors'!$J$43,'Emission Factors'!$J$44))</f>
        <v/>
      </c>
      <c r="AK38" s="48" t="str">
        <f>IF(F38="","",IF(C38="LP-1",IF('Limestone Plant (LP-1)'!$F$13&gt;0,'Limestone Plant (LP-1)'!$F$13,AJ38*R38),IF(C38="LP-2",IF('Limestone Plant (LP-2)'!$F$13&gt;0,'Limestone Plant (LP-2)'!$F$13,AJ38*R38),IF(C38="LP-3",IF('Limestone Plant (LP-3)'!$F$13&gt;0,'Limestone Plant (LP-3)'!$F$13,AJ38*R38),IF(C38="LP-4",IF('Limestone Plant (LP-4)'!$F$13&gt;0,'Limestone Plant (LP-4)'!$F$13,AJ38*R38),IF(C38="LP-5",IF('Limestone Plant (LP-5)'!$F$13&gt;0,'Limestone Plant (LP-5)'!$F$13,AJ38*R38),IF(C38="LP-6",IF('Limestone Plant (LP-6)'!$F$13&gt;0,'Limestone Plant (LP-6)'!$F$13,AJ38*R38),IF(C38="LP-7",IF('Limestone Plant (LP-7)'!$F$13&gt;0,'Limestone Plant (LP-7)'!$F$13,AJ38*R38),IF(C38="LP-8",IF('Limestone Plant (LP-8)'!$F$13&gt;0,'Limestone Plant (LP-8)'!$F$13,AJ38*R38),IF(C38="LP-9",IF('Limestone Plant (LP-9)'!$F$13&gt;0,'Limestone Plant (LP-9)'!$F$13,AJ38*R38),IF(C38="LP-10",IF('Limestone Plant (LP-10)'!$F$13&gt;0,'Limestone Plant (LP-10)'!$F$13,AJ38*R38))))))))))))</f>
        <v/>
      </c>
      <c r="AL38" s="48" t="str">
        <f t="shared" si="40"/>
        <v/>
      </c>
      <c r="AM38" s="48" t="str">
        <f t="shared" si="41"/>
        <v/>
      </c>
      <c r="AN38" s="48" t="str">
        <f>IF(F38="","",IF(B38="no",'Emission Factors'!$L$43,'Emission Factors'!$L$44))</f>
        <v/>
      </c>
      <c r="AO38" s="48" t="str">
        <f>IF(F38="","",IF(C38="LP-1",IF('Limestone Plant (LP-1)'!$F$14&gt;0,'Limestone Plant (LP-1)'!$F$14,AN38*R38),IF(C38="LP-2",IF('Limestone Plant (LP-2)'!$F$14&gt;0,'Limestone Plant (LP-2)'!$F$14,AN38*R38),IF(C38="LP-3",IF('Limestone Plant (LP-3)'!$F$14&gt;0,'Limestone Plant (LP-3)'!$F$14,AN38*R38),IF(C38="LP-4",IF('Limestone Plant (LP-4)'!$F$14&gt;0,'Limestone Plant (LP-4)'!$F$14,AN38*R38),IF(C38="LP-5",IF('Limestone Plant (LP-5)'!$F$14&gt;0,'Limestone Plant (LP-5)'!$F$14,AN38*R38),IF(C38="LP-6",IF('Limestone Plant (LP-6)'!$F$14&gt;0,'Limestone Plant (LP-6)'!$F$14,AN38*R38),IF(C38="LP-7",IF('Limestone Plant (LP-7)'!$F$14&gt;0,'Limestone Plant (LP-7)'!$F$14,AN38*R38),IF(C38="LP-8",IF('Limestone Plant (LP-8)'!$F$14&gt;0,'Limestone Plant (LP-8)'!$F$14,AN38*R38),IF(C38="LP-9",IF('Limestone Plant (LP-9)'!$F$14&gt;0,'Limestone Plant (LP-9)'!$F$14,AN38*R38),IF(C38="LP-10",IF('Limestone Plant (LP-10)'!$F$14&gt;0,'Limestone Plant (LP-10)'!$F$14,AN38*R38))))))))))))</f>
        <v/>
      </c>
      <c r="AP38" s="48" t="str">
        <f t="shared" si="42"/>
        <v/>
      </c>
      <c r="AQ38" s="48" t="str">
        <f t="shared" si="43"/>
        <v/>
      </c>
      <c r="AR38" s="48" t="str">
        <f>IF(F38="","",IF(B38="no",'Emission Factors'!$N$43,'Emission Factors'!$N$44))</f>
        <v/>
      </c>
      <c r="AS38" s="48" t="str">
        <f>IF(F38="","",IF(C38="LP-1",IF('Limestone Plant (LP-1)'!$F$15&gt;0,'Limestone Plant (LP-1)'!$F$15,AR38*R38),IF(C38="LP-2",IF('Limestone Plant (LP-2)'!$F$15&gt;0,'Limestone Plant (LP-2)'!$F$15,AR38*R38),IF(C38="LP-3",IF('Limestone Plant (LP-3)'!$F$15&gt;0,'Limestone Plant (LP-3)'!$F$15,AR38*R38),IF(C38="LP-4",IF('Limestone Plant (LP-4)'!$F$15&gt;0,'Limestone Plant (LP-4)'!$F$15,AR38*R38),IF(C38="LP-5",IF('Limestone Plant (LP-5)'!$F$15&gt;0,'Limestone Plant (LP-5)'!$F$15,AR38*R38),IF(C38="LP-6",IF('Limestone Plant (LP-6)'!$F$15&gt;0,'Limestone Plant (LP-6)'!$F$15,AR38*R38),IF(C38="LP-7",IF('Limestone Plant (LP-7)'!$F$15&gt;0,'Limestone Plant (LP-7)'!$F$15,AR38*R38),IF(C38="LP-8",IF('Limestone Plant (LP-8)'!$F$15&gt;0,'Limestone Plant (LP-8)'!$F$15,AR38*R38),IF(C38="LP-9",IF('Limestone Plant (LP-9)'!$F$15&gt;0,'Limestone Plant (LP-9)'!$F$15,AR38*R38),IF(C38="LP-10",IF('Limestone Plant (LP-10)'!$F$15&gt;0,'Limestone Plant (LP-10)'!$F$15,AR38*R38))))))))))))</f>
        <v/>
      </c>
      <c r="AT38" s="48" t="str">
        <f t="shared" si="44"/>
        <v/>
      </c>
      <c r="AU38" s="48" t="str">
        <f t="shared" si="45"/>
        <v/>
      </c>
      <c r="AV38" s="48" t="str">
        <f>IF(F38="","",IF(B38="no",'Emission Factors'!$P$43,'Emission Factors'!$P$44))</f>
        <v/>
      </c>
      <c r="AW38" s="48" t="str">
        <f t="shared" si="46"/>
        <v/>
      </c>
      <c r="AX38" s="48" t="str">
        <f t="shared" si="47"/>
        <v/>
      </c>
      <c r="AY38" s="48" t="str">
        <f t="shared" si="48"/>
        <v/>
      </c>
      <c r="AZ38" s="48" t="str">
        <f>IF(F38="","",IF(B38="no",'Emission Factors'!$R$43,'Emission Factors'!$R$44))</f>
        <v/>
      </c>
      <c r="BA38" s="48" t="str">
        <f t="shared" si="49"/>
        <v/>
      </c>
      <c r="BB38" s="48" t="str">
        <f t="shared" si="50"/>
        <v/>
      </c>
      <c r="BC38" s="48" t="str">
        <f t="shared" si="51"/>
        <v/>
      </c>
    </row>
    <row r="39" spans="1:55" x14ac:dyDescent="0.25">
      <c r="A39" s="6" t="str">
        <f>IF('Facility Information'!$C$21&gt;8,"LP-9","")</f>
        <v/>
      </c>
      <c r="B39" s="6" t="str">
        <f t="shared" si="29"/>
        <v>no</v>
      </c>
      <c r="C39" s="44"/>
      <c r="D39" s="44"/>
      <c r="E39" s="44"/>
      <c r="F39" s="45"/>
      <c r="G39" s="44"/>
      <c r="H39" s="46"/>
      <c r="I39" s="46"/>
      <c r="J39" s="147"/>
      <c r="K39" s="46">
        <f t="shared" si="5"/>
        <v>1</v>
      </c>
      <c r="L39" s="46"/>
      <c r="M39" s="46"/>
      <c r="N39" s="46"/>
      <c r="O39" s="46"/>
      <c r="P39" s="46"/>
      <c r="Q39" s="46"/>
      <c r="R39" s="49" t="str">
        <f t="shared" si="30"/>
        <v/>
      </c>
      <c r="S39" s="46"/>
      <c r="T39" s="48" t="str">
        <f t="shared" si="31"/>
        <v/>
      </c>
      <c r="U39" s="170"/>
      <c r="V39" s="170">
        <f t="shared" si="32"/>
        <v>0</v>
      </c>
      <c r="W39" s="170" t="str">
        <f t="shared" si="33"/>
        <v/>
      </c>
      <c r="X39" s="48" t="str">
        <f>IF(F39="","",IF(B39="no",'Emission Factors'!$D$43,'Emission Factors'!$D$44))</f>
        <v/>
      </c>
      <c r="Y39" s="48" t="str">
        <f t="shared" si="34"/>
        <v/>
      </c>
      <c r="Z39" s="48" t="str">
        <f t="shared" si="35"/>
        <v/>
      </c>
      <c r="AA39" s="48" t="str">
        <f t="shared" si="36"/>
        <v/>
      </c>
      <c r="AB39" s="48" t="str">
        <f>IF(F39="","",IF(B39="no",'Emission Factors'!$F$43,'Emission Factors'!$F$44))</f>
        <v/>
      </c>
      <c r="AC39" s="48" t="str">
        <f t="shared" si="37"/>
        <v/>
      </c>
      <c r="AD39" s="48" t="str">
        <f t="shared" si="38"/>
        <v/>
      </c>
      <c r="AE39" s="48" t="str">
        <f t="shared" si="39"/>
        <v/>
      </c>
      <c r="AF39" s="48" t="str">
        <f>IF(F39="","",IF(B39="no",'Emission Factors'!$H$43,'Emission Factors'!$H$44))</f>
        <v/>
      </c>
      <c r="AG39" s="48" t="str">
        <f>IF(F39="","",IF(C39="LP-1",IF('Limestone Plant (LP-1)'!$F$12&gt;0,'Limestone Plant (LP-1)'!$F$12,AF39*R39*K39),IF(C39="LP-2",IF('Limestone Plant (LP-2)'!$F$12&gt;0,'Limestone Plant (LP-2)'!$F$12,AF39*R39*K39),IF(C39="LP-3",IF('Limestone Plant (LP-3)'!$F$12&gt;0,'Limestone Plant (LP-3)'!$F$12,AF39*R39*K39),IF(C39="LP-4",IF('Limestone Plant (LP-4)'!$F$12&gt;0,'Limestone Plant (LP-4)'!$F$12,AF39*R39*K39),IF(C39="LP-5",IF('Limestone Plant (LP-5)'!$F$12&gt;0,'Limestone Plant (LP-5)'!$F$12,AF39*R39*K39),IF(C39="LP-6",IF('Limestone Plant (LP-6)'!$F$12&gt;0,'Limestone Plant (LP-6)'!$F$12,AF39*R39*K39),IF(C39="LP-7",IF('Limestone Plant (LP-7)'!$F$12&gt;0,'Limestone Plant (LP-7)'!$F$12,AF39*R39*K39),IF(C39="LP-8",IF('Limestone Plant (LP-8)'!$F$12&gt;0,'Limestone Plant (LP-8)'!$F$12,AF39*R39*K39),IF(C39="LP-9",IF('Limestone Plant (LP-9)'!$F$12&gt;0,'Limestone Plant (LP-9)'!$F$12,AF39*R39*K39),IF(C39="LP-10",IF('Limestone Plant (LP-10)'!$F$12&gt;0,'Limestone Plant (LP-10)'!$F$12,AF39*R39*K39))))))))))))</f>
        <v/>
      </c>
      <c r="AH39" s="48" t="str">
        <f t="shared" si="12"/>
        <v/>
      </c>
      <c r="AI39" s="48" t="str">
        <f t="shared" si="13"/>
        <v/>
      </c>
      <c r="AJ39" s="48" t="str">
        <f>IF(F39="","",IF(B39="no",'Emission Factors'!$J$43,'Emission Factors'!$J$44))</f>
        <v/>
      </c>
      <c r="AK39" s="48" t="str">
        <f>IF(F39="","",IF(C39="LP-1",IF('Limestone Plant (LP-1)'!$F$13&gt;0,'Limestone Plant (LP-1)'!$F$13,AJ39*R39),IF(C39="LP-2",IF('Limestone Plant (LP-2)'!$F$13&gt;0,'Limestone Plant (LP-2)'!$F$13,AJ39*R39),IF(C39="LP-3",IF('Limestone Plant (LP-3)'!$F$13&gt;0,'Limestone Plant (LP-3)'!$F$13,AJ39*R39),IF(C39="LP-4",IF('Limestone Plant (LP-4)'!$F$13&gt;0,'Limestone Plant (LP-4)'!$F$13,AJ39*R39),IF(C39="LP-5",IF('Limestone Plant (LP-5)'!$F$13&gt;0,'Limestone Plant (LP-5)'!$F$13,AJ39*R39),IF(C39="LP-6",IF('Limestone Plant (LP-6)'!$F$13&gt;0,'Limestone Plant (LP-6)'!$F$13,AJ39*R39),IF(C39="LP-7",IF('Limestone Plant (LP-7)'!$F$13&gt;0,'Limestone Plant (LP-7)'!$F$13,AJ39*R39),IF(C39="LP-8",IF('Limestone Plant (LP-8)'!$F$13&gt;0,'Limestone Plant (LP-8)'!$F$13,AJ39*R39),IF(C39="LP-9",IF('Limestone Plant (LP-9)'!$F$13&gt;0,'Limestone Plant (LP-9)'!$F$13,AJ39*R39),IF(C39="LP-10",IF('Limestone Plant (LP-10)'!$F$13&gt;0,'Limestone Plant (LP-10)'!$F$13,AJ39*R39))))))))))))</f>
        <v/>
      </c>
      <c r="AL39" s="48" t="str">
        <f t="shared" si="40"/>
        <v/>
      </c>
      <c r="AM39" s="48" t="str">
        <f t="shared" si="41"/>
        <v/>
      </c>
      <c r="AN39" s="48" t="str">
        <f>IF(F39="","",IF(B39="no",'Emission Factors'!$L$43,'Emission Factors'!$L$44))</f>
        <v/>
      </c>
      <c r="AO39" s="48" t="str">
        <f>IF(F39="","",IF(C39="LP-1",IF('Limestone Plant (LP-1)'!$F$14&gt;0,'Limestone Plant (LP-1)'!$F$14,AN39*R39),IF(C39="LP-2",IF('Limestone Plant (LP-2)'!$F$14&gt;0,'Limestone Plant (LP-2)'!$F$14,AN39*R39),IF(C39="LP-3",IF('Limestone Plant (LP-3)'!$F$14&gt;0,'Limestone Plant (LP-3)'!$F$14,AN39*R39),IF(C39="LP-4",IF('Limestone Plant (LP-4)'!$F$14&gt;0,'Limestone Plant (LP-4)'!$F$14,AN39*R39),IF(C39="LP-5",IF('Limestone Plant (LP-5)'!$F$14&gt;0,'Limestone Plant (LP-5)'!$F$14,AN39*R39),IF(C39="LP-6",IF('Limestone Plant (LP-6)'!$F$14&gt;0,'Limestone Plant (LP-6)'!$F$14,AN39*R39),IF(C39="LP-7",IF('Limestone Plant (LP-7)'!$F$14&gt;0,'Limestone Plant (LP-7)'!$F$14,AN39*R39),IF(C39="LP-8",IF('Limestone Plant (LP-8)'!$F$14&gt;0,'Limestone Plant (LP-8)'!$F$14,AN39*R39),IF(C39="LP-9",IF('Limestone Plant (LP-9)'!$F$14&gt;0,'Limestone Plant (LP-9)'!$F$14,AN39*R39),IF(C39="LP-10",IF('Limestone Plant (LP-10)'!$F$14&gt;0,'Limestone Plant (LP-10)'!$F$14,AN39*R39))))))))))))</f>
        <v/>
      </c>
      <c r="AP39" s="48" t="str">
        <f t="shared" si="42"/>
        <v/>
      </c>
      <c r="AQ39" s="48" t="str">
        <f t="shared" si="43"/>
        <v/>
      </c>
      <c r="AR39" s="48" t="str">
        <f>IF(F39="","",IF(B39="no",'Emission Factors'!$N$43,'Emission Factors'!$N$44))</f>
        <v/>
      </c>
      <c r="AS39" s="48" t="str">
        <f>IF(F39="","",IF(C39="LP-1",IF('Limestone Plant (LP-1)'!$F$15&gt;0,'Limestone Plant (LP-1)'!$F$15,AR39*R39),IF(C39="LP-2",IF('Limestone Plant (LP-2)'!$F$15&gt;0,'Limestone Plant (LP-2)'!$F$15,AR39*R39),IF(C39="LP-3",IF('Limestone Plant (LP-3)'!$F$15&gt;0,'Limestone Plant (LP-3)'!$F$15,AR39*R39),IF(C39="LP-4",IF('Limestone Plant (LP-4)'!$F$15&gt;0,'Limestone Plant (LP-4)'!$F$15,AR39*R39),IF(C39="LP-5",IF('Limestone Plant (LP-5)'!$F$15&gt;0,'Limestone Plant (LP-5)'!$F$15,AR39*R39),IF(C39="LP-6",IF('Limestone Plant (LP-6)'!$F$15&gt;0,'Limestone Plant (LP-6)'!$F$15,AR39*R39),IF(C39="LP-7",IF('Limestone Plant (LP-7)'!$F$15&gt;0,'Limestone Plant (LP-7)'!$F$15,AR39*R39),IF(C39="LP-8",IF('Limestone Plant (LP-8)'!$F$15&gt;0,'Limestone Plant (LP-8)'!$F$15,AR39*R39),IF(C39="LP-9",IF('Limestone Plant (LP-9)'!$F$15&gt;0,'Limestone Plant (LP-9)'!$F$15,AR39*R39),IF(C39="LP-10",IF('Limestone Plant (LP-10)'!$F$15&gt;0,'Limestone Plant (LP-10)'!$F$15,AR39*R39))))))))))))</f>
        <v/>
      </c>
      <c r="AT39" s="48" t="str">
        <f t="shared" si="44"/>
        <v/>
      </c>
      <c r="AU39" s="48" t="str">
        <f t="shared" si="45"/>
        <v/>
      </c>
      <c r="AV39" s="48" t="str">
        <f>IF(F39="","",IF(B39="no",'Emission Factors'!$P$43,'Emission Factors'!$P$44))</f>
        <v/>
      </c>
      <c r="AW39" s="48" t="str">
        <f t="shared" si="46"/>
        <v/>
      </c>
      <c r="AX39" s="48" t="str">
        <f t="shared" si="47"/>
        <v/>
      </c>
      <c r="AY39" s="48" t="str">
        <f t="shared" si="48"/>
        <v/>
      </c>
      <c r="AZ39" s="48" t="str">
        <f>IF(F39="","",IF(B39="no",'Emission Factors'!$R$43,'Emission Factors'!$R$44))</f>
        <v/>
      </c>
      <c r="BA39" s="48" t="str">
        <f t="shared" si="49"/>
        <v/>
      </c>
      <c r="BB39" s="48" t="str">
        <f t="shared" si="50"/>
        <v/>
      </c>
      <c r="BC39" s="48" t="str">
        <f t="shared" si="51"/>
        <v/>
      </c>
    </row>
    <row r="40" spans="1:55" x14ac:dyDescent="0.25">
      <c r="A40" s="6" t="str">
        <f>IF('Facility Information'!$C$21&gt;9,"LP-10","")</f>
        <v/>
      </c>
      <c r="B40" s="6" t="str">
        <f t="shared" si="29"/>
        <v>no</v>
      </c>
      <c r="C40" s="44"/>
      <c r="D40" s="44"/>
      <c r="E40" s="44"/>
      <c r="F40" s="45"/>
      <c r="G40" s="44"/>
      <c r="H40" s="46"/>
      <c r="I40" s="46"/>
      <c r="J40" s="147"/>
      <c r="K40" s="46">
        <f t="shared" si="5"/>
        <v>1</v>
      </c>
      <c r="L40" s="46"/>
      <c r="M40" s="46"/>
      <c r="N40" s="46"/>
      <c r="O40" s="46"/>
      <c r="P40" s="46"/>
      <c r="Q40" s="46"/>
      <c r="R40" s="49" t="str">
        <f t="shared" si="30"/>
        <v/>
      </c>
      <c r="S40" s="46"/>
      <c r="T40" s="48" t="str">
        <f t="shared" si="31"/>
        <v/>
      </c>
      <c r="U40" s="170"/>
      <c r="V40" s="170">
        <f t="shared" si="32"/>
        <v>0</v>
      </c>
      <c r="W40" s="170" t="str">
        <f t="shared" si="33"/>
        <v/>
      </c>
      <c r="X40" s="48" t="str">
        <f>IF(F40="","",IF(B40="no",'Emission Factors'!$D$43,'Emission Factors'!$D$44))</f>
        <v/>
      </c>
      <c r="Y40" s="48" t="str">
        <f t="shared" si="34"/>
        <v/>
      </c>
      <c r="Z40" s="48" t="str">
        <f t="shared" si="35"/>
        <v/>
      </c>
      <c r="AA40" s="48" t="str">
        <f t="shared" si="36"/>
        <v/>
      </c>
      <c r="AB40" s="48" t="str">
        <f>IF(F40="","",IF(B40="no",'Emission Factors'!$F$43,'Emission Factors'!$F$44))</f>
        <v/>
      </c>
      <c r="AC40" s="48" t="str">
        <f t="shared" si="37"/>
        <v/>
      </c>
      <c r="AD40" s="48" t="str">
        <f t="shared" si="38"/>
        <v/>
      </c>
      <c r="AE40" s="48" t="str">
        <f t="shared" si="39"/>
        <v/>
      </c>
      <c r="AF40" s="48" t="str">
        <f>IF(F40="","",IF(B40="no",'Emission Factors'!$H$43,'Emission Factors'!$H$44))</f>
        <v/>
      </c>
      <c r="AG40" s="48" t="str">
        <f>IF(F40="","",IF(C40="LP-1",IF('Limestone Plant (LP-1)'!$F$12&gt;0,'Limestone Plant (LP-1)'!$F$12,AF40*R40*K40),IF(C40="LP-2",IF('Limestone Plant (LP-2)'!$F$12&gt;0,'Limestone Plant (LP-2)'!$F$12,AF40*R40*K40),IF(C40="LP-3",IF('Limestone Plant (LP-3)'!$F$12&gt;0,'Limestone Plant (LP-3)'!$F$12,AF40*R40*K40),IF(C40="LP-4",IF('Limestone Plant (LP-4)'!$F$12&gt;0,'Limestone Plant (LP-4)'!$F$12,AF40*R40*K40),IF(C40="LP-5",IF('Limestone Plant (LP-5)'!$F$12&gt;0,'Limestone Plant (LP-5)'!$F$12,AF40*R40*K40),IF(C40="LP-6",IF('Limestone Plant (LP-6)'!$F$12&gt;0,'Limestone Plant (LP-6)'!$F$12,AF40*R40*K40),IF(C40="LP-7",IF('Limestone Plant (LP-7)'!$F$12&gt;0,'Limestone Plant (LP-7)'!$F$12,AF40*R40*K40),IF(C40="LP-8",IF('Limestone Plant (LP-8)'!$F$12&gt;0,'Limestone Plant (LP-8)'!$F$12,AF40*R40*K40),IF(C40="LP-9",IF('Limestone Plant (LP-9)'!$F$12&gt;0,'Limestone Plant (LP-9)'!$F$12,AF40*R40*K40),IF(C40="LP-10",IF('Limestone Plant (LP-10)'!$F$12&gt;0,'Limestone Plant (LP-10)'!$F$12,AF40*R40*K40))))))))))))</f>
        <v/>
      </c>
      <c r="AH40" s="48" t="str">
        <f t="shared" si="12"/>
        <v/>
      </c>
      <c r="AI40" s="48" t="str">
        <f t="shared" si="13"/>
        <v/>
      </c>
      <c r="AJ40" s="48" t="str">
        <f>IF(F40="","",IF(B40="no",'Emission Factors'!$J$43,'Emission Factors'!$J$44))</f>
        <v/>
      </c>
      <c r="AK40" s="48" t="str">
        <f>IF(F40="","",IF(C40="LP-1",IF('Limestone Plant (LP-1)'!$F$13&gt;0,'Limestone Plant (LP-1)'!$F$13,AJ40*R40),IF(C40="LP-2",IF('Limestone Plant (LP-2)'!$F$13&gt;0,'Limestone Plant (LP-2)'!$F$13,AJ40*R40),IF(C40="LP-3",IF('Limestone Plant (LP-3)'!$F$13&gt;0,'Limestone Plant (LP-3)'!$F$13,AJ40*R40),IF(C40="LP-4",IF('Limestone Plant (LP-4)'!$F$13&gt;0,'Limestone Plant (LP-4)'!$F$13,AJ40*R40),IF(C40="LP-5",IF('Limestone Plant (LP-5)'!$F$13&gt;0,'Limestone Plant (LP-5)'!$F$13,AJ40*R40),IF(C40="LP-6",IF('Limestone Plant (LP-6)'!$F$13&gt;0,'Limestone Plant (LP-6)'!$F$13,AJ40*R40),IF(C40="LP-7",IF('Limestone Plant (LP-7)'!$F$13&gt;0,'Limestone Plant (LP-7)'!$F$13,AJ40*R40),IF(C40="LP-8",IF('Limestone Plant (LP-8)'!$F$13&gt;0,'Limestone Plant (LP-8)'!$F$13,AJ40*R40),IF(C40="LP-9",IF('Limestone Plant (LP-9)'!$F$13&gt;0,'Limestone Plant (LP-9)'!$F$13,AJ40*R40),IF(C40="LP-10",IF('Limestone Plant (LP-10)'!$F$13&gt;0,'Limestone Plant (LP-10)'!$F$13,AJ40*R40))))))))))))</f>
        <v/>
      </c>
      <c r="AL40" s="48" t="str">
        <f t="shared" si="40"/>
        <v/>
      </c>
      <c r="AM40" s="48" t="str">
        <f t="shared" si="41"/>
        <v/>
      </c>
      <c r="AN40" s="48" t="str">
        <f>IF(F40="","",IF(B40="no",'Emission Factors'!$L$43,'Emission Factors'!$L$44))</f>
        <v/>
      </c>
      <c r="AO40" s="48" t="str">
        <f>IF(F40="","",IF(C40="LP-1",IF('Limestone Plant (LP-1)'!$F$14&gt;0,'Limestone Plant (LP-1)'!$F$14,AN40*R40),IF(C40="LP-2",IF('Limestone Plant (LP-2)'!$F$14&gt;0,'Limestone Plant (LP-2)'!$F$14,AN40*R40),IF(C40="LP-3",IF('Limestone Plant (LP-3)'!$F$14&gt;0,'Limestone Plant (LP-3)'!$F$14,AN40*R40),IF(C40="LP-4",IF('Limestone Plant (LP-4)'!$F$14&gt;0,'Limestone Plant (LP-4)'!$F$14,AN40*R40),IF(C40="LP-5",IF('Limestone Plant (LP-5)'!$F$14&gt;0,'Limestone Plant (LP-5)'!$F$14,AN40*R40),IF(C40="LP-6",IF('Limestone Plant (LP-6)'!$F$14&gt;0,'Limestone Plant (LP-6)'!$F$14,AN40*R40),IF(C40="LP-7",IF('Limestone Plant (LP-7)'!$F$14&gt;0,'Limestone Plant (LP-7)'!$F$14,AN40*R40),IF(C40="LP-8",IF('Limestone Plant (LP-8)'!$F$14&gt;0,'Limestone Plant (LP-8)'!$F$14,AN40*R40),IF(C40="LP-9",IF('Limestone Plant (LP-9)'!$F$14&gt;0,'Limestone Plant (LP-9)'!$F$14,AN40*R40),IF(C40="LP-10",IF('Limestone Plant (LP-10)'!$F$14&gt;0,'Limestone Plant (LP-10)'!$F$14,AN40*R40))))))))))))</f>
        <v/>
      </c>
      <c r="AP40" s="48" t="str">
        <f t="shared" si="42"/>
        <v/>
      </c>
      <c r="AQ40" s="48" t="str">
        <f t="shared" si="43"/>
        <v/>
      </c>
      <c r="AR40" s="48" t="str">
        <f>IF(F40="","",IF(B40="no",'Emission Factors'!$N$43,'Emission Factors'!$N$44))</f>
        <v/>
      </c>
      <c r="AS40" s="48" t="str">
        <f>IF(F40="","",IF(C40="LP-1",IF('Limestone Plant (LP-1)'!$F$15&gt;0,'Limestone Plant (LP-1)'!$F$15,AR40*R40),IF(C40="LP-2",IF('Limestone Plant (LP-2)'!$F$15&gt;0,'Limestone Plant (LP-2)'!$F$15,AR40*R40),IF(C40="LP-3",IF('Limestone Plant (LP-3)'!$F$15&gt;0,'Limestone Plant (LP-3)'!$F$15,AR40*R40),IF(C40="LP-4",IF('Limestone Plant (LP-4)'!$F$15&gt;0,'Limestone Plant (LP-4)'!$F$15,AR40*R40),IF(C40="LP-5",IF('Limestone Plant (LP-5)'!$F$15&gt;0,'Limestone Plant (LP-5)'!$F$15,AR40*R40),IF(C40="LP-6",IF('Limestone Plant (LP-6)'!$F$15&gt;0,'Limestone Plant (LP-6)'!$F$15,AR40*R40),IF(C40="LP-7",IF('Limestone Plant (LP-7)'!$F$15&gt;0,'Limestone Plant (LP-7)'!$F$15,AR40*R40),IF(C40="LP-8",IF('Limestone Plant (LP-8)'!$F$15&gt;0,'Limestone Plant (LP-8)'!$F$15,AR40*R40),IF(C40="LP-9",IF('Limestone Plant (LP-9)'!$F$15&gt;0,'Limestone Plant (LP-9)'!$F$15,AR40*R40),IF(C40="LP-10",IF('Limestone Plant (LP-10)'!$F$15&gt;0,'Limestone Plant (LP-10)'!$F$15,AR40*R40))))))))))))</f>
        <v/>
      </c>
      <c r="AT40" s="48" t="str">
        <f t="shared" si="44"/>
        <v/>
      </c>
      <c r="AU40" s="48" t="str">
        <f t="shared" si="45"/>
        <v/>
      </c>
      <c r="AV40" s="48" t="str">
        <f>IF(F40="","",IF(B40="no",'Emission Factors'!$P$43,'Emission Factors'!$P$44))</f>
        <v/>
      </c>
      <c r="AW40" s="48" t="str">
        <f t="shared" si="46"/>
        <v/>
      </c>
      <c r="AX40" s="48" t="str">
        <f t="shared" si="47"/>
        <v/>
      </c>
      <c r="AY40" s="48" t="str">
        <f t="shared" si="48"/>
        <v/>
      </c>
      <c r="AZ40" s="48" t="str">
        <f>IF(F40="","",IF(B40="no",'Emission Factors'!$R$43,'Emission Factors'!$R$44))</f>
        <v/>
      </c>
      <c r="BA40" s="48" t="str">
        <f t="shared" si="49"/>
        <v/>
      </c>
      <c r="BB40" s="48" t="str">
        <f t="shared" si="50"/>
        <v/>
      </c>
      <c r="BC40" s="48" t="str">
        <f t="shared" si="51"/>
        <v/>
      </c>
    </row>
    <row r="41" spans="1:55" x14ac:dyDescent="0.25">
      <c r="B41" s="6" t="str">
        <f t="shared" si="29"/>
        <v>no</v>
      </c>
      <c r="C41" s="44"/>
      <c r="D41" s="44"/>
      <c r="E41" s="44"/>
      <c r="F41" s="45"/>
      <c r="G41" s="44"/>
      <c r="H41" s="46"/>
      <c r="I41" s="46"/>
      <c r="J41" s="147"/>
      <c r="K41" s="46">
        <f t="shared" si="5"/>
        <v>1</v>
      </c>
      <c r="L41" s="46"/>
      <c r="M41" s="46"/>
      <c r="N41" s="46"/>
      <c r="O41" s="46"/>
      <c r="P41" s="46"/>
      <c r="Q41" s="46"/>
      <c r="R41" s="49" t="str">
        <f t="shared" si="30"/>
        <v/>
      </c>
      <c r="S41" s="46"/>
      <c r="T41" s="48" t="str">
        <f t="shared" si="31"/>
        <v/>
      </c>
      <c r="U41" s="170"/>
      <c r="V41" s="170">
        <f t="shared" si="32"/>
        <v>0</v>
      </c>
      <c r="W41" s="170" t="str">
        <f t="shared" si="33"/>
        <v/>
      </c>
      <c r="X41" s="48" t="str">
        <f>IF(F41="","",IF(B41="no",'Emission Factors'!$D$43,'Emission Factors'!$D$44))</f>
        <v/>
      </c>
      <c r="Y41" s="48" t="str">
        <f t="shared" si="34"/>
        <v/>
      </c>
      <c r="Z41" s="48" t="str">
        <f t="shared" si="35"/>
        <v/>
      </c>
      <c r="AA41" s="48" t="str">
        <f t="shared" si="36"/>
        <v/>
      </c>
      <c r="AB41" s="48" t="str">
        <f>IF(F41="","",IF(B41="no",'Emission Factors'!$F$43,'Emission Factors'!$F$44))</f>
        <v/>
      </c>
      <c r="AC41" s="48" t="str">
        <f t="shared" si="37"/>
        <v/>
      </c>
      <c r="AD41" s="48" t="str">
        <f t="shared" si="38"/>
        <v/>
      </c>
      <c r="AE41" s="48" t="str">
        <f t="shared" si="39"/>
        <v/>
      </c>
      <c r="AF41" s="48" t="str">
        <f>IF(F41="","",IF(B41="no",'Emission Factors'!$H$43,'Emission Factors'!$H$44))</f>
        <v/>
      </c>
      <c r="AG41" s="48" t="str">
        <f>IF(F41="","",IF(C41="LP-1",IF('Limestone Plant (LP-1)'!$F$12&gt;0,'Limestone Plant (LP-1)'!$F$12,AF41*R41*K41),IF(C41="LP-2",IF('Limestone Plant (LP-2)'!$F$12&gt;0,'Limestone Plant (LP-2)'!$F$12,AF41*R41*K41),IF(C41="LP-3",IF('Limestone Plant (LP-3)'!$F$12&gt;0,'Limestone Plant (LP-3)'!$F$12,AF41*R41*K41),IF(C41="LP-4",IF('Limestone Plant (LP-4)'!$F$12&gt;0,'Limestone Plant (LP-4)'!$F$12,AF41*R41*K41),IF(C41="LP-5",IF('Limestone Plant (LP-5)'!$F$12&gt;0,'Limestone Plant (LP-5)'!$F$12,AF41*R41*K41),IF(C41="LP-6",IF('Limestone Plant (LP-6)'!$F$12&gt;0,'Limestone Plant (LP-6)'!$F$12,AF41*R41*K41),IF(C41="LP-7",IF('Limestone Plant (LP-7)'!$F$12&gt;0,'Limestone Plant (LP-7)'!$F$12,AF41*R41*K41),IF(C41="LP-8",IF('Limestone Plant (LP-8)'!$F$12&gt;0,'Limestone Plant (LP-8)'!$F$12,AF41*R41*K41),IF(C41="LP-9",IF('Limestone Plant (LP-9)'!$F$12&gt;0,'Limestone Plant (LP-9)'!$F$12,AF41*R41*K41),IF(C41="LP-10",IF('Limestone Plant (LP-10)'!$F$12&gt;0,'Limestone Plant (LP-10)'!$F$12,AF41*R41*K41))))))))))))</f>
        <v/>
      </c>
      <c r="AH41" s="48" t="str">
        <f t="shared" si="12"/>
        <v/>
      </c>
      <c r="AI41" s="48" t="str">
        <f t="shared" si="13"/>
        <v/>
      </c>
      <c r="AJ41" s="48" t="str">
        <f>IF(F41="","",IF(B41="no",'Emission Factors'!$J$43,'Emission Factors'!$J$44))</f>
        <v/>
      </c>
      <c r="AK41" s="48" t="str">
        <f>IF(F41="","",IF(C41="LP-1",IF('Limestone Plant (LP-1)'!$F$13&gt;0,'Limestone Plant (LP-1)'!$F$13,AJ41*R41),IF(C41="LP-2",IF('Limestone Plant (LP-2)'!$F$13&gt;0,'Limestone Plant (LP-2)'!$F$13,AJ41*R41),IF(C41="LP-3",IF('Limestone Plant (LP-3)'!$F$13&gt;0,'Limestone Plant (LP-3)'!$F$13,AJ41*R41),IF(C41="LP-4",IF('Limestone Plant (LP-4)'!$F$13&gt;0,'Limestone Plant (LP-4)'!$F$13,AJ41*R41),IF(C41="LP-5",IF('Limestone Plant (LP-5)'!$F$13&gt;0,'Limestone Plant (LP-5)'!$F$13,AJ41*R41),IF(C41="LP-6",IF('Limestone Plant (LP-6)'!$F$13&gt;0,'Limestone Plant (LP-6)'!$F$13,AJ41*R41),IF(C41="LP-7",IF('Limestone Plant (LP-7)'!$F$13&gt;0,'Limestone Plant (LP-7)'!$F$13,AJ41*R41),IF(C41="LP-8",IF('Limestone Plant (LP-8)'!$F$13&gt;0,'Limestone Plant (LP-8)'!$F$13,AJ41*R41),IF(C41="LP-9",IF('Limestone Plant (LP-9)'!$F$13&gt;0,'Limestone Plant (LP-9)'!$F$13,AJ41*R41),IF(C41="LP-10",IF('Limestone Plant (LP-10)'!$F$13&gt;0,'Limestone Plant (LP-10)'!$F$13,AJ41*R41))))))))))))</f>
        <v/>
      </c>
      <c r="AL41" s="48" t="str">
        <f t="shared" si="40"/>
        <v/>
      </c>
      <c r="AM41" s="48" t="str">
        <f t="shared" si="41"/>
        <v/>
      </c>
      <c r="AN41" s="48" t="str">
        <f>IF(F41="","",IF(B41="no",'Emission Factors'!$L$43,'Emission Factors'!$L$44))</f>
        <v/>
      </c>
      <c r="AO41" s="48" t="str">
        <f>IF(F41="","",IF(C41="LP-1",IF('Limestone Plant (LP-1)'!$F$14&gt;0,'Limestone Plant (LP-1)'!$F$14,AN41*R41),IF(C41="LP-2",IF('Limestone Plant (LP-2)'!$F$14&gt;0,'Limestone Plant (LP-2)'!$F$14,AN41*R41),IF(C41="LP-3",IF('Limestone Plant (LP-3)'!$F$14&gt;0,'Limestone Plant (LP-3)'!$F$14,AN41*R41),IF(C41="LP-4",IF('Limestone Plant (LP-4)'!$F$14&gt;0,'Limestone Plant (LP-4)'!$F$14,AN41*R41),IF(C41="LP-5",IF('Limestone Plant (LP-5)'!$F$14&gt;0,'Limestone Plant (LP-5)'!$F$14,AN41*R41),IF(C41="LP-6",IF('Limestone Plant (LP-6)'!$F$14&gt;0,'Limestone Plant (LP-6)'!$F$14,AN41*R41),IF(C41="LP-7",IF('Limestone Plant (LP-7)'!$F$14&gt;0,'Limestone Plant (LP-7)'!$F$14,AN41*R41),IF(C41="LP-8",IF('Limestone Plant (LP-8)'!$F$14&gt;0,'Limestone Plant (LP-8)'!$F$14,AN41*R41),IF(C41="LP-9",IF('Limestone Plant (LP-9)'!$F$14&gt;0,'Limestone Plant (LP-9)'!$F$14,AN41*R41),IF(C41="LP-10",IF('Limestone Plant (LP-10)'!$F$14&gt;0,'Limestone Plant (LP-10)'!$F$14,AN41*R41))))))))))))</f>
        <v/>
      </c>
      <c r="AP41" s="48" t="str">
        <f t="shared" si="42"/>
        <v/>
      </c>
      <c r="AQ41" s="48" t="str">
        <f t="shared" si="43"/>
        <v/>
      </c>
      <c r="AR41" s="48" t="str">
        <f>IF(F41="","",IF(B41="no",'Emission Factors'!$N$43,'Emission Factors'!$N$44))</f>
        <v/>
      </c>
      <c r="AS41" s="48" t="str">
        <f>IF(F41="","",IF(C41="LP-1",IF('Limestone Plant (LP-1)'!$F$15&gt;0,'Limestone Plant (LP-1)'!$F$15,AR41*R41),IF(C41="LP-2",IF('Limestone Plant (LP-2)'!$F$15&gt;0,'Limestone Plant (LP-2)'!$F$15,AR41*R41),IF(C41="LP-3",IF('Limestone Plant (LP-3)'!$F$15&gt;0,'Limestone Plant (LP-3)'!$F$15,AR41*R41),IF(C41="LP-4",IF('Limestone Plant (LP-4)'!$F$15&gt;0,'Limestone Plant (LP-4)'!$F$15,AR41*R41),IF(C41="LP-5",IF('Limestone Plant (LP-5)'!$F$15&gt;0,'Limestone Plant (LP-5)'!$F$15,AR41*R41),IF(C41="LP-6",IF('Limestone Plant (LP-6)'!$F$15&gt;0,'Limestone Plant (LP-6)'!$F$15,AR41*R41),IF(C41="LP-7",IF('Limestone Plant (LP-7)'!$F$15&gt;0,'Limestone Plant (LP-7)'!$F$15,AR41*R41),IF(C41="LP-8",IF('Limestone Plant (LP-8)'!$F$15&gt;0,'Limestone Plant (LP-8)'!$F$15,AR41*R41),IF(C41="LP-9",IF('Limestone Plant (LP-9)'!$F$15&gt;0,'Limestone Plant (LP-9)'!$F$15,AR41*R41),IF(C41="LP-10",IF('Limestone Plant (LP-10)'!$F$15&gt;0,'Limestone Plant (LP-10)'!$F$15,AR41*R41))))))))))))</f>
        <v/>
      </c>
      <c r="AT41" s="48" t="str">
        <f t="shared" si="44"/>
        <v/>
      </c>
      <c r="AU41" s="48" t="str">
        <f t="shared" si="45"/>
        <v/>
      </c>
      <c r="AV41" s="48" t="str">
        <f>IF(F41="","",IF(B41="no",'Emission Factors'!$P$43,'Emission Factors'!$P$44))</f>
        <v/>
      </c>
      <c r="AW41" s="48" t="str">
        <f t="shared" si="46"/>
        <v/>
      </c>
      <c r="AX41" s="48" t="str">
        <f t="shared" si="47"/>
        <v/>
      </c>
      <c r="AY41" s="48" t="str">
        <f t="shared" si="48"/>
        <v/>
      </c>
      <c r="AZ41" s="48" t="str">
        <f>IF(F41="","",IF(B41="no",'Emission Factors'!$R$43,'Emission Factors'!$R$44))</f>
        <v/>
      </c>
      <c r="BA41" s="48" t="str">
        <f t="shared" si="49"/>
        <v/>
      </c>
      <c r="BB41" s="48" t="str">
        <f t="shared" si="50"/>
        <v/>
      </c>
      <c r="BC41" s="48" t="str">
        <f t="shared" si="51"/>
        <v/>
      </c>
    </row>
    <row r="42" spans="1:55" x14ac:dyDescent="0.25">
      <c r="B42" s="6" t="str">
        <f t="shared" si="29"/>
        <v>no</v>
      </c>
      <c r="C42" s="44"/>
      <c r="D42" s="44"/>
      <c r="E42" s="44"/>
      <c r="F42" s="45"/>
      <c r="G42" s="44"/>
      <c r="H42" s="46"/>
      <c r="I42" s="46"/>
      <c r="J42" s="147"/>
      <c r="K42" s="46">
        <f t="shared" si="5"/>
        <v>1</v>
      </c>
      <c r="L42" s="46"/>
      <c r="M42" s="46"/>
      <c r="N42" s="46"/>
      <c r="O42" s="46"/>
      <c r="P42" s="46"/>
      <c r="Q42" s="46"/>
      <c r="R42" s="49" t="str">
        <f t="shared" si="30"/>
        <v/>
      </c>
      <c r="S42" s="46"/>
      <c r="T42" s="48" t="str">
        <f t="shared" si="31"/>
        <v/>
      </c>
      <c r="U42" s="170"/>
      <c r="V42" s="170">
        <f t="shared" si="32"/>
        <v>0</v>
      </c>
      <c r="W42" s="170" t="str">
        <f t="shared" si="33"/>
        <v/>
      </c>
      <c r="X42" s="48" t="str">
        <f>IF(F42="","",IF(B42="no",'Emission Factors'!$D$43,'Emission Factors'!$D$44))</f>
        <v/>
      </c>
      <c r="Y42" s="48" t="str">
        <f t="shared" si="34"/>
        <v/>
      </c>
      <c r="Z42" s="48" t="str">
        <f t="shared" si="35"/>
        <v/>
      </c>
      <c r="AA42" s="48" t="str">
        <f t="shared" si="36"/>
        <v/>
      </c>
      <c r="AB42" s="48" t="str">
        <f>IF(F42="","",IF(B42="no",'Emission Factors'!$F$43,'Emission Factors'!$F$44))</f>
        <v/>
      </c>
      <c r="AC42" s="48" t="str">
        <f t="shared" si="37"/>
        <v/>
      </c>
      <c r="AD42" s="48" t="str">
        <f t="shared" si="38"/>
        <v/>
      </c>
      <c r="AE42" s="48" t="str">
        <f t="shared" si="39"/>
        <v/>
      </c>
      <c r="AF42" s="48" t="str">
        <f>IF(F42="","",IF(B42="no",'Emission Factors'!$H$43,'Emission Factors'!$H$44))</f>
        <v/>
      </c>
      <c r="AG42" s="48" t="str">
        <f>IF(F42="","",IF(C42="LP-1",IF('Limestone Plant (LP-1)'!$F$12&gt;0,'Limestone Plant (LP-1)'!$F$12,AF42*R42*K42),IF(C42="LP-2",IF('Limestone Plant (LP-2)'!$F$12&gt;0,'Limestone Plant (LP-2)'!$F$12,AF42*R42*K42),IF(C42="LP-3",IF('Limestone Plant (LP-3)'!$F$12&gt;0,'Limestone Plant (LP-3)'!$F$12,AF42*R42*K42),IF(C42="LP-4",IF('Limestone Plant (LP-4)'!$F$12&gt;0,'Limestone Plant (LP-4)'!$F$12,AF42*R42*K42),IF(C42="LP-5",IF('Limestone Plant (LP-5)'!$F$12&gt;0,'Limestone Plant (LP-5)'!$F$12,AF42*R42*K42),IF(C42="LP-6",IF('Limestone Plant (LP-6)'!$F$12&gt;0,'Limestone Plant (LP-6)'!$F$12,AF42*R42*K42),IF(C42="LP-7",IF('Limestone Plant (LP-7)'!$F$12&gt;0,'Limestone Plant (LP-7)'!$F$12,AF42*R42*K42),IF(C42="LP-8",IF('Limestone Plant (LP-8)'!$F$12&gt;0,'Limestone Plant (LP-8)'!$F$12,AF42*R42*K42),IF(C42="LP-9",IF('Limestone Plant (LP-9)'!$F$12&gt;0,'Limestone Plant (LP-9)'!$F$12,AF42*R42*K42),IF(C42="LP-10",IF('Limestone Plant (LP-10)'!$F$12&gt;0,'Limestone Plant (LP-10)'!$F$12,AF42*R42*K42))))))))))))</f>
        <v/>
      </c>
      <c r="AH42" s="48" t="str">
        <f t="shared" si="12"/>
        <v/>
      </c>
      <c r="AI42" s="48" t="str">
        <f t="shared" si="13"/>
        <v/>
      </c>
      <c r="AJ42" s="48" t="str">
        <f>IF(F42="","",IF(B42="no",'Emission Factors'!$J$43,'Emission Factors'!$J$44))</f>
        <v/>
      </c>
      <c r="AK42" s="48" t="str">
        <f>IF(F42="","",IF(C42="LP-1",IF('Limestone Plant (LP-1)'!$F$13&gt;0,'Limestone Plant (LP-1)'!$F$13,AJ42*R42),IF(C42="LP-2",IF('Limestone Plant (LP-2)'!$F$13&gt;0,'Limestone Plant (LP-2)'!$F$13,AJ42*R42),IF(C42="LP-3",IF('Limestone Plant (LP-3)'!$F$13&gt;0,'Limestone Plant (LP-3)'!$F$13,AJ42*R42),IF(C42="LP-4",IF('Limestone Plant (LP-4)'!$F$13&gt;0,'Limestone Plant (LP-4)'!$F$13,AJ42*R42),IF(C42="LP-5",IF('Limestone Plant (LP-5)'!$F$13&gt;0,'Limestone Plant (LP-5)'!$F$13,AJ42*R42),IF(C42="LP-6",IF('Limestone Plant (LP-6)'!$F$13&gt;0,'Limestone Plant (LP-6)'!$F$13,AJ42*R42),IF(C42="LP-7",IF('Limestone Plant (LP-7)'!$F$13&gt;0,'Limestone Plant (LP-7)'!$F$13,AJ42*R42),IF(C42="LP-8",IF('Limestone Plant (LP-8)'!$F$13&gt;0,'Limestone Plant (LP-8)'!$F$13,AJ42*R42),IF(C42="LP-9",IF('Limestone Plant (LP-9)'!$F$13&gt;0,'Limestone Plant (LP-9)'!$F$13,AJ42*R42),IF(C42="LP-10",IF('Limestone Plant (LP-10)'!$F$13&gt;0,'Limestone Plant (LP-10)'!$F$13,AJ42*R42))))))))))))</f>
        <v/>
      </c>
      <c r="AL42" s="48" t="str">
        <f t="shared" si="40"/>
        <v/>
      </c>
      <c r="AM42" s="48" t="str">
        <f t="shared" si="41"/>
        <v/>
      </c>
      <c r="AN42" s="48" t="str">
        <f>IF(F42="","",IF(B42="no",'Emission Factors'!$L$43,'Emission Factors'!$L$44))</f>
        <v/>
      </c>
      <c r="AO42" s="48" t="str">
        <f>IF(F42="","",IF(C42="LP-1",IF('Limestone Plant (LP-1)'!$F$14&gt;0,'Limestone Plant (LP-1)'!$F$14,AN42*R42),IF(C42="LP-2",IF('Limestone Plant (LP-2)'!$F$14&gt;0,'Limestone Plant (LP-2)'!$F$14,AN42*R42),IF(C42="LP-3",IF('Limestone Plant (LP-3)'!$F$14&gt;0,'Limestone Plant (LP-3)'!$F$14,AN42*R42),IF(C42="LP-4",IF('Limestone Plant (LP-4)'!$F$14&gt;0,'Limestone Plant (LP-4)'!$F$14,AN42*R42),IF(C42="LP-5",IF('Limestone Plant (LP-5)'!$F$14&gt;0,'Limestone Plant (LP-5)'!$F$14,AN42*R42),IF(C42="LP-6",IF('Limestone Plant (LP-6)'!$F$14&gt;0,'Limestone Plant (LP-6)'!$F$14,AN42*R42),IF(C42="LP-7",IF('Limestone Plant (LP-7)'!$F$14&gt;0,'Limestone Plant (LP-7)'!$F$14,AN42*R42),IF(C42="LP-8",IF('Limestone Plant (LP-8)'!$F$14&gt;0,'Limestone Plant (LP-8)'!$F$14,AN42*R42),IF(C42="LP-9",IF('Limestone Plant (LP-9)'!$F$14&gt;0,'Limestone Plant (LP-9)'!$F$14,AN42*R42),IF(C42="LP-10",IF('Limestone Plant (LP-10)'!$F$14&gt;0,'Limestone Plant (LP-10)'!$F$14,AN42*R42))))))))))))</f>
        <v/>
      </c>
      <c r="AP42" s="48" t="str">
        <f t="shared" si="42"/>
        <v/>
      </c>
      <c r="AQ42" s="48" t="str">
        <f t="shared" si="43"/>
        <v/>
      </c>
      <c r="AR42" s="48" t="str">
        <f>IF(F42="","",IF(B42="no",'Emission Factors'!$N$43,'Emission Factors'!$N$44))</f>
        <v/>
      </c>
      <c r="AS42" s="48" t="str">
        <f>IF(F42="","",IF(C42="LP-1",IF('Limestone Plant (LP-1)'!$F$15&gt;0,'Limestone Plant (LP-1)'!$F$15,AR42*R42),IF(C42="LP-2",IF('Limestone Plant (LP-2)'!$F$15&gt;0,'Limestone Plant (LP-2)'!$F$15,AR42*R42),IF(C42="LP-3",IF('Limestone Plant (LP-3)'!$F$15&gt;0,'Limestone Plant (LP-3)'!$F$15,AR42*R42),IF(C42="LP-4",IF('Limestone Plant (LP-4)'!$F$15&gt;0,'Limestone Plant (LP-4)'!$F$15,AR42*R42),IF(C42="LP-5",IF('Limestone Plant (LP-5)'!$F$15&gt;0,'Limestone Plant (LP-5)'!$F$15,AR42*R42),IF(C42="LP-6",IF('Limestone Plant (LP-6)'!$F$15&gt;0,'Limestone Plant (LP-6)'!$F$15,AR42*R42),IF(C42="LP-7",IF('Limestone Plant (LP-7)'!$F$15&gt;0,'Limestone Plant (LP-7)'!$F$15,AR42*R42),IF(C42="LP-8",IF('Limestone Plant (LP-8)'!$F$15&gt;0,'Limestone Plant (LP-8)'!$F$15,AR42*R42),IF(C42="LP-9",IF('Limestone Plant (LP-9)'!$F$15&gt;0,'Limestone Plant (LP-9)'!$F$15,AR42*R42),IF(C42="LP-10",IF('Limestone Plant (LP-10)'!$F$15&gt;0,'Limestone Plant (LP-10)'!$F$15,AR42*R42))))))))))))</f>
        <v/>
      </c>
      <c r="AT42" s="48" t="str">
        <f t="shared" si="44"/>
        <v/>
      </c>
      <c r="AU42" s="48" t="str">
        <f t="shared" si="45"/>
        <v/>
      </c>
      <c r="AV42" s="48" t="str">
        <f>IF(F42="","",IF(B42="no",'Emission Factors'!$P$43,'Emission Factors'!$P$44))</f>
        <v/>
      </c>
      <c r="AW42" s="48" t="str">
        <f t="shared" si="46"/>
        <v/>
      </c>
      <c r="AX42" s="48" t="str">
        <f t="shared" si="47"/>
        <v/>
      </c>
      <c r="AY42" s="48" t="str">
        <f t="shared" si="48"/>
        <v/>
      </c>
      <c r="AZ42" s="48" t="str">
        <f>IF(F42="","",IF(B42="no",'Emission Factors'!$R$43,'Emission Factors'!$R$44))</f>
        <v/>
      </c>
      <c r="BA42" s="48" t="str">
        <f t="shared" si="49"/>
        <v/>
      </c>
      <c r="BB42" s="48" t="str">
        <f t="shared" si="50"/>
        <v/>
      </c>
      <c r="BC42" s="48" t="str">
        <f t="shared" si="51"/>
        <v/>
      </c>
    </row>
    <row r="43" spans="1:55" x14ac:dyDescent="0.25">
      <c r="B43" s="6" t="str">
        <f t="shared" si="29"/>
        <v>no</v>
      </c>
      <c r="C43" s="44"/>
      <c r="D43" s="44"/>
      <c r="E43" s="44"/>
      <c r="F43" s="45"/>
      <c r="G43" s="44"/>
      <c r="H43" s="46"/>
      <c r="I43" s="46"/>
      <c r="J43" s="147"/>
      <c r="K43" s="46">
        <f t="shared" si="5"/>
        <v>1</v>
      </c>
      <c r="L43" s="46"/>
      <c r="M43" s="46"/>
      <c r="N43" s="46"/>
      <c r="O43" s="46"/>
      <c r="P43" s="46"/>
      <c r="Q43" s="46"/>
      <c r="R43" s="49" t="str">
        <f t="shared" si="30"/>
        <v/>
      </c>
      <c r="S43" s="46"/>
      <c r="T43" s="48" t="str">
        <f t="shared" si="31"/>
        <v/>
      </c>
      <c r="U43" s="170"/>
      <c r="V43" s="170">
        <f t="shared" si="32"/>
        <v>0</v>
      </c>
      <c r="W43" s="170" t="str">
        <f t="shared" si="33"/>
        <v/>
      </c>
      <c r="X43" s="48" t="str">
        <f>IF(F43="","",IF(B43="no",'Emission Factors'!$D$43,'Emission Factors'!$D$44))</f>
        <v/>
      </c>
      <c r="Y43" s="48" t="str">
        <f t="shared" si="34"/>
        <v/>
      </c>
      <c r="Z43" s="48" t="str">
        <f t="shared" si="35"/>
        <v/>
      </c>
      <c r="AA43" s="48" t="str">
        <f t="shared" si="36"/>
        <v/>
      </c>
      <c r="AB43" s="48" t="str">
        <f>IF(F43="","",IF(B43="no",'Emission Factors'!$F$43,'Emission Factors'!$F$44))</f>
        <v/>
      </c>
      <c r="AC43" s="48" t="str">
        <f t="shared" si="37"/>
        <v/>
      </c>
      <c r="AD43" s="48" t="str">
        <f t="shared" si="38"/>
        <v/>
      </c>
      <c r="AE43" s="48" t="str">
        <f t="shared" si="39"/>
        <v/>
      </c>
      <c r="AF43" s="48" t="str">
        <f>IF(F43="","",IF(B43="no",'Emission Factors'!$H$43,'Emission Factors'!$H$44))</f>
        <v/>
      </c>
      <c r="AG43" s="48" t="str">
        <f>IF(F43="","",IF(C43="LP-1",IF('Limestone Plant (LP-1)'!$F$12&gt;0,'Limestone Plant (LP-1)'!$F$12,AF43*R43*K43),IF(C43="LP-2",IF('Limestone Plant (LP-2)'!$F$12&gt;0,'Limestone Plant (LP-2)'!$F$12,AF43*R43*K43),IF(C43="LP-3",IF('Limestone Plant (LP-3)'!$F$12&gt;0,'Limestone Plant (LP-3)'!$F$12,AF43*R43*K43),IF(C43="LP-4",IF('Limestone Plant (LP-4)'!$F$12&gt;0,'Limestone Plant (LP-4)'!$F$12,AF43*R43*K43),IF(C43="LP-5",IF('Limestone Plant (LP-5)'!$F$12&gt;0,'Limestone Plant (LP-5)'!$F$12,AF43*R43*K43),IF(C43="LP-6",IF('Limestone Plant (LP-6)'!$F$12&gt;0,'Limestone Plant (LP-6)'!$F$12,AF43*R43*K43),IF(C43="LP-7",IF('Limestone Plant (LP-7)'!$F$12&gt;0,'Limestone Plant (LP-7)'!$F$12,AF43*R43*K43),IF(C43="LP-8",IF('Limestone Plant (LP-8)'!$F$12&gt;0,'Limestone Plant (LP-8)'!$F$12,AF43*R43*K43),IF(C43="LP-9",IF('Limestone Plant (LP-9)'!$F$12&gt;0,'Limestone Plant (LP-9)'!$F$12,AF43*R43*K43),IF(C43="LP-10",IF('Limestone Plant (LP-10)'!$F$12&gt;0,'Limestone Plant (LP-10)'!$F$12,AF43*R43*K43))))))))))))</f>
        <v/>
      </c>
      <c r="AH43" s="48" t="str">
        <f t="shared" si="12"/>
        <v/>
      </c>
      <c r="AI43" s="48" t="str">
        <f t="shared" si="13"/>
        <v/>
      </c>
      <c r="AJ43" s="48" t="str">
        <f>IF(F43="","",IF(B43="no",'Emission Factors'!$J$43,'Emission Factors'!$J$44))</f>
        <v/>
      </c>
      <c r="AK43" s="48" t="str">
        <f>IF(F43="","",IF(C43="LP-1",IF('Limestone Plant (LP-1)'!$F$13&gt;0,'Limestone Plant (LP-1)'!$F$13,AJ43*R43),IF(C43="LP-2",IF('Limestone Plant (LP-2)'!$F$13&gt;0,'Limestone Plant (LP-2)'!$F$13,AJ43*R43),IF(C43="LP-3",IF('Limestone Plant (LP-3)'!$F$13&gt;0,'Limestone Plant (LP-3)'!$F$13,AJ43*R43),IF(C43="LP-4",IF('Limestone Plant (LP-4)'!$F$13&gt;0,'Limestone Plant (LP-4)'!$F$13,AJ43*R43),IF(C43="LP-5",IF('Limestone Plant (LP-5)'!$F$13&gt;0,'Limestone Plant (LP-5)'!$F$13,AJ43*R43),IF(C43="LP-6",IF('Limestone Plant (LP-6)'!$F$13&gt;0,'Limestone Plant (LP-6)'!$F$13,AJ43*R43),IF(C43="LP-7",IF('Limestone Plant (LP-7)'!$F$13&gt;0,'Limestone Plant (LP-7)'!$F$13,AJ43*R43),IF(C43="LP-8",IF('Limestone Plant (LP-8)'!$F$13&gt;0,'Limestone Plant (LP-8)'!$F$13,AJ43*R43),IF(C43="LP-9",IF('Limestone Plant (LP-9)'!$F$13&gt;0,'Limestone Plant (LP-9)'!$F$13,AJ43*R43),IF(C43="LP-10",IF('Limestone Plant (LP-10)'!$F$13&gt;0,'Limestone Plant (LP-10)'!$F$13,AJ43*R43))))))))))))</f>
        <v/>
      </c>
      <c r="AL43" s="48" t="str">
        <f t="shared" si="40"/>
        <v/>
      </c>
      <c r="AM43" s="48" t="str">
        <f t="shared" si="41"/>
        <v/>
      </c>
      <c r="AN43" s="48" t="str">
        <f>IF(F43="","",IF(B43="no",'Emission Factors'!$L$43,'Emission Factors'!$L$44))</f>
        <v/>
      </c>
      <c r="AO43" s="48" t="str">
        <f>IF(F43="","",IF(C43="LP-1",IF('Limestone Plant (LP-1)'!$F$14&gt;0,'Limestone Plant (LP-1)'!$F$14,AN43*R43),IF(C43="LP-2",IF('Limestone Plant (LP-2)'!$F$14&gt;0,'Limestone Plant (LP-2)'!$F$14,AN43*R43),IF(C43="LP-3",IF('Limestone Plant (LP-3)'!$F$14&gt;0,'Limestone Plant (LP-3)'!$F$14,AN43*R43),IF(C43="LP-4",IF('Limestone Plant (LP-4)'!$F$14&gt;0,'Limestone Plant (LP-4)'!$F$14,AN43*R43),IF(C43="LP-5",IF('Limestone Plant (LP-5)'!$F$14&gt;0,'Limestone Plant (LP-5)'!$F$14,AN43*R43),IF(C43="LP-6",IF('Limestone Plant (LP-6)'!$F$14&gt;0,'Limestone Plant (LP-6)'!$F$14,AN43*R43),IF(C43="LP-7",IF('Limestone Plant (LP-7)'!$F$14&gt;0,'Limestone Plant (LP-7)'!$F$14,AN43*R43),IF(C43="LP-8",IF('Limestone Plant (LP-8)'!$F$14&gt;0,'Limestone Plant (LP-8)'!$F$14,AN43*R43),IF(C43="LP-9",IF('Limestone Plant (LP-9)'!$F$14&gt;0,'Limestone Plant (LP-9)'!$F$14,AN43*R43),IF(C43="LP-10",IF('Limestone Plant (LP-10)'!$F$14&gt;0,'Limestone Plant (LP-10)'!$F$14,AN43*R43))))))))))))</f>
        <v/>
      </c>
      <c r="AP43" s="48" t="str">
        <f t="shared" si="42"/>
        <v/>
      </c>
      <c r="AQ43" s="48" t="str">
        <f t="shared" si="43"/>
        <v/>
      </c>
      <c r="AR43" s="48" t="str">
        <f>IF(F43="","",IF(B43="no",'Emission Factors'!$N$43,'Emission Factors'!$N$44))</f>
        <v/>
      </c>
      <c r="AS43" s="48" t="str">
        <f>IF(F43="","",IF(C43="LP-1",IF('Limestone Plant (LP-1)'!$F$15&gt;0,'Limestone Plant (LP-1)'!$F$15,AR43*R43),IF(C43="LP-2",IF('Limestone Plant (LP-2)'!$F$15&gt;0,'Limestone Plant (LP-2)'!$F$15,AR43*R43),IF(C43="LP-3",IF('Limestone Plant (LP-3)'!$F$15&gt;0,'Limestone Plant (LP-3)'!$F$15,AR43*R43),IF(C43="LP-4",IF('Limestone Plant (LP-4)'!$F$15&gt;0,'Limestone Plant (LP-4)'!$F$15,AR43*R43),IF(C43="LP-5",IF('Limestone Plant (LP-5)'!$F$15&gt;0,'Limestone Plant (LP-5)'!$F$15,AR43*R43),IF(C43="LP-6",IF('Limestone Plant (LP-6)'!$F$15&gt;0,'Limestone Plant (LP-6)'!$F$15,AR43*R43),IF(C43="LP-7",IF('Limestone Plant (LP-7)'!$F$15&gt;0,'Limestone Plant (LP-7)'!$F$15,AR43*R43),IF(C43="LP-8",IF('Limestone Plant (LP-8)'!$F$15&gt;0,'Limestone Plant (LP-8)'!$F$15,AR43*R43),IF(C43="LP-9",IF('Limestone Plant (LP-9)'!$F$15&gt;0,'Limestone Plant (LP-9)'!$F$15,AR43*R43),IF(C43="LP-10",IF('Limestone Plant (LP-10)'!$F$15&gt;0,'Limestone Plant (LP-10)'!$F$15,AR43*R43))))))))))))</f>
        <v/>
      </c>
      <c r="AT43" s="48" t="str">
        <f t="shared" si="44"/>
        <v/>
      </c>
      <c r="AU43" s="48" t="str">
        <f t="shared" si="45"/>
        <v/>
      </c>
      <c r="AV43" s="48" t="str">
        <f>IF(F43="","",IF(B43="no",'Emission Factors'!$P$43,'Emission Factors'!$P$44))</f>
        <v/>
      </c>
      <c r="AW43" s="48" t="str">
        <f t="shared" si="46"/>
        <v/>
      </c>
      <c r="AX43" s="48" t="str">
        <f t="shared" si="47"/>
        <v/>
      </c>
      <c r="AY43" s="48" t="str">
        <f t="shared" si="48"/>
        <v/>
      </c>
      <c r="AZ43" s="48" t="str">
        <f>IF(F43="","",IF(B43="no",'Emission Factors'!$R$43,'Emission Factors'!$R$44))</f>
        <v/>
      </c>
      <c r="BA43" s="48" t="str">
        <f t="shared" si="49"/>
        <v/>
      </c>
      <c r="BB43" s="48" t="str">
        <f t="shared" si="50"/>
        <v/>
      </c>
      <c r="BC43" s="48" t="str">
        <f t="shared" si="51"/>
        <v/>
      </c>
    </row>
    <row r="44" spans="1:55" x14ac:dyDescent="0.25">
      <c r="B44" s="6" t="str">
        <f t="shared" si="29"/>
        <v>no</v>
      </c>
      <c r="C44" s="44"/>
      <c r="D44" s="44"/>
      <c r="E44" s="44"/>
      <c r="F44" s="45"/>
      <c r="G44" s="44"/>
      <c r="H44" s="46"/>
      <c r="I44" s="46"/>
      <c r="J44" s="147"/>
      <c r="K44" s="46">
        <f t="shared" si="5"/>
        <v>1</v>
      </c>
      <c r="L44" s="46"/>
      <c r="M44" s="46"/>
      <c r="N44" s="46"/>
      <c r="O44" s="46"/>
      <c r="P44" s="46"/>
      <c r="Q44" s="46"/>
      <c r="R44" s="49" t="str">
        <f t="shared" si="30"/>
        <v/>
      </c>
      <c r="S44" s="46"/>
      <c r="T44" s="48" t="str">
        <f t="shared" si="31"/>
        <v/>
      </c>
      <c r="U44" s="170"/>
      <c r="V44" s="170">
        <f t="shared" si="32"/>
        <v>0</v>
      </c>
      <c r="W44" s="170" t="str">
        <f t="shared" si="33"/>
        <v/>
      </c>
      <c r="X44" s="48" t="str">
        <f>IF(F44="","",IF(B44="no",'Emission Factors'!$D$43,'Emission Factors'!$D$44))</f>
        <v/>
      </c>
      <c r="Y44" s="48" t="str">
        <f t="shared" si="34"/>
        <v/>
      </c>
      <c r="Z44" s="48" t="str">
        <f t="shared" si="35"/>
        <v/>
      </c>
      <c r="AA44" s="48" t="str">
        <f t="shared" si="36"/>
        <v/>
      </c>
      <c r="AB44" s="48" t="str">
        <f>IF(F44="","",IF(B44="no",'Emission Factors'!$F$43,'Emission Factors'!$F$44))</f>
        <v/>
      </c>
      <c r="AC44" s="48" t="str">
        <f t="shared" si="37"/>
        <v/>
      </c>
      <c r="AD44" s="48" t="str">
        <f t="shared" si="38"/>
        <v/>
      </c>
      <c r="AE44" s="48" t="str">
        <f t="shared" si="39"/>
        <v/>
      </c>
      <c r="AF44" s="48" t="str">
        <f>IF(F44="","",IF(B44="no",'Emission Factors'!$H$43,'Emission Factors'!$H$44))</f>
        <v/>
      </c>
      <c r="AG44" s="48" t="str">
        <f>IF(F44="","",IF(C44="LP-1",IF('Limestone Plant (LP-1)'!$F$12&gt;0,'Limestone Plant (LP-1)'!$F$12,AF44*R44*K44),IF(C44="LP-2",IF('Limestone Plant (LP-2)'!$F$12&gt;0,'Limestone Plant (LP-2)'!$F$12,AF44*R44*K44),IF(C44="LP-3",IF('Limestone Plant (LP-3)'!$F$12&gt;0,'Limestone Plant (LP-3)'!$F$12,AF44*R44*K44),IF(C44="LP-4",IF('Limestone Plant (LP-4)'!$F$12&gt;0,'Limestone Plant (LP-4)'!$F$12,AF44*R44*K44),IF(C44="LP-5",IF('Limestone Plant (LP-5)'!$F$12&gt;0,'Limestone Plant (LP-5)'!$F$12,AF44*R44*K44),IF(C44="LP-6",IF('Limestone Plant (LP-6)'!$F$12&gt;0,'Limestone Plant (LP-6)'!$F$12,AF44*R44*K44),IF(C44="LP-7",IF('Limestone Plant (LP-7)'!$F$12&gt;0,'Limestone Plant (LP-7)'!$F$12,AF44*R44*K44),IF(C44="LP-8",IF('Limestone Plant (LP-8)'!$F$12&gt;0,'Limestone Plant (LP-8)'!$F$12,AF44*R44*K44),IF(C44="LP-9",IF('Limestone Plant (LP-9)'!$F$12&gt;0,'Limestone Plant (LP-9)'!$F$12,AF44*R44*K44),IF(C44="LP-10",IF('Limestone Plant (LP-10)'!$F$12&gt;0,'Limestone Plant (LP-10)'!$F$12,AF44*R44*K44))))))))))))</f>
        <v/>
      </c>
      <c r="AH44" s="48" t="str">
        <f t="shared" si="12"/>
        <v/>
      </c>
      <c r="AI44" s="48" t="str">
        <f t="shared" si="13"/>
        <v/>
      </c>
      <c r="AJ44" s="48" t="str">
        <f>IF(F44="","",IF(B44="no",'Emission Factors'!$J$43,'Emission Factors'!$J$44))</f>
        <v/>
      </c>
      <c r="AK44" s="48" t="str">
        <f>IF(F44="","",IF(C44="LP-1",IF('Limestone Plant (LP-1)'!$F$13&gt;0,'Limestone Plant (LP-1)'!$F$13,AJ44*R44),IF(C44="LP-2",IF('Limestone Plant (LP-2)'!$F$13&gt;0,'Limestone Plant (LP-2)'!$F$13,AJ44*R44),IF(C44="LP-3",IF('Limestone Plant (LP-3)'!$F$13&gt;0,'Limestone Plant (LP-3)'!$F$13,AJ44*R44),IF(C44="LP-4",IF('Limestone Plant (LP-4)'!$F$13&gt;0,'Limestone Plant (LP-4)'!$F$13,AJ44*R44),IF(C44="LP-5",IF('Limestone Plant (LP-5)'!$F$13&gt;0,'Limestone Plant (LP-5)'!$F$13,AJ44*R44),IF(C44="LP-6",IF('Limestone Plant (LP-6)'!$F$13&gt;0,'Limestone Plant (LP-6)'!$F$13,AJ44*R44),IF(C44="LP-7",IF('Limestone Plant (LP-7)'!$F$13&gt;0,'Limestone Plant (LP-7)'!$F$13,AJ44*R44),IF(C44="LP-8",IF('Limestone Plant (LP-8)'!$F$13&gt;0,'Limestone Plant (LP-8)'!$F$13,AJ44*R44),IF(C44="LP-9",IF('Limestone Plant (LP-9)'!$F$13&gt;0,'Limestone Plant (LP-9)'!$F$13,AJ44*R44),IF(C44="LP-10",IF('Limestone Plant (LP-10)'!$F$13&gt;0,'Limestone Plant (LP-10)'!$F$13,AJ44*R44))))))))))))</f>
        <v/>
      </c>
      <c r="AL44" s="48" t="str">
        <f t="shared" si="40"/>
        <v/>
      </c>
      <c r="AM44" s="48" t="str">
        <f t="shared" si="41"/>
        <v/>
      </c>
      <c r="AN44" s="48" t="str">
        <f>IF(F44="","",IF(B44="no",'Emission Factors'!$L$43,'Emission Factors'!$L$44))</f>
        <v/>
      </c>
      <c r="AO44" s="48" t="str">
        <f>IF(F44="","",IF(C44="LP-1",IF('Limestone Plant (LP-1)'!$F$14&gt;0,'Limestone Plant (LP-1)'!$F$14,AN44*R44),IF(C44="LP-2",IF('Limestone Plant (LP-2)'!$F$14&gt;0,'Limestone Plant (LP-2)'!$F$14,AN44*R44),IF(C44="LP-3",IF('Limestone Plant (LP-3)'!$F$14&gt;0,'Limestone Plant (LP-3)'!$F$14,AN44*R44),IF(C44="LP-4",IF('Limestone Plant (LP-4)'!$F$14&gt;0,'Limestone Plant (LP-4)'!$F$14,AN44*R44),IF(C44="LP-5",IF('Limestone Plant (LP-5)'!$F$14&gt;0,'Limestone Plant (LP-5)'!$F$14,AN44*R44),IF(C44="LP-6",IF('Limestone Plant (LP-6)'!$F$14&gt;0,'Limestone Plant (LP-6)'!$F$14,AN44*R44),IF(C44="LP-7",IF('Limestone Plant (LP-7)'!$F$14&gt;0,'Limestone Plant (LP-7)'!$F$14,AN44*R44),IF(C44="LP-8",IF('Limestone Plant (LP-8)'!$F$14&gt;0,'Limestone Plant (LP-8)'!$F$14,AN44*R44),IF(C44="LP-9",IF('Limestone Plant (LP-9)'!$F$14&gt;0,'Limestone Plant (LP-9)'!$F$14,AN44*R44),IF(C44="LP-10",IF('Limestone Plant (LP-10)'!$F$14&gt;0,'Limestone Plant (LP-10)'!$F$14,AN44*R44))))))))))))</f>
        <v/>
      </c>
      <c r="AP44" s="48" t="str">
        <f t="shared" si="42"/>
        <v/>
      </c>
      <c r="AQ44" s="48" t="str">
        <f t="shared" si="43"/>
        <v/>
      </c>
      <c r="AR44" s="48" t="str">
        <f>IF(F44="","",IF(B44="no",'Emission Factors'!$N$43,'Emission Factors'!$N$44))</f>
        <v/>
      </c>
      <c r="AS44" s="48" t="str">
        <f>IF(F44="","",IF(C44="LP-1",IF('Limestone Plant (LP-1)'!$F$15&gt;0,'Limestone Plant (LP-1)'!$F$15,AR44*R44),IF(C44="LP-2",IF('Limestone Plant (LP-2)'!$F$15&gt;0,'Limestone Plant (LP-2)'!$F$15,AR44*R44),IF(C44="LP-3",IF('Limestone Plant (LP-3)'!$F$15&gt;0,'Limestone Plant (LP-3)'!$F$15,AR44*R44),IF(C44="LP-4",IF('Limestone Plant (LP-4)'!$F$15&gt;0,'Limestone Plant (LP-4)'!$F$15,AR44*R44),IF(C44="LP-5",IF('Limestone Plant (LP-5)'!$F$15&gt;0,'Limestone Plant (LP-5)'!$F$15,AR44*R44),IF(C44="LP-6",IF('Limestone Plant (LP-6)'!$F$15&gt;0,'Limestone Plant (LP-6)'!$F$15,AR44*R44),IF(C44="LP-7",IF('Limestone Plant (LP-7)'!$F$15&gt;0,'Limestone Plant (LP-7)'!$F$15,AR44*R44),IF(C44="LP-8",IF('Limestone Plant (LP-8)'!$F$15&gt;0,'Limestone Plant (LP-8)'!$F$15,AR44*R44),IF(C44="LP-9",IF('Limestone Plant (LP-9)'!$F$15&gt;0,'Limestone Plant (LP-9)'!$F$15,AR44*R44),IF(C44="LP-10",IF('Limestone Plant (LP-10)'!$F$15&gt;0,'Limestone Plant (LP-10)'!$F$15,AR44*R44))))))))))))</f>
        <v/>
      </c>
      <c r="AT44" s="48" t="str">
        <f t="shared" si="44"/>
        <v/>
      </c>
      <c r="AU44" s="48" t="str">
        <f t="shared" si="45"/>
        <v/>
      </c>
      <c r="AV44" s="48" t="str">
        <f>IF(F44="","",IF(B44="no",'Emission Factors'!$P$43,'Emission Factors'!$P$44))</f>
        <v/>
      </c>
      <c r="AW44" s="48" t="str">
        <f t="shared" si="46"/>
        <v/>
      </c>
      <c r="AX44" s="48" t="str">
        <f t="shared" si="47"/>
        <v/>
      </c>
      <c r="AY44" s="48" t="str">
        <f t="shared" si="48"/>
        <v/>
      </c>
      <c r="AZ44" s="48" t="str">
        <f>IF(F44="","",IF(B44="no",'Emission Factors'!$R$43,'Emission Factors'!$R$44))</f>
        <v/>
      </c>
      <c r="BA44" s="48" t="str">
        <f t="shared" si="49"/>
        <v/>
      </c>
      <c r="BB44" s="48" t="str">
        <f t="shared" si="50"/>
        <v/>
      </c>
      <c r="BC44" s="48" t="str">
        <f t="shared" si="51"/>
        <v/>
      </c>
    </row>
    <row r="45" spans="1:55" x14ac:dyDescent="0.25">
      <c r="B45" s="6" t="str">
        <f>IF(F45="Diesel Generator&gt; 600 bhp","yes","no")</f>
        <v>no</v>
      </c>
      <c r="C45" s="44"/>
      <c r="D45" s="44"/>
      <c r="E45" s="44"/>
      <c r="F45" s="45"/>
      <c r="G45" s="44"/>
      <c r="H45" s="46"/>
      <c r="I45" s="46"/>
      <c r="J45" s="147"/>
      <c r="K45" s="46">
        <f t="shared" si="5"/>
        <v>1</v>
      </c>
      <c r="L45" s="46"/>
      <c r="M45" s="46"/>
      <c r="N45" s="46"/>
      <c r="O45" s="46"/>
      <c r="P45" s="46"/>
      <c r="Q45" s="46"/>
      <c r="R45" s="49" t="str">
        <f>IF(Q45="","",Q45*0.14)</f>
        <v/>
      </c>
      <c r="S45" s="46"/>
      <c r="T45" s="48" t="str">
        <f>IF(S45="","",S45*0.14)</f>
        <v/>
      </c>
      <c r="U45" s="170"/>
      <c r="V45" s="170">
        <f t="shared" si="32"/>
        <v>0</v>
      </c>
      <c r="W45" s="170" t="str">
        <f t="shared" si="33"/>
        <v/>
      </c>
      <c r="X45" s="48" t="str">
        <f>IF(F45="","",IF(B45="no",'Emission Factors'!$D$43,'Emission Factors'!$D$44))</f>
        <v/>
      </c>
      <c r="Y45" s="48" t="str">
        <f t="shared" si="34"/>
        <v/>
      </c>
      <c r="Z45" s="48" t="str">
        <f t="shared" si="35"/>
        <v/>
      </c>
      <c r="AA45" s="48" t="str">
        <f t="shared" si="36"/>
        <v/>
      </c>
      <c r="AB45" s="48" t="str">
        <f>IF(F45="","",IF(B45="no",'Emission Factors'!$F$43,'Emission Factors'!$F$44))</f>
        <v/>
      </c>
      <c r="AC45" s="48" t="str">
        <f t="shared" si="37"/>
        <v/>
      </c>
      <c r="AD45" s="48" t="str">
        <f t="shared" si="38"/>
        <v/>
      </c>
      <c r="AE45" s="48" t="str">
        <f t="shared" si="39"/>
        <v/>
      </c>
      <c r="AF45" s="48" t="str">
        <f>IF(F45="","",IF(B45="no",'Emission Factors'!$H$43,'Emission Factors'!$H$44))</f>
        <v/>
      </c>
      <c r="AG45" s="48" t="str">
        <f>IF(F45="","",IF(C45="LP-1",IF('Limestone Plant (LP-1)'!$F$12&gt;0,'Limestone Plant (LP-1)'!$F$12,AF45*R45*K45),IF(C45="LP-2",IF('Limestone Plant (LP-2)'!$F$12&gt;0,'Limestone Plant (LP-2)'!$F$12,AF45*R45*K45),IF(C45="LP-3",IF('Limestone Plant (LP-3)'!$F$12&gt;0,'Limestone Plant (LP-3)'!$F$12,AF45*R45*K45),IF(C45="LP-4",IF('Limestone Plant (LP-4)'!$F$12&gt;0,'Limestone Plant (LP-4)'!$F$12,AF45*R45*K45),IF(C45="LP-5",IF('Limestone Plant (LP-5)'!$F$12&gt;0,'Limestone Plant (LP-5)'!$F$12,AF45*R45*K45),IF(C45="LP-6",IF('Limestone Plant (LP-6)'!$F$12&gt;0,'Limestone Plant (LP-6)'!$F$12,AF45*R45*K45),IF(C45="LP-7",IF('Limestone Plant (LP-7)'!$F$12&gt;0,'Limestone Plant (LP-7)'!$F$12,AF45*R45*K45),IF(C45="LP-8",IF('Limestone Plant (LP-8)'!$F$12&gt;0,'Limestone Plant (LP-8)'!$F$12,AF45*R45*K45),IF(C45="LP-9",IF('Limestone Plant (LP-9)'!$F$12&gt;0,'Limestone Plant (LP-9)'!$F$12,AF45*R45*K45),IF(C45="LP-10",IF('Limestone Plant (LP-10)'!$F$12&gt;0,'Limestone Plant (LP-10)'!$F$12,AF45*R45*K45))))))))))))</f>
        <v/>
      </c>
      <c r="AH45" s="48" t="str">
        <f t="shared" si="12"/>
        <v/>
      </c>
      <c r="AI45" s="48" t="str">
        <f t="shared" si="13"/>
        <v/>
      </c>
      <c r="AJ45" s="48" t="str">
        <f>IF(F45="","",IF(B45="no",'Emission Factors'!$J$43,'Emission Factors'!$J$44))</f>
        <v/>
      </c>
      <c r="AK45" s="48" t="str">
        <f>IF(F45="","",IF(C45="LP-1",IF('Limestone Plant (LP-1)'!$F$13&gt;0,'Limestone Plant (LP-1)'!$F$13,AJ45*R45),IF(C45="LP-2",IF('Limestone Plant (LP-2)'!$F$13&gt;0,'Limestone Plant (LP-2)'!$F$13,AJ45*R45),IF(C45="LP-3",IF('Limestone Plant (LP-3)'!$F$13&gt;0,'Limestone Plant (LP-3)'!$F$13,AJ45*R45),IF(C45="LP-4",IF('Limestone Plant (LP-4)'!$F$13&gt;0,'Limestone Plant (LP-4)'!$F$13,AJ45*R45),IF(C45="LP-5",IF('Limestone Plant (LP-5)'!$F$13&gt;0,'Limestone Plant (LP-5)'!$F$13,AJ45*R45),IF(C45="LP-6",IF('Limestone Plant (LP-6)'!$F$13&gt;0,'Limestone Plant (LP-6)'!$F$13,AJ45*R45),IF(C45="LP-7",IF('Limestone Plant (LP-7)'!$F$13&gt;0,'Limestone Plant (LP-7)'!$F$13,AJ45*R45),IF(C45="LP-8",IF('Limestone Plant (LP-8)'!$F$13&gt;0,'Limestone Plant (LP-8)'!$F$13,AJ45*R45),IF(C45="LP-9",IF('Limestone Plant (LP-9)'!$F$13&gt;0,'Limestone Plant (LP-9)'!$F$13,AJ45*R45),IF(C45="LP-10",IF('Limestone Plant (LP-10)'!$F$13&gt;0,'Limestone Plant (LP-10)'!$F$13,AJ45*R45))))))))))))</f>
        <v/>
      </c>
      <c r="AL45" s="48" t="str">
        <f t="shared" si="40"/>
        <v/>
      </c>
      <c r="AM45" s="48" t="str">
        <f t="shared" si="41"/>
        <v/>
      </c>
      <c r="AN45" s="48" t="str">
        <f>IF(F45="","",IF(B45="no",'Emission Factors'!$L$43,'Emission Factors'!$L$44))</f>
        <v/>
      </c>
      <c r="AO45" s="48" t="str">
        <f>IF(F45="","",IF(C45="LP-1",IF('Limestone Plant (LP-1)'!$F$14&gt;0,'Limestone Plant (LP-1)'!$F$14,AN45*R45),IF(C45="LP-2",IF('Limestone Plant (LP-2)'!$F$14&gt;0,'Limestone Plant (LP-2)'!$F$14,AN45*R45),IF(C45="LP-3",IF('Limestone Plant (LP-3)'!$F$14&gt;0,'Limestone Plant (LP-3)'!$F$14,AN45*R45),IF(C45="LP-4",IF('Limestone Plant (LP-4)'!$F$14&gt;0,'Limestone Plant (LP-4)'!$F$14,AN45*R45),IF(C45="LP-5",IF('Limestone Plant (LP-5)'!$F$14&gt;0,'Limestone Plant (LP-5)'!$F$14,AN45*R45),IF(C45="LP-6",IF('Limestone Plant (LP-6)'!$F$14&gt;0,'Limestone Plant (LP-6)'!$F$14,AN45*R45),IF(C45="LP-7",IF('Limestone Plant (LP-7)'!$F$14&gt;0,'Limestone Plant (LP-7)'!$F$14,AN45*R45),IF(C45="LP-8",IF('Limestone Plant (LP-8)'!$F$14&gt;0,'Limestone Plant (LP-8)'!$F$14,AN45*R45),IF(C45="LP-9",IF('Limestone Plant (LP-9)'!$F$14&gt;0,'Limestone Plant (LP-9)'!$F$14,AN45*R45),IF(C45="LP-10",IF('Limestone Plant (LP-10)'!$F$14&gt;0,'Limestone Plant (LP-10)'!$F$14,AN45*R45))))))))))))</f>
        <v/>
      </c>
      <c r="AP45" s="48" t="str">
        <f t="shared" si="42"/>
        <v/>
      </c>
      <c r="AQ45" s="48" t="str">
        <f t="shared" si="43"/>
        <v/>
      </c>
      <c r="AR45" s="48" t="str">
        <f>IF(F45="","",IF(B45="no",'Emission Factors'!$N$43,'Emission Factors'!$N$44))</f>
        <v/>
      </c>
      <c r="AS45" s="48" t="str">
        <f>IF(F45="","",IF(C45="LP-1",IF('Limestone Plant (LP-1)'!$F$15&gt;0,'Limestone Plant (LP-1)'!$F$15,AR45*R45),IF(C45="LP-2",IF('Limestone Plant (LP-2)'!$F$15&gt;0,'Limestone Plant (LP-2)'!$F$15,AR45*R45),IF(C45="LP-3",IF('Limestone Plant (LP-3)'!$F$15&gt;0,'Limestone Plant (LP-3)'!$F$15,AR45*R45),IF(C45="LP-4",IF('Limestone Plant (LP-4)'!$F$15&gt;0,'Limestone Plant (LP-4)'!$F$15,AR45*R45),IF(C45="LP-5",IF('Limestone Plant (LP-5)'!$F$15&gt;0,'Limestone Plant (LP-5)'!$F$15,AR45*R45),IF(C45="LP-6",IF('Limestone Plant (LP-6)'!$F$15&gt;0,'Limestone Plant (LP-6)'!$F$15,AR45*R45),IF(C45="LP-7",IF('Limestone Plant (LP-7)'!$F$15&gt;0,'Limestone Plant (LP-7)'!$F$15,AR45*R45),IF(C45="LP-8",IF('Limestone Plant (LP-8)'!$F$15&gt;0,'Limestone Plant (LP-8)'!$F$15,AR45*R45),IF(C45="LP-9",IF('Limestone Plant (LP-9)'!$F$15&gt;0,'Limestone Plant (LP-9)'!$F$15,AR45*R45),IF(C45="LP-10",IF('Limestone Plant (LP-10)'!$F$15&gt;0,'Limestone Plant (LP-10)'!$F$15,AR45*R45))))))))))))</f>
        <v/>
      </c>
      <c r="AT45" s="48" t="str">
        <f t="shared" si="44"/>
        <v/>
      </c>
      <c r="AU45" s="48" t="str">
        <f t="shared" si="45"/>
        <v/>
      </c>
      <c r="AV45" s="48" t="str">
        <f>IF(F45="","",IF(B45="no",'Emission Factors'!$P$43,'Emission Factors'!$P$44))</f>
        <v/>
      </c>
      <c r="AW45" s="48" t="str">
        <f t="shared" si="46"/>
        <v/>
      </c>
      <c r="AX45" s="48" t="str">
        <f t="shared" si="47"/>
        <v/>
      </c>
      <c r="AY45" s="48" t="str">
        <f t="shared" si="48"/>
        <v/>
      </c>
      <c r="AZ45" s="48" t="str">
        <f>IF(F45="","",IF(B45="no",'Emission Factors'!$R$43,'Emission Factors'!$R$44))</f>
        <v/>
      </c>
      <c r="BA45" s="48" t="str">
        <f t="shared" si="49"/>
        <v/>
      </c>
      <c r="BB45" s="48" t="str">
        <f t="shared" si="50"/>
        <v/>
      </c>
      <c r="BC45" s="48" t="str">
        <f t="shared" si="51"/>
        <v/>
      </c>
    </row>
    <row r="46" spans="1:55" x14ac:dyDescent="0.25">
      <c r="B46" s="6" t="str">
        <f>IF(F46="Diesel Generator&gt; 600 bhp","yes","no")</f>
        <v>no</v>
      </c>
      <c r="C46" s="44"/>
      <c r="D46" s="44"/>
      <c r="E46" s="44"/>
      <c r="F46" s="45"/>
      <c r="G46" s="44"/>
      <c r="H46" s="46"/>
      <c r="I46" s="46"/>
      <c r="J46" s="147"/>
      <c r="K46" s="46">
        <f t="shared" si="5"/>
        <v>1</v>
      </c>
      <c r="L46" s="46"/>
      <c r="M46" s="46"/>
      <c r="N46" s="46"/>
      <c r="O46" s="46"/>
      <c r="P46" s="46"/>
      <c r="Q46" s="46"/>
      <c r="R46" s="49" t="str">
        <f>IF(Q46="","",Q46*0.14)</f>
        <v/>
      </c>
      <c r="S46" s="46"/>
      <c r="T46" s="48" t="str">
        <f>IF(S46="","",S46*0.14)</f>
        <v/>
      </c>
      <c r="U46" s="170"/>
      <c r="V46" s="170">
        <f t="shared" si="32"/>
        <v>0</v>
      </c>
      <c r="W46" s="170" t="str">
        <f t="shared" si="33"/>
        <v/>
      </c>
      <c r="X46" s="48" t="str">
        <f>IF(F46="","",IF(B46="no",'Emission Factors'!$D$43,'Emission Factors'!$D$44))</f>
        <v/>
      </c>
      <c r="Y46" s="48" t="str">
        <f t="shared" si="34"/>
        <v/>
      </c>
      <c r="Z46" s="48" t="str">
        <f t="shared" si="35"/>
        <v/>
      </c>
      <c r="AA46" s="48" t="str">
        <f t="shared" si="36"/>
        <v/>
      </c>
      <c r="AB46" s="48" t="str">
        <f>IF(F46="","",IF(B46="no",'Emission Factors'!$F$43,'Emission Factors'!$F$44))</f>
        <v/>
      </c>
      <c r="AC46" s="48" t="str">
        <f t="shared" si="37"/>
        <v/>
      </c>
      <c r="AD46" s="48" t="str">
        <f t="shared" si="38"/>
        <v/>
      </c>
      <c r="AE46" s="48" t="str">
        <f t="shared" si="39"/>
        <v/>
      </c>
      <c r="AF46" s="48" t="str">
        <f>IF(F46="","",IF(B46="no",'Emission Factors'!$H$43,'Emission Factors'!$H$44))</f>
        <v/>
      </c>
      <c r="AG46" s="48" t="str">
        <f>IF(F46="","",IF(C46="LP-1",IF('Limestone Plant (LP-1)'!$F$12&gt;0,'Limestone Plant (LP-1)'!$F$12,AF46*R46*K46),IF(C46="LP-2",IF('Limestone Plant (LP-2)'!$F$12&gt;0,'Limestone Plant (LP-2)'!$F$12,AF46*R46*K46),IF(C46="LP-3",IF('Limestone Plant (LP-3)'!$F$12&gt;0,'Limestone Plant (LP-3)'!$F$12,AF46*R46*K46),IF(C46="LP-4",IF('Limestone Plant (LP-4)'!$F$12&gt;0,'Limestone Plant (LP-4)'!$F$12,AF46*R46*K46),IF(C46="LP-5",IF('Limestone Plant (LP-5)'!$F$12&gt;0,'Limestone Plant (LP-5)'!$F$12,AF46*R46*K46),IF(C46="LP-6",IF('Limestone Plant (LP-6)'!$F$12&gt;0,'Limestone Plant (LP-6)'!$F$12,AF46*R46*K46),IF(C46="LP-7",IF('Limestone Plant (LP-7)'!$F$12&gt;0,'Limestone Plant (LP-7)'!$F$12,AF46*R46*K46),IF(C46="LP-8",IF('Limestone Plant (LP-8)'!$F$12&gt;0,'Limestone Plant (LP-8)'!$F$12,AF46*R46*K46),IF(C46="LP-9",IF('Limestone Plant (LP-9)'!$F$12&gt;0,'Limestone Plant (LP-9)'!$F$12,AF46*R46*K46),IF(C46="LP-10",IF('Limestone Plant (LP-10)'!$F$12&gt;0,'Limestone Plant (LP-10)'!$F$12,AF46*R46*K46))))))))))))</f>
        <v/>
      </c>
      <c r="AH46" s="48" t="str">
        <f t="shared" si="12"/>
        <v/>
      </c>
      <c r="AI46" s="48" t="str">
        <f t="shared" si="13"/>
        <v/>
      </c>
      <c r="AJ46" s="48" t="str">
        <f>IF(F46="","",IF(B46="no",'Emission Factors'!$J$43,'Emission Factors'!$J$44))</f>
        <v/>
      </c>
      <c r="AK46" s="48" t="str">
        <f>IF(F46="","",IF(C46="LP-1",IF('Limestone Plant (LP-1)'!$F$13&gt;0,'Limestone Plant (LP-1)'!$F$13,AJ46*R46),IF(C46="LP-2",IF('Limestone Plant (LP-2)'!$F$13&gt;0,'Limestone Plant (LP-2)'!$F$13,AJ46*R46),IF(C46="LP-3",IF('Limestone Plant (LP-3)'!$F$13&gt;0,'Limestone Plant (LP-3)'!$F$13,AJ46*R46),IF(C46="LP-4",IF('Limestone Plant (LP-4)'!$F$13&gt;0,'Limestone Plant (LP-4)'!$F$13,AJ46*R46),IF(C46="LP-5",IF('Limestone Plant (LP-5)'!$F$13&gt;0,'Limestone Plant (LP-5)'!$F$13,AJ46*R46),IF(C46="LP-6",IF('Limestone Plant (LP-6)'!$F$13&gt;0,'Limestone Plant (LP-6)'!$F$13,AJ46*R46),IF(C46="LP-7",IF('Limestone Plant (LP-7)'!$F$13&gt;0,'Limestone Plant (LP-7)'!$F$13,AJ46*R46),IF(C46="LP-8",IF('Limestone Plant (LP-8)'!$F$13&gt;0,'Limestone Plant (LP-8)'!$F$13,AJ46*R46),IF(C46="LP-9",IF('Limestone Plant (LP-9)'!$F$13&gt;0,'Limestone Plant (LP-9)'!$F$13,AJ46*R46),IF(C46="LP-10",IF('Limestone Plant (LP-10)'!$F$13&gt;0,'Limestone Plant (LP-10)'!$F$13,AJ46*R46))))))))))))</f>
        <v/>
      </c>
      <c r="AL46" s="48" t="str">
        <f t="shared" si="40"/>
        <v/>
      </c>
      <c r="AM46" s="48" t="str">
        <f t="shared" si="41"/>
        <v/>
      </c>
      <c r="AN46" s="48" t="str">
        <f>IF(F46="","",IF(B46="no",'Emission Factors'!$L$43,'Emission Factors'!$L$44))</f>
        <v/>
      </c>
      <c r="AO46" s="48" t="str">
        <f>IF(F46="","",IF(C46="LP-1",IF('Limestone Plant (LP-1)'!$F$14&gt;0,'Limestone Plant (LP-1)'!$F$14,AN46*R46),IF(C46="LP-2",IF('Limestone Plant (LP-2)'!$F$14&gt;0,'Limestone Plant (LP-2)'!$F$14,AN46*R46),IF(C46="LP-3",IF('Limestone Plant (LP-3)'!$F$14&gt;0,'Limestone Plant (LP-3)'!$F$14,AN46*R46),IF(C46="LP-4",IF('Limestone Plant (LP-4)'!$F$14&gt;0,'Limestone Plant (LP-4)'!$F$14,AN46*R46),IF(C46="LP-5",IF('Limestone Plant (LP-5)'!$F$14&gt;0,'Limestone Plant (LP-5)'!$F$14,AN46*R46),IF(C46="LP-6",IF('Limestone Plant (LP-6)'!$F$14&gt;0,'Limestone Plant (LP-6)'!$F$14,AN46*R46),IF(C46="LP-7",IF('Limestone Plant (LP-7)'!$F$14&gt;0,'Limestone Plant (LP-7)'!$F$14,AN46*R46),IF(C46="LP-8",IF('Limestone Plant (LP-8)'!$F$14&gt;0,'Limestone Plant (LP-8)'!$F$14,AN46*R46),IF(C46="LP-9",IF('Limestone Plant (LP-9)'!$F$14&gt;0,'Limestone Plant (LP-9)'!$F$14,AN46*R46),IF(C46="LP-10",IF('Limestone Plant (LP-10)'!$F$14&gt;0,'Limestone Plant (LP-10)'!$F$14,AN46*R46))))))))))))</f>
        <v/>
      </c>
      <c r="AP46" s="48" t="str">
        <f t="shared" si="42"/>
        <v/>
      </c>
      <c r="AQ46" s="48" t="str">
        <f t="shared" si="43"/>
        <v/>
      </c>
      <c r="AR46" s="48" t="str">
        <f>IF(F46="","",IF(B46="no",'Emission Factors'!$N$43,'Emission Factors'!$N$44))</f>
        <v/>
      </c>
      <c r="AS46" s="48" t="str">
        <f>IF(F46="","",IF(C46="LP-1",IF('Limestone Plant (LP-1)'!$F$15&gt;0,'Limestone Plant (LP-1)'!$F$15,AR46*R46),IF(C46="LP-2",IF('Limestone Plant (LP-2)'!$F$15&gt;0,'Limestone Plant (LP-2)'!$F$15,AR46*R46),IF(C46="LP-3",IF('Limestone Plant (LP-3)'!$F$15&gt;0,'Limestone Plant (LP-3)'!$F$15,AR46*R46),IF(C46="LP-4",IF('Limestone Plant (LP-4)'!$F$15&gt;0,'Limestone Plant (LP-4)'!$F$15,AR46*R46),IF(C46="LP-5",IF('Limestone Plant (LP-5)'!$F$15&gt;0,'Limestone Plant (LP-5)'!$F$15,AR46*R46),IF(C46="LP-6",IF('Limestone Plant (LP-6)'!$F$15&gt;0,'Limestone Plant (LP-6)'!$F$15,AR46*R46),IF(C46="LP-7",IF('Limestone Plant (LP-7)'!$F$15&gt;0,'Limestone Plant (LP-7)'!$F$15,AR46*R46),IF(C46="LP-8",IF('Limestone Plant (LP-8)'!$F$15&gt;0,'Limestone Plant (LP-8)'!$F$15,AR46*R46),IF(C46="LP-9",IF('Limestone Plant (LP-9)'!$F$15&gt;0,'Limestone Plant (LP-9)'!$F$15,AR46*R46),IF(C46="LP-10",IF('Limestone Plant (LP-10)'!$F$15&gt;0,'Limestone Plant (LP-10)'!$F$15,AR46*R46))))))))))))</f>
        <v/>
      </c>
      <c r="AT46" s="48" t="str">
        <f t="shared" si="44"/>
        <v/>
      </c>
      <c r="AU46" s="48" t="str">
        <f t="shared" si="45"/>
        <v/>
      </c>
      <c r="AV46" s="48" t="str">
        <f>IF(F46="","",IF(B46="no",'Emission Factors'!$P$43,'Emission Factors'!$P$44))</f>
        <v/>
      </c>
      <c r="AW46" s="48" t="str">
        <f t="shared" si="46"/>
        <v/>
      </c>
      <c r="AX46" s="48" t="str">
        <f t="shared" si="47"/>
        <v/>
      </c>
      <c r="AY46" s="48" t="str">
        <f t="shared" si="48"/>
        <v/>
      </c>
      <c r="AZ46" s="48" t="str">
        <f>IF(F46="","",IF(B46="no",'Emission Factors'!$R$43,'Emission Factors'!$R$44))</f>
        <v/>
      </c>
      <c r="BA46" s="48" t="str">
        <f t="shared" si="49"/>
        <v/>
      </c>
      <c r="BB46" s="48" t="str">
        <f t="shared" si="50"/>
        <v/>
      </c>
      <c r="BC46" s="48" t="str">
        <f t="shared" si="51"/>
        <v/>
      </c>
    </row>
    <row r="47" spans="1:55" x14ac:dyDescent="0.25">
      <c r="B47" s="6" t="str">
        <f>IF(F47="Diesel Generator&gt; 600 bhp","yes","no")</f>
        <v>no</v>
      </c>
      <c r="C47" s="44"/>
      <c r="D47" s="44"/>
      <c r="E47" s="44"/>
      <c r="F47" s="45"/>
      <c r="G47" s="44"/>
      <c r="H47" s="46"/>
      <c r="I47" s="46"/>
      <c r="J47" s="147"/>
      <c r="K47" s="46">
        <f t="shared" si="5"/>
        <v>1</v>
      </c>
      <c r="L47" s="46"/>
      <c r="M47" s="46"/>
      <c r="N47" s="46"/>
      <c r="O47" s="46"/>
      <c r="P47" s="46"/>
      <c r="Q47" s="46"/>
      <c r="R47" s="49" t="str">
        <f>IF(Q47="","",Q47*0.14)</f>
        <v/>
      </c>
      <c r="S47" s="46"/>
      <c r="T47" s="48" t="str">
        <f>IF(S47="","",S47*0.14)</f>
        <v/>
      </c>
      <c r="U47" s="170"/>
      <c r="V47" s="170">
        <f t="shared" si="32"/>
        <v>0</v>
      </c>
      <c r="W47" s="170" t="str">
        <f t="shared" si="33"/>
        <v/>
      </c>
      <c r="X47" s="48" t="str">
        <f>IF(F47="","",IF(B47="no",'Emission Factors'!$D$43,'Emission Factors'!$D$44))</f>
        <v/>
      </c>
      <c r="Y47" s="48" t="str">
        <f t="shared" si="34"/>
        <v/>
      </c>
      <c r="Z47" s="48" t="str">
        <f t="shared" si="35"/>
        <v/>
      </c>
      <c r="AA47" s="48" t="str">
        <f t="shared" si="36"/>
        <v/>
      </c>
      <c r="AB47" s="48" t="str">
        <f>IF(F47="","",IF(B47="no",'Emission Factors'!$F$43,'Emission Factors'!$F$44))</f>
        <v/>
      </c>
      <c r="AC47" s="48" t="str">
        <f t="shared" si="37"/>
        <v/>
      </c>
      <c r="AD47" s="48" t="str">
        <f t="shared" si="38"/>
        <v/>
      </c>
      <c r="AE47" s="48" t="str">
        <f t="shared" si="39"/>
        <v/>
      </c>
      <c r="AF47" s="48" t="str">
        <f>IF(F47="","",IF(B47="no",'Emission Factors'!$H$43,'Emission Factors'!$H$44))</f>
        <v/>
      </c>
      <c r="AG47" s="48" t="str">
        <f>IF(F47="","",IF(C47="LP-1",IF('Limestone Plant (LP-1)'!$F$12&gt;0,'Limestone Plant (LP-1)'!$F$12,AF47*R47*K47),IF(C47="LP-2",IF('Limestone Plant (LP-2)'!$F$12&gt;0,'Limestone Plant (LP-2)'!$F$12,AF47*R47*K47),IF(C47="LP-3",IF('Limestone Plant (LP-3)'!$F$12&gt;0,'Limestone Plant (LP-3)'!$F$12,AF47*R47*K47),IF(C47="LP-4",IF('Limestone Plant (LP-4)'!$F$12&gt;0,'Limestone Plant (LP-4)'!$F$12,AF47*R47*K47),IF(C47="LP-5",IF('Limestone Plant (LP-5)'!$F$12&gt;0,'Limestone Plant (LP-5)'!$F$12,AF47*R47*K47),IF(C47="LP-6",IF('Limestone Plant (LP-6)'!$F$12&gt;0,'Limestone Plant (LP-6)'!$F$12,AF47*R47*K47),IF(C47="LP-7",IF('Limestone Plant (LP-7)'!$F$12&gt;0,'Limestone Plant (LP-7)'!$F$12,AF47*R47*K47),IF(C47="LP-8",IF('Limestone Plant (LP-8)'!$F$12&gt;0,'Limestone Plant (LP-8)'!$F$12,AF47*R47*K47),IF(C47="LP-9",IF('Limestone Plant (LP-9)'!$F$12&gt;0,'Limestone Plant (LP-9)'!$F$12,AF47*R47*K47),IF(C47="LP-10",IF('Limestone Plant (LP-10)'!$F$12&gt;0,'Limestone Plant (LP-10)'!$F$12,AF47*R47*K47))))))))))))</f>
        <v/>
      </c>
      <c r="AH47" s="48" t="str">
        <f t="shared" si="12"/>
        <v/>
      </c>
      <c r="AI47" s="48" t="str">
        <f t="shared" si="13"/>
        <v/>
      </c>
      <c r="AJ47" s="48" t="str">
        <f>IF(F47="","",IF(B47="no",'Emission Factors'!$J$43,'Emission Factors'!$J$44))</f>
        <v/>
      </c>
      <c r="AK47" s="48" t="str">
        <f>IF(F47="","",IF(C47="LP-1",IF('Limestone Plant (LP-1)'!$F$13&gt;0,'Limestone Plant (LP-1)'!$F$13,AJ47*R47),IF(C47="LP-2",IF('Limestone Plant (LP-2)'!$F$13&gt;0,'Limestone Plant (LP-2)'!$F$13,AJ47*R47),IF(C47="LP-3",IF('Limestone Plant (LP-3)'!$F$13&gt;0,'Limestone Plant (LP-3)'!$F$13,AJ47*R47),IF(C47="LP-4",IF('Limestone Plant (LP-4)'!$F$13&gt;0,'Limestone Plant (LP-4)'!$F$13,AJ47*R47),IF(C47="LP-5",IF('Limestone Plant (LP-5)'!$F$13&gt;0,'Limestone Plant (LP-5)'!$F$13,AJ47*R47),IF(C47="LP-6",IF('Limestone Plant (LP-6)'!$F$13&gt;0,'Limestone Plant (LP-6)'!$F$13,AJ47*R47),IF(C47="LP-7",IF('Limestone Plant (LP-7)'!$F$13&gt;0,'Limestone Plant (LP-7)'!$F$13,AJ47*R47),IF(C47="LP-8",IF('Limestone Plant (LP-8)'!$F$13&gt;0,'Limestone Plant (LP-8)'!$F$13,AJ47*R47),IF(C47="LP-9",IF('Limestone Plant (LP-9)'!$F$13&gt;0,'Limestone Plant (LP-9)'!$F$13,AJ47*R47),IF(C47="LP-10",IF('Limestone Plant (LP-10)'!$F$13&gt;0,'Limestone Plant (LP-10)'!$F$13,AJ47*R47))))))))))))</f>
        <v/>
      </c>
      <c r="AL47" s="48" t="str">
        <f t="shared" si="40"/>
        <v/>
      </c>
      <c r="AM47" s="48" t="str">
        <f t="shared" si="41"/>
        <v/>
      </c>
      <c r="AN47" s="48" t="str">
        <f>IF(F47="","",IF(B47="no",'Emission Factors'!$L$43,'Emission Factors'!$L$44))</f>
        <v/>
      </c>
      <c r="AO47" s="48" t="str">
        <f>IF(F47="","",IF(C47="LP-1",IF('Limestone Plant (LP-1)'!$F$14&gt;0,'Limestone Plant (LP-1)'!$F$14,AN47*R47),IF(C47="LP-2",IF('Limestone Plant (LP-2)'!$F$14&gt;0,'Limestone Plant (LP-2)'!$F$14,AN47*R47),IF(C47="LP-3",IF('Limestone Plant (LP-3)'!$F$14&gt;0,'Limestone Plant (LP-3)'!$F$14,AN47*R47),IF(C47="LP-4",IF('Limestone Plant (LP-4)'!$F$14&gt;0,'Limestone Plant (LP-4)'!$F$14,AN47*R47),IF(C47="LP-5",IF('Limestone Plant (LP-5)'!$F$14&gt;0,'Limestone Plant (LP-5)'!$F$14,AN47*R47),IF(C47="LP-6",IF('Limestone Plant (LP-6)'!$F$14&gt;0,'Limestone Plant (LP-6)'!$F$14,AN47*R47),IF(C47="LP-7",IF('Limestone Plant (LP-7)'!$F$14&gt;0,'Limestone Plant (LP-7)'!$F$14,AN47*R47),IF(C47="LP-8",IF('Limestone Plant (LP-8)'!$F$14&gt;0,'Limestone Plant (LP-8)'!$F$14,AN47*R47),IF(C47="LP-9",IF('Limestone Plant (LP-9)'!$F$14&gt;0,'Limestone Plant (LP-9)'!$F$14,AN47*R47),IF(C47="LP-10",IF('Limestone Plant (LP-10)'!$F$14&gt;0,'Limestone Plant (LP-10)'!$F$14,AN47*R47))))))))))))</f>
        <v/>
      </c>
      <c r="AP47" s="48" t="str">
        <f t="shared" si="42"/>
        <v/>
      </c>
      <c r="AQ47" s="48" t="str">
        <f t="shared" si="43"/>
        <v/>
      </c>
      <c r="AR47" s="48" t="str">
        <f>IF(F47="","",IF(B47="no",'Emission Factors'!$N$43,'Emission Factors'!$N$44))</f>
        <v/>
      </c>
      <c r="AS47" s="48" t="str">
        <f>IF(F47="","",IF(C47="LP-1",IF('Limestone Plant (LP-1)'!$F$15&gt;0,'Limestone Plant (LP-1)'!$F$15,AR47*R47),IF(C47="LP-2",IF('Limestone Plant (LP-2)'!$F$15&gt;0,'Limestone Plant (LP-2)'!$F$15,AR47*R47),IF(C47="LP-3",IF('Limestone Plant (LP-3)'!$F$15&gt;0,'Limestone Plant (LP-3)'!$F$15,AR47*R47),IF(C47="LP-4",IF('Limestone Plant (LP-4)'!$F$15&gt;0,'Limestone Plant (LP-4)'!$F$15,AR47*R47),IF(C47="LP-5",IF('Limestone Plant (LP-5)'!$F$15&gt;0,'Limestone Plant (LP-5)'!$F$15,AR47*R47),IF(C47="LP-6",IF('Limestone Plant (LP-6)'!$F$15&gt;0,'Limestone Plant (LP-6)'!$F$15,AR47*R47),IF(C47="LP-7",IF('Limestone Plant (LP-7)'!$F$15&gt;0,'Limestone Plant (LP-7)'!$F$15,AR47*R47),IF(C47="LP-8",IF('Limestone Plant (LP-8)'!$F$15&gt;0,'Limestone Plant (LP-8)'!$F$15,AR47*R47),IF(C47="LP-9",IF('Limestone Plant (LP-9)'!$F$15&gt;0,'Limestone Plant (LP-9)'!$F$15,AR47*R47),IF(C47="LP-10",IF('Limestone Plant (LP-10)'!$F$15&gt;0,'Limestone Plant (LP-10)'!$F$15,AR47*R47))))))))))))</f>
        <v/>
      </c>
      <c r="AT47" s="48" t="str">
        <f t="shared" si="44"/>
        <v/>
      </c>
      <c r="AU47" s="48" t="str">
        <f t="shared" si="45"/>
        <v/>
      </c>
      <c r="AV47" s="48" t="str">
        <f>IF(F47="","",IF(B47="no",'Emission Factors'!$P$43,'Emission Factors'!$P$44))</f>
        <v/>
      </c>
      <c r="AW47" s="48" t="str">
        <f t="shared" si="46"/>
        <v/>
      </c>
      <c r="AX47" s="48" t="str">
        <f t="shared" si="47"/>
        <v/>
      </c>
      <c r="AY47" s="48" t="str">
        <f t="shared" si="48"/>
        <v/>
      </c>
      <c r="AZ47" s="48" t="str">
        <f>IF(F47="","",IF(B47="no",'Emission Factors'!$R$43,'Emission Factors'!$R$44))</f>
        <v/>
      </c>
      <c r="BA47" s="48" t="str">
        <f t="shared" si="49"/>
        <v/>
      </c>
      <c r="BB47" s="48" t="str">
        <f t="shared" si="50"/>
        <v/>
      </c>
      <c r="BC47" s="48" t="str">
        <f t="shared" si="51"/>
        <v/>
      </c>
    </row>
    <row r="48" spans="1:55" x14ac:dyDescent="0.25">
      <c r="B48" s="6" t="str">
        <f>IF(F48="Diesel Generator&gt; 600 bhp","yes","no")</f>
        <v>no</v>
      </c>
      <c r="C48" s="44"/>
      <c r="D48" s="44"/>
      <c r="E48" s="44"/>
      <c r="F48" s="45"/>
      <c r="G48" s="44"/>
      <c r="H48" s="46"/>
      <c r="I48" s="46"/>
      <c r="J48" s="147"/>
      <c r="K48" s="46">
        <f t="shared" si="5"/>
        <v>1</v>
      </c>
      <c r="L48" s="46"/>
      <c r="M48" s="46"/>
      <c r="N48" s="46"/>
      <c r="O48" s="46"/>
      <c r="P48" s="46"/>
      <c r="Q48" s="46"/>
      <c r="R48" s="49" t="str">
        <f>IF(Q48="","",Q48*0.14)</f>
        <v/>
      </c>
      <c r="S48" s="46"/>
      <c r="T48" s="48" t="str">
        <f>IF(S48="","",S48*0.14)</f>
        <v/>
      </c>
      <c r="U48" s="170"/>
      <c r="V48" s="170">
        <f t="shared" si="32"/>
        <v>0</v>
      </c>
      <c r="W48" s="170" t="str">
        <f t="shared" si="33"/>
        <v/>
      </c>
      <c r="X48" s="48" t="str">
        <f>IF(F48="","",IF(B48="no",'Emission Factors'!$D$43,'Emission Factors'!$D$44))</f>
        <v/>
      </c>
      <c r="Y48" s="48" t="str">
        <f t="shared" si="34"/>
        <v/>
      </c>
      <c r="Z48" s="48" t="str">
        <f t="shared" si="35"/>
        <v/>
      </c>
      <c r="AA48" s="48" t="str">
        <f t="shared" si="36"/>
        <v/>
      </c>
      <c r="AB48" s="48" t="str">
        <f>IF(F48="","",IF(B48="no",'Emission Factors'!$F$43,'Emission Factors'!$F$44))</f>
        <v/>
      </c>
      <c r="AC48" s="48" t="str">
        <f t="shared" si="37"/>
        <v/>
      </c>
      <c r="AD48" s="48" t="str">
        <f t="shared" si="38"/>
        <v/>
      </c>
      <c r="AE48" s="48" t="str">
        <f t="shared" si="39"/>
        <v/>
      </c>
      <c r="AF48" s="48" t="str">
        <f>IF(F48="","",IF(B48="no",'Emission Factors'!$H$43,'Emission Factors'!$H$44))</f>
        <v/>
      </c>
      <c r="AG48" s="48" t="str">
        <f>IF(F48="","",IF(C48="LP-1",IF('Limestone Plant (LP-1)'!$F$12&gt;0,'Limestone Plant (LP-1)'!$F$12,AF48*R48*K48),IF(C48="LP-2",IF('Limestone Plant (LP-2)'!$F$12&gt;0,'Limestone Plant (LP-2)'!$F$12,AF48*R48*K48),IF(C48="LP-3",IF('Limestone Plant (LP-3)'!$F$12&gt;0,'Limestone Plant (LP-3)'!$F$12,AF48*R48*K48),IF(C48="LP-4",IF('Limestone Plant (LP-4)'!$F$12&gt;0,'Limestone Plant (LP-4)'!$F$12,AF48*R48*K48),IF(C48="LP-5",IF('Limestone Plant (LP-5)'!$F$12&gt;0,'Limestone Plant (LP-5)'!$F$12,AF48*R48*K48),IF(C48="LP-6",IF('Limestone Plant (LP-6)'!$F$12&gt;0,'Limestone Plant (LP-6)'!$F$12,AF48*R48*K48),IF(C48="LP-7",IF('Limestone Plant (LP-7)'!$F$12&gt;0,'Limestone Plant (LP-7)'!$F$12,AF48*R48*K48),IF(C48="LP-8",IF('Limestone Plant (LP-8)'!$F$12&gt;0,'Limestone Plant (LP-8)'!$F$12,AF48*R48*K48),IF(C48="LP-9",IF('Limestone Plant (LP-9)'!$F$12&gt;0,'Limestone Plant (LP-9)'!$F$12,AF48*R48*K48),IF(C48="LP-10",IF('Limestone Plant (LP-10)'!$F$12&gt;0,'Limestone Plant (LP-10)'!$F$12,AF48*R48*K48))))))))))))</f>
        <v/>
      </c>
      <c r="AH48" s="48" t="str">
        <f t="shared" si="12"/>
        <v/>
      </c>
      <c r="AI48" s="48" t="str">
        <f t="shared" si="13"/>
        <v/>
      </c>
      <c r="AJ48" s="48" t="str">
        <f>IF(F48="","",IF(B48="no",'Emission Factors'!$J$43,'Emission Factors'!$J$44))</f>
        <v/>
      </c>
      <c r="AK48" s="48" t="str">
        <f>IF(F48="","",IF(C48="LP-1",IF('Limestone Plant (LP-1)'!$F$13&gt;0,'Limestone Plant (LP-1)'!$F$13,AJ48*R48),IF(C48="LP-2",IF('Limestone Plant (LP-2)'!$F$13&gt;0,'Limestone Plant (LP-2)'!$F$13,AJ48*R48),IF(C48="LP-3",IF('Limestone Plant (LP-3)'!$F$13&gt;0,'Limestone Plant (LP-3)'!$F$13,AJ48*R48),IF(C48="LP-4",IF('Limestone Plant (LP-4)'!$F$13&gt;0,'Limestone Plant (LP-4)'!$F$13,AJ48*R48),IF(C48="LP-5",IF('Limestone Plant (LP-5)'!$F$13&gt;0,'Limestone Plant (LP-5)'!$F$13,AJ48*R48),IF(C48="LP-6",IF('Limestone Plant (LP-6)'!$F$13&gt;0,'Limestone Plant (LP-6)'!$F$13,AJ48*R48),IF(C48="LP-7",IF('Limestone Plant (LP-7)'!$F$13&gt;0,'Limestone Plant (LP-7)'!$F$13,AJ48*R48),IF(C48="LP-8",IF('Limestone Plant (LP-8)'!$F$13&gt;0,'Limestone Plant (LP-8)'!$F$13,AJ48*R48),IF(C48="LP-9",IF('Limestone Plant (LP-9)'!$F$13&gt;0,'Limestone Plant (LP-9)'!$F$13,AJ48*R48),IF(C48="LP-10",IF('Limestone Plant (LP-10)'!$F$13&gt;0,'Limestone Plant (LP-10)'!$F$13,AJ48*R48))))))))))))</f>
        <v/>
      </c>
      <c r="AL48" s="48" t="str">
        <f t="shared" si="40"/>
        <v/>
      </c>
      <c r="AM48" s="48" t="str">
        <f t="shared" si="41"/>
        <v/>
      </c>
      <c r="AN48" s="48" t="str">
        <f>IF(F48="","",IF(B48="no",'Emission Factors'!$L$43,'Emission Factors'!$L$44))</f>
        <v/>
      </c>
      <c r="AO48" s="48" t="str">
        <f>IF(F48="","",IF(C48="LP-1",IF('Limestone Plant (LP-1)'!$F$14&gt;0,'Limestone Plant (LP-1)'!$F$14,AN48*R48),IF(C48="LP-2",IF('Limestone Plant (LP-2)'!$F$14&gt;0,'Limestone Plant (LP-2)'!$F$14,AN48*R48),IF(C48="LP-3",IF('Limestone Plant (LP-3)'!$F$14&gt;0,'Limestone Plant (LP-3)'!$F$14,AN48*R48),IF(C48="LP-4",IF('Limestone Plant (LP-4)'!$F$14&gt;0,'Limestone Plant (LP-4)'!$F$14,AN48*R48),IF(C48="LP-5",IF('Limestone Plant (LP-5)'!$F$14&gt;0,'Limestone Plant (LP-5)'!$F$14,AN48*R48),IF(C48="LP-6",IF('Limestone Plant (LP-6)'!$F$14&gt;0,'Limestone Plant (LP-6)'!$F$14,AN48*R48),IF(C48="LP-7",IF('Limestone Plant (LP-7)'!$F$14&gt;0,'Limestone Plant (LP-7)'!$F$14,AN48*R48),IF(C48="LP-8",IF('Limestone Plant (LP-8)'!$F$14&gt;0,'Limestone Plant (LP-8)'!$F$14,AN48*R48),IF(C48="LP-9",IF('Limestone Plant (LP-9)'!$F$14&gt;0,'Limestone Plant (LP-9)'!$F$14,AN48*R48),IF(C48="LP-10",IF('Limestone Plant (LP-10)'!$F$14&gt;0,'Limestone Plant (LP-10)'!$F$14,AN48*R48))))))))))))</f>
        <v/>
      </c>
      <c r="AP48" s="48" t="str">
        <f t="shared" si="42"/>
        <v/>
      </c>
      <c r="AQ48" s="48" t="str">
        <f t="shared" si="43"/>
        <v/>
      </c>
      <c r="AR48" s="48" t="str">
        <f>IF(F48="","",IF(B48="no",'Emission Factors'!$N$43,'Emission Factors'!$N$44))</f>
        <v/>
      </c>
      <c r="AS48" s="48" t="str">
        <f>IF(F48="","",IF(C48="LP-1",IF('Limestone Plant (LP-1)'!$F$15&gt;0,'Limestone Plant (LP-1)'!$F$15,AR48*R48),IF(C48="LP-2",IF('Limestone Plant (LP-2)'!$F$15&gt;0,'Limestone Plant (LP-2)'!$F$15,AR48*R48),IF(C48="LP-3",IF('Limestone Plant (LP-3)'!$F$15&gt;0,'Limestone Plant (LP-3)'!$F$15,AR48*R48),IF(C48="LP-4",IF('Limestone Plant (LP-4)'!$F$15&gt;0,'Limestone Plant (LP-4)'!$F$15,AR48*R48),IF(C48="LP-5",IF('Limestone Plant (LP-5)'!$F$15&gt;0,'Limestone Plant (LP-5)'!$F$15,AR48*R48),IF(C48="LP-6",IF('Limestone Plant (LP-6)'!$F$15&gt;0,'Limestone Plant (LP-6)'!$F$15,AR48*R48),IF(C48="LP-7",IF('Limestone Plant (LP-7)'!$F$15&gt;0,'Limestone Plant (LP-7)'!$F$15,AR48*R48),IF(C48="LP-8",IF('Limestone Plant (LP-8)'!$F$15&gt;0,'Limestone Plant (LP-8)'!$F$15,AR48*R48),IF(C48="LP-9",IF('Limestone Plant (LP-9)'!$F$15&gt;0,'Limestone Plant (LP-9)'!$F$15,AR48*R48),IF(C48="LP-10",IF('Limestone Plant (LP-10)'!$F$15&gt;0,'Limestone Plant (LP-10)'!$F$15,AR48*R48))))))))))))</f>
        <v/>
      </c>
      <c r="AT48" s="48" t="str">
        <f t="shared" si="44"/>
        <v/>
      </c>
      <c r="AU48" s="48" t="str">
        <f t="shared" si="45"/>
        <v/>
      </c>
      <c r="AV48" s="48" t="str">
        <f>IF(F48="","",IF(B48="no",'Emission Factors'!$P$43,'Emission Factors'!$P$44))</f>
        <v/>
      </c>
      <c r="AW48" s="48" t="str">
        <f t="shared" si="46"/>
        <v/>
      </c>
      <c r="AX48" s="48" t="str">
        <f t="shared" si="47"/>
        <v/>
      </c>
      <c r="AY48" s="48" t="str">
        <f t="shared" si="48"/>
        <v/>
      </c>
      <c r="AZ48" s="48" t="str">
        <f>IF(F48="","",IF(B48="no",'Emission Factors'!$R$43,'Emission Factors'!$R$44))</f>
        <v/>
      </c>
      <c r="BA48" s="48" t="str">
        <f t="shared" si="49"/>
        <v/>
      </c>
      <c r="BB48" s="48" t="str">
        <f t="shared" si="50"/>
        <v/>
      </c>
      <c r="BC48" s="48" t="str">
        <f t="shared" si="51"/>
        <v/>
      </c>
    </row>
    <row r="49" spans="1:55" x14ac:dyDescent="0.25">
      <c r="B49" s="6" t="str">
        <f>IF(F49="Diesel Generator&gt; 600 bhp","yes","no")</f>
        <v>no</v>
      </c>
      <c r="C49" s="44"/>
      <c r="D49" s="44"/>
      <c r="E49" s="44"/>
      <c r="F49" s="45"/>
      <c r="G49" s="44"/>
      <c r="H49" s="46"/>
      <c r="I49" s="46"/>
      <c r="J49" s="147"/>
      <c r="K49" s="46">
        <f t="shared" si="5"/>
        <v>1</v>
      </c>
      <c r="L49" s="46"/>
      <c r="M49" s="46"/>
      <c r="N49" s="46"/>
      <c r="O49" s="46"/>
      <c r="P49" s="46"/>
      <c r="Q49" s="46"/>
      <c r="R49" s="49" t="str">
        <f>IF(Q49="","",Q49*0.14)</f>
        <v/>
      </c>
      <c r="S49" s="46"/>
      <c r="T49" s="48" t="str">
        <f>IF(S49="","",S49*0.14)</f>
        <v/>
      </c>
      <c r="U49" s="170"/>
      <c r="V49" s="170">
        <f t="shared" si="32"/>
        <v>0</v>
      </c>
      <c r="W49" s="170" t="str">
        <f t="shared" si="33"/>
        <v/>
      </c>
      <c r="X49" s="48" t="str">
        <f>IF(F49="","",IF(B49="no",'Emission Factors'!$D$43,'Emission Factors'!$D$44))</f>
        <v/>
      </c>
      <c r="Y49" s="48" t="str">
        <f t="shared" si="34"/>
        <v/>
      </c>
      <c r="Z49" s="48" t="str">
        <f t="shared" si="35"/>
        <v/>
      </c>
      <c r="AA49" s="48" t="str">
        <f t="shared" si="36"/>
        <v/>
      </c>
      <c r="AB49" s="48" t="str">
        <f>IF(F49="","",IF(B49="no",'Emission Factors'!$F$43,'Emission Factors'!$F$44))</f>
        <v/>
      </c>
      <c r="AC49" s="48" t="str">
        <f t="shared" si="37"/>
        <v/>
      </c>
      <c r="AD49" s="48" t="str">
        <f t="shared" si="38"/>
        <v/>
      </c>
      <c r="AE49" s="48" t="str">
        <f t="shared" si="39"/>
        <v/>
      </c>
      <c r="AF49" s="48" t="str">
        <f>IF(F49="","",IF(B49="no",'Emission Factors'!$H$43,'Emission Factors'!$H$44))</f>
        <v/>
      </c>
      <c r="AG49" s="48" t="str">
        <f>IF(F49="","",IF(C49="LP-1",IF('Limestone Plant (LP-1)'!$F$12&gt;0,'Limestone Plant (LP-1)'!$F$12,AF49*R49*K49),IF(C49="LP-2",IF('Limestone Plant (LP-2)'!$F$12&gt;0,'Limestone Plant (LP-2)'!$F$12,AF49*R49*K49),IF(C49="LP-3",IF('Limestone Plant (LP-3)'!$F$12&gt;0,'Limestone Plant (LP-3)'!$F$12,AF49*R49*K49),IF(C49="LP-4",IF('Limestone Plant (LP-4)'!$F$12&gt;0,'Limestone Plant (LP-4)'!$F$12,AF49*R49*K49),IF(C49="LP-5",IF('Limestone Plant (LP-5)'!$F$12&gt;0,'Limestone Plant (LP-5)'!$F$12,AF49*R49*K49),IF(C49="LP-6",IF('Limestone Plant (LP-6)'!$F$12&gt;0,'Limestone Plant (LP-6)'!$F$12,AF49*R49*K49),IF(C49="LP-7",IF('Limestone Plant (LP-7)'!$F$12&gt;0,'Limestone Plant (LP-7)'!$F$12,AF49*R49*K49),IF(C49="LP-8",IF('Limestone Plant (LP-8)'!$F$12&gt;0,'Limestone Plant (LP-8)'!$F$12,AF49*R49*K49),IF(C49="LP-9",IF('Limestone Plant (LP-9)'!$F$12&gt;0,'Limestone Plant (LP-9)'!$F$12,AF49*R49*K49),IF(C49="LP-10",IF('Limestone Plant (LP-10)'!$F$12&gt;0,'Limestone Plant (LP-10)'!$F$12,AF49*R49*K49))))))))))))</f>
        <v/>
      </c>
      <c r="AH49" s="48" t="str">
        <f t="shared" si="12"/>
        <v/>
      </c>
      <c r="AI49" s="48" t="str">
        <f t="shared" si="13"/>
        <v/>
      </c>
      <c r="AJ49" s="48" t="str">
        <f>IF(F49="","",IF(B49="no",'Emission Factors'!$J$43,'Emission Factors'!$J$44))</f>
        <v/>
      </c>
      <c r="AK49" s="48" t="str">
        <f>IF(F49="","",IF(C49="LP-1",IF('Limestone Plant (LP-1)'!$F$13&gt;0,'Limestone Plant (LP-1)'!$F$13,AJ49*R49),IF(C49="LP-2",IF('Limestone Plant (LP-2)'!$F$13&gt;0,'Limestone Plant (LP-2)'!$F$13,AJ49*R49),IF(C49="LP-3",IF('Limestone Plant (LP-3)'!$F$13&gt;0,'Limestone Plant (LP-3)'!$F$13,AJ49*R49),IF(C49="LP-4",IF('Limestone Plant (LP-4)'!$F$13&gt;0,'Limestone Plant (LP-4)'!$F$13,AJ49*R49),IF(C49="LP-5",IF('Limestone Plant (LP-5)'!$F$13&gt;0,'Limestone Plant (LP-5)'!$F$13,AJ49*R49),IF(C49="LP-6",IF('Limestone Plant (LP-6)'!$F$13&gt;0,'Limestone Plant (LP-6)'!$F$13,AJ49*R49),IF(C49="LP-7",IF('Limestone Plant (LP-7)'!$F$13&gt;0,'Limestone Plant (LP-7)'!$F$13,AJ49*R49),IF(C49="LP-8",IF('Limestone Plant (LP-8)'!$F$13&gt;0,'Limestone Plant (LP-8)'!$F$13,AJ49*R49),IF(C49="LP-9",IF('Limestone Plant (LP-9)'!$F$13&gt;0,'Limestone Plant (LP-9)'!$F$13,AJ49*R49),IF(C49="LP-10",IF('Limestone Plant (LP-10)'!$F$13&gt;0,'Limestone Plant (LP-10)'!$F$13,AJ49*R49))))))))))))</f>
        <v/>
      </c>
      <c r="AL49" s="48" t="str">
        <f t="shared" si="40"/>
        <v/>
      </c>
      <c r="AM49" s="48" t="str">
        <f t="shared" si="41"/>
        <v/>
      </c>
      <c r="AN49" s="48" t="str">
        <f>IF(F49="","",IF(B49="no",'Emission Factors'!$L$43,'Emission Factors'!$L$44))</f>
        <v/>
      </c>
      <c r="AO49" s="48" t="str">
        <f>IF(F49="","",IF(C49="LP-1",IF('Limestone Plant (LP-1)'!$F$14&gt;0,'Limestone Plant (LP-1)'!$F$14,AN49*R49),IF(C49="LP-2",IF('Limestone Plant (LP-2)'!$F$14&gt;0,'Limestone Plant (LP-2)'!$F$14,AN49*R49),IF(C49="LP-3",IF('Limestone Plant (LP-3)'!$F$14&gt;0,'Limestone Plant (LP-3)'!$F$14,AN49*R49),IF(C49="LP-4",IF('Limestone Plant (LP-4)'!$F$14&gt;0,'Limestone Plant (LP-4)'!$F$14,AN49*R49),IF(C49="LP-5",IF('Limestone Plant (LP-5)'!$F$14&gt;0,'Limestone Plant (LP-5)'!$F$14,AN49*R49),IF(C49="LP-6",IF('Limestone Plant (LP-6)'!$F$14&gt;0,'Limestone Plant (LP-6)'!$F$14,AN49*R49),IF(C49="LP-7",IF('Limestone Plant (LP-7)'!$F$14&gt;0,'Limestone Plant (LP-7)'!$F$14,AN49*R49),IF(C49="LP-8",IF('Limestone Plant (LP-8)'!$F$14&gt;0,'Limestone Plant (LP-8)'!$F$14,AN49*R49),IF(C49="LP-9",IF('Limestone Plant (LP-9)'!$F$14&gt;0,'Limestone Plant (LP-9)'!$F$14,AN49*R49),IF(C49="LP-10",IF('Limestone Plant (LP-10)'!$F$14&gt;0,'Limestone Plant (LP-10)'!$F$14,AN49*R49))))))))))))</f>
        <v/>
      </c>
      <c r="AP49" s="48" t="str">
        <f t="shared" si="42"/>
        <v/>
      </c>
      <c r="AQ49" s="48" t="str">
        <f t="shared" si="43"/>
        <v/>
      </c>
      <c r="AR49" s="48" t="str">
        <f>IF(F49="","",IF(B49="no",'Emission Factors'!$N$43,'Emission Factors'!$N$44))</f>
        <v/>
      </c>
      <c r="AS49" s="48" t="str">
        <f>IF(F49="","",IF(C49="LP-1",IF('Limestone Plant (LP-1)'!$F$15&gt;0,'Limestone Plant (LP-1)'!$F$15,AR49*R49),IF(C49="LP-2",IF('Limestone Plant (LP-2)'!$F$15&gt;0,'Limestone Plant (LP-2)'!$F$15,AR49*R49),IF(C49="LP-3",IF('Limestone Plant (LP-3)'!$F$15&gt;0,'Limestone Plant (LP-3)'!$F$15,AR49*R49),IF(C49="LP-4",IF('Limestone Plant (LP-4)'!$F$15&gt;0,'Limestone Plant (LP-4)'!$F$15,AR49*R49),IF(C49="LP-5",IF('Limestone Plant (LP-5)'!$F$15&gt;0,'Limestone Plant (LP-5)'!$F$15,AR49*R49),IF(C49="LP-6",IF('Limestone Plant (LP-6)'!$F$15&gt;0,'Limestone Plant (LP-6)'!$F$15,AR49*R49),IF(C49="LP-7",IF('Limestone Plant (LP-7)'!$F$15&gt;0,'Limestone Plant (LP-7)'!$F$15,AR49*R49),IF(C49="LP-8",IF('Limestone Plant (LP-8)'!$F$15&gt;0,'Limestone Plant (LP-8)'!$F$15,AR49*R49),IF(C49="LP-9",IF('Limestone Plant (LP-9)'!$F$15&gt;0,'Limestone Plant (LP-9)'!$F$15,AR49*R49),IF(C49="LP-10",IF('Limestone Plant (LP-10)'!$F$15&gt;0,'Limestone Plant (LP-10)'!$F$15,AR49*R49))))))))))))</f>
        <v/>
      </c>
      <c r="AT49" s="48" t="str">
        <f t="shared" si="44"/>
        <v/>
      </c>
      <c r="AU49" s="48"/>
      <c r="AV49" s="48" t="str">
        <f>IF(F49="","",IF(B49="no",'Emission Factors'!$P$43,'Emission Factors'!$P$44))</f>
        <v/>
      </c>
      <c r="AW49" s="48" t="str">
        <f t="shared" si="46"/>
        <v/>
      </c>
      <c r="AX49" s="48" t="str">
        <f t="shared" si="47"/>
        <v/>
      </c>
      <c r="AY49" s="48" t="str">
        <f t="shared" si="48"/>
        <v/>
      </c>
      <c r="AZ49" s="48" t="str">
        <f>IF(F49="","",IF(B49="no",'Emission Factors'!$R$43,'Emission Factors'!$R$44))</f>
        <v/>
      </c>
      <c r="BA49" s="48" t="str">
        <f t="shared" si="49"/>
        <v/>
      </c>
      <c r="BB49" s="48" t="str">
        <f t="shared" si="50"/>
        <v/>
      </c>
      <c r="BC49" s="48" t="str">
        <f t="shared" si="51"/>
        <v/>
      </c>
    </row>
    <row r="50" spans="1:55" x14ac:dyDescent="0.25">
      <c r="L50" s="168"/>
      <c r="M50" s="12"/>
      <c r="N50" s="367" t="s">
        <v>315</v>
      </c>
      <c r="O50" s="367"/>
      <c r="P50" s="367"/>
      <c r="Q50" s="171">
        <f>SUM(IF($B$8="no",Q8),IF($B$9="no",Q9),IF($B$10="no",Q10),IF($B$11="no",Q11),IF($B$12="no",Q12),IF($B$13="no",Q13),IF($B$14="no",Q14),IF($B$15="no",Q15),IF($B$16="no",Q16),IF($B$17="no",Q17),IF($B$18="no",Q18),IF($B$19="no",Q19),IF($B$20="no",Q20),IF($B$21="no",Q21),IF($B$22="no",Q22),IF($B$23="no",Q23),IF($B$24="no",Q24),IF($B$25="no",Q25),IF($B$26="no",Q26),IF($B$27="no",Q27),IF($B$28="no",Q28),IF($B$29="no",Q29),IF($B$30="no",Q30),IF($B$31="no",Q31),IF($B$32="no",Q32),IF($B$33="no",Q33),IF($B$34="no",Q34),IF($B$35="no",Q35),IF($B$36="no",Q36),IF($B$37="no",Q37),IF($B$38="no",Q38),IF($B$39="no",Q39),IF($B$40="no",Q40),IF($B$41="no",Q41),IF($B$42="no",Q42),IF($B$43="no",Q43),IF($B$44="no",Q44),IF($B$45="no",Q45),IF($B$46="no",Q46),IF($B$47="no",Q47),IF($B$48="no",Q48),IF($B$49="no",Q49))</f>
        <v>0</v>
      </c>
      <c r="R50" s="171">
        <f>SUM(IF($B$8="no",R8),IF($B$9="no",R9),IF($B$10="no",R10),IF($B$11="no",R11),IF($B$12="no",R12),IF($B$13="no",R13),IF($B$14="no",R14),IF($B$15="no",R15),IF($B$16="no",R16),IF($B$17="no",R17),IF($B$18="no",R18),IF($B$19="no",R19),IF($B$20="no",R20),IF($B$21="no",R21),IF($B$22="no",R22),IF($B$23="no",R23),IF($B$24="no",R24),IF($B$25="no",R25),IF($B$26="no",R26),IF($B$27="no",R27),IF($B$28="no",R28),IF($B$29="no",R29),IF($B$30="no",R30),IF($B$31="no",R31),IF($B$32="no",R32),IF($B$33="no",R33),IF($B$34="no",R34),IF($B$35="no",R35),IF($B$36="no",R36),IF($B$37="no",R37),IF($B$38="no",R38),IF($B$39="no",R39),IF($B$40="no",R40),IF($B$41="no",R41),IF($B$42="no",R42),IF($B$43="no",R43),IF($B$44="no",R44),IF($B$45="no",R45),IF($B$46="no",R46),IF($B$47="no",R47),IF($B$48="no",R48),IF($B$49="no",R49))</f>
        <v>0</v>
      </c>
      <c r="S50" s="171">
        <f>SUM(IF($B$8="no",S8),IF($B$9="no",S9),IF($B$10="no",S10),IF($B$11="no",S11),IF($B$12="no",S12),IF($B$13="no",S13),IF($B$14="no",S14),IF($B$15="no",S15),IF($B$16="no",S16),IF($B$17="no",S17),IF($B$18="no",S18),IF($B$19="no",S19),IF($B$20="no",S20),IF($B$21="no",S21),IF($B$22="no",S22),IF($B$23="no",S23),IF($B$24="no",S24),IF($B$25="no",S25),IF($B$26="no",S26),IF($B$27="no",S27),IF($B$28="no",S28),IF($B$29="no",S29),IF($B$30="no",S30),IF($B$31="no",S31),IF($B$32="no",S32),IF($B$33="no",S33),IF($B$34="no",S34),IF($B$35="no",S35),IF($B$36="no",S36),IF($B$37="no",S37),IF($B$38="no",S38),IF($B$39="no",S39),IF($B$40="no",S40),IF($B$41="no",S41),IF($B$42="no",S42),IF($B$43="no",S43),IF($B$44="no",S44),IF($B$45="no",S45),IF($B$46="no",S46),IF($B$47="no",S47),IF($B$48="no",S48),IF($B$49="no",S49))</f>
        <v>0</v>
      </c>
      <c r="T50" s="171">
        <f>SUM(IF($B$8="no",T8),IF($B$9="no",T9),IF($B$10="no",T10),IF($B$11="no",T11),IF($B$12="no",T12),IF($B$13="no",T13),IF($B$14="no",T14),IF($B$15="no",T15),IF($B$16="no",T16),IF($B$17="no",T17),IF($B$18="no",T18),IF($B$19="no",T19),IF($B$20="no",T20),IF($B$21="no",T21),IF($B$22="no",T22),IF($B$23="no",T23),IF($B$24="no",T24),IF($B$25="no",T25),IF($B$26="no",T26),IF($B$27="no",T27),IF($B$28="no",T28),IF($B$29="no",T29),IF($B$30="no",T30),IF($B$31="no",T31),IF($B$32="no",T32),IF($B$33="no",T33),IF($B$34="no",T34),IF($B$35="no",T35),IF($B$36="no",T36),IF($B$37="no",T37),IF($B$38="no",T38),IF($B$39="no",T39),IF($B$40="no",T40),IF($B$41="no",T41),IF($B$42="no",T42),IF($B$43="no",T43),IF($B$44="no",T44),IF($B$45="no",T45),IF($B$46="no",T46),IF($B$47="no",T47),IF($B$48="no",T48),IF($B$49="no",T49))</f>
        <v>0</v>
      </c>
    </row>
    <row r="51" spans="1:55" x14ac:dyDescent="0.25">
      <c r="A51" s="6" t="s">
        <v>157</v>
      </c>
      <c r="B51" s="6">
        <f t="array" ref="B51">MAX(IF($C$8:$C$49="LP-1",$I$8:$I$49))</f>
        <v>0</v>
      </c>
      <c r="M51" s="169"/>
      <c r="N51" s="365" t="s">
        <v>314</v>
      </c>
      <c r="O51" s="365"/>
      <c r="P51" s="365"/>
      <c r="Q51" s="171">
        <f>SUM(IF($B$8="YES",Q8),IF($B$9="YES",Q9),IF($B$10="YES",Q10),IF($B$11="YES",Q11),IF($B$12="YES",Q12),IF($B$13="YES",Q13),IF($B$14="YES",Q14),IF($B$15="YES",Q15),IF($B$16="YES",Q16),IF($B$17="YES",Q17),IF($B$18="YES",Q18),IF($B$19="YES",Q19),IF($B$20="YES",Q20),IF($B$21="YES",Q21),IF($B$22="YES",Q22),IF($B$23="YES",Q23),IF($B$24="YES",Q24),IF($B$25="YES",Q25),IF($B$26="YES",Q26),IF($B$27="YES",Q27),IF($B$28="YES",Q28),IF($B$29="YES",Q29),IF($B$30="YES",Q30),IF($B$31="YES",Q31),IF($B$32="YES",Q32),IF($B$33="YES",Q33),IF($B$34="YES",Q34),IF($B$35="YES",Q35),IF($B$36="YES",Q36),IF($B$37="YES",Q37),IF($B$38="YES",Q38),IF($B$39="YES",Q39),IF($B$40="YES",Q40),IF($B$41="YES",Q41),IF($B$42="YES",Q42),IF($B$43="YES",Q43),IF($B$44="YES",Q44),IF($B$45="YES",Q45),IF($B$46="YES",Q46),IF($B$47="YES",Q47),IF($B$48="YES",Q48),IF($B$49="YES",Q49))</f>
        <v>0</v>
      </c>
      <c r="R51" s="171">
        <f>SUM(IF($B$8="YES",R8),IF($B$9="YES",R9),IF($B$10="YES",R10),IF($B$11="YES",R11),IF($B$12="YES",R12),IF($B$13="YES",R13),IF($B$14="YES",R14),IF($B$15="YES",R15),IF($B$16="YES",R16),IF($B$17="YES",R17),IF($B$18="YES",R18),IF($B$19="YES",R19),IF($B$20="YES",R20),IF($B$21="YES",R21),IF($B$22="YES",R22),IF($B$23="YES",R23),IF($B$24="YES",R24),IF($B$25="YES",R25),IF($B$26="YES",R26),IF($B$27="YES",R27),IF($B$28="YES",R28),IF($B$29="YES",R29),IF($B$30="YES",R30),IF($B$31="YES",R31),IF($B$32="YES",R32),IF($B$33="YES",R33),IF($B$34="YES",R34),IF($B$35="YES",R35),IF($B$36="YES",R36),IF($B$37="YES",R37),IF($B$38="YES",R38),IF($B$39="YES",R39),IF($B$40="YES",R40),IF($B$41="YES",R41),IF($B$42="YES",R42),IF($B$43="YES",R43),IF($B$44="YES",R44),IF($B$45="YES",R45),IF($B$46="YES",R46),IF($B$47="YES",R47),IF($B$48="YES",R48),IF($B$49="YES",R49))</f>
        <v>0</v>
      </c>
      <c r="S51" s="171">
        <f>SUM(IF($B$8="YES",S8),IF($B$9="YES",S9),IF($B$10="YES",S10),IF($B$11="YES",S11),IF($B$12="YES",S12),IF($B$13="YES",S13),IF($B$14="YES",S14),IF($B$15="YES",S15),IF($B$16="YES",S16),IF($B$17="YES",S17),IF($B$18="YES",S18),IF($B$19="YES",S19),IF($B$20="YES",S20),IF($B$21="YES",S21),IF($B$22="YES",S22),IF($B$23="YES",S23),IF($B$24="YES",S24),IF($B$25="YES",S25),IF($B$26="YES",S26),IF($B$27="YES",S27),IF($B$28="YES",S28),IF($B$29="YES",S29),IF($B$30="YES",S30),IF($B$31="YES",S31),IF($B$32="YES",S32),IF($B$33="YES",S33),IF($B$34="YES",S34),IF($B$35="YES",S35),IF($B$36="YES",S36),IF($B$37="YES",S37),IF($B$38="YES",S38),IF($B$39="YES",S39),IF($B$40="YES",S40),IF($B$41="YES",S41),IF($B$42="YES",S42),IF($B$43="YES",S43),IF($B$44="YES",S44),IF($B$45="YES",S45),IF($B$46="YES",S46),IF($B$47="YES",S47),IF($B$48="YES",S48),IF($B$49="YES",S49))</f>
        <v>0</v>
      </c>
      <c r="T51" s="171">
        <f>SUM(IF($B$8="YES",T8),IF($B$9="YES",T9),IF($B$10="YES",T10),IF($B$11="YES",T11),IF($B$12="YES",T12),IF($B$13="YES",T13),IF($B$14="YES",T14),IF($B$15="YES",T15),IF($B$16="YES",T16),IF($B$17="YES",T17),IF($B$18="YES",T18),IF($B$19="YES",T19),IF($B$20="YES",T20),IF($B$21="YES",T21),IF($B$22="YES",T22),IF($B$23="YES",T23),IF($B$24="YES",T24),IF($B$25="YES",T25),IF($B$26="YES",T26),IF($B$27="YES",T27),IF($B$28="YES",T28),IF($B$29="YES",T29),IF($B$30="YES",T30),IF($B$31="YES",T31),IF($B$32="YES",T32),IF($B$33="YES",T33),IF($B$34="YES",T34),IF($B$35="YES",T35),IF($B$36="YES",T36),IF($B$37="YES",T37),IF($B$38="YES",T38),IF($B$39="YES",T39),IF($B$40="YES",T40),IF($B$41="YES",T41),IF($B$42="YES",T42),IF($B$43="YES",T43),IF($B$44="YES",T44),IF($B$45="YES",T45),IF($B$46="YES",T46),IF($B$47="YES",T47),IF($B$48="YES",T48),IF($B$49="YES",T49))</f>
        <v>0</v>
      </c>
    </row>
    <row r="52" spans="1:55" s="7" customFormat="1" x14ac:dyDescent="0.25">
      <c r="A52" s="7" t="s">
        <v>160</v>
      </c>
      <c r="B52" s="7">
        <f t="array" ref="B52">MAX(IF($C$8:$C$49="LP-2",$I$8:$I$49))</f>
        <v>0</v>
      </c>
      <c r="Q52" s="199"/>
      <c r="R52" s="199"/>
      <c r="Z52" s="195" t="s">
        <v>112</v>
      </c>
      <c r="AA52" s="195" t="s">
        <v>112</v>
      </c>
      <c r="AB52" s="195" t="s">
        <v>16</v>
      </c>
      <c r="AC52" s="195" t="s">
        <v>16</v>
      </c>
      <c r="AD52" s="195" t="s">
        <v>3</v>
      </c>
      <c r="AE52" s="195" t="s">
        <v>3</v>
      </c>
      <c r="AF52" s="195" t="s">
        <v>22</v>
      </c>
      <c r="AG52" s="195" t="s">
        <v>22</v>
      </c>
      <c r="AH52" s="195" t="s">
        <v>5</v>
      </c>
      <c r="AI52" s="195" t="s">
        <v>5</v>
      </c>
      <c r="AJ52" s="195" t="s">
        <v>6</v>
      </c>
      <c r="AK52" s="195" t="s">
        <v>6</v>
      </c>
      <c r="AL52" s="195" t="s">
        <v>8</v>
      </c>
      <c r="AM52" s="195" t="s">
        <v>8</v>
      </c>
      <c r="AN52" s="195" t="s">
        <v>60</v>
      </c>
      <c r="AO52" s="195" t="s">
        <v>60</v>
      </c>
    </row>
    <row r="53" spans="1:55" s="7" customFormat="1" x14ac:dyDescent="0.25">
      <c r="A53" s="7" t="s">
        <v>161</v>
      </c>
      <c r="B53" s="7">
        <f t="array" ref="B53">MAX(IF($C$8:$C$49="LP-3",$I$8:$I$49))</f>
        <v>0</v>
      </c>
      <c r="Z53" s="195" t="s">
        <v>158</v>
      </c>
      <c r="AA53" s="195" t="s">
        <v>159</v>
      </c>
      <c r="AB53" s="195" t="s">
        <v>159</v>
      </c>
      <c r="AC53" s="195" t="s">
        <v>158</v>
      </c>
      <c r="AD53" s="195" t="s">
        <v>158</v>
      </c>
      <c r="AE53" s="195" t="s">
        <v>159</v>
      </c>
      <c r="AF53" s="195" t="s">
        <v>159</v>
      </c>
      <c r="AG53" s="195" t="s">
        <v>158</v>
      </c>
      <c r="AH53" s="195" t="s">
        <v>158</v>
      </c>
      <c r="AI53" s="195" t="s">
        <v>159</v>
      </c>
      <c r="AJ53" s="195" t="s">
        <v>159</v>
      </c>
      <c r="AK53" s="195" t="s">
        <v>158</v>
      </c>
      <c r="AL53" s="195" t="s">
        <v>158</v>
      </c>
      <c r="AM53" s="195" t="s">
        <v>159</v>
      </c>
      <c r="AN53" s="195" t="s">
        <v>159</v>
      </c>
      <c r="AO53" s="195" t="s">
        <v>158</v>
      </c>
    </row>
    <row r="54" spans="1:55" x14ac:dyDescent="0.25">
      <c r="A54" s="6" t="s">
        <v>162</v>
      </c>
      <c r="B54" s="6">
        <f t="array" ref="B54">MAX(IF($C$8:$C$49="LP-4",$I$8:$I$49))</f>
        <v>0</v>
      </c>
      <c r="X54" s="153" t="s">
        <v>157</v>
      </c>
      <c r="Z54" s="172">
        <f t="array" ref="Z54">IF(B51="",SUMIF($C$8:$C$49,"LP-1",$Z$8:$Z$49),MAX(IF(C8:C49="LP-1",Z8:Z49)))</f>
        <v>0</v>
      </c>
      <c r="AA54" s="172">
        <f>SUMIF($C$8:$C$49,"LP-1",$AA$8:$AA$49)</f>
        <v>0</v>
      </c>
      <c r="AB54" s="172">
        <f>SUMIF($C$8:$C$49,"LP-1",$AE$8:$AE$49)</f>
        <v>0</v>
      </c>
      <c r="AC54" s="172">
        <f t="array" ref="AC54">IF(B51="",SUMIF($C$8:$C$49,"LP-1",$AD$8:$AD$49),MAX(IF($C$8:$C$49="LP-1",$AD$8:$AD$49)))</f>
        <v>0</v>
      </c>
      <c r="AD54" s="172">
        <f t="array" ref="AD54">IF(B51="",SUMIF($C$8:$C$49,"LP-1",$AH$8:$AH$49),MAX(IF($C$8:$C$49="LP-1",$AH$8:$AH$49)))</f>
        <v>0</v>
      </c>
      <c r="AE54" s="172">
        <f>SUMIF($C$8:$C$49,"LP-1",$AI$8:$AI$49)</f>
        <v>0</v>
      </c>
      <c r="AF54" s="172">
        <f>SUMIF($C$8:$C$49,"LP-1",$AM$8:$AM$49)</f>
        <v>0</v>
      </c>
      <c r="AG54" s="172">
        <f t="array" ref="AG54">IF(B51="",SUMIF($C$8:$C$49,"LP-1",$AL$8:$AL$49),MAX(IF($C$8:$C$49="LP-1",$AL$8:$AL$49)))</f>
        <v>0</v>
      </c>
      <c r="AH54" s="172">
        <f t="array" ref="AH54">IF(B51="",SUMIF($C$8:$C$49,"LP-1",$AP$8:$AP$49),MAX(IF($C$8:$C$49="LP-1",$AP$8:$AP$49)))</f>
        <v>0</v>
      </c>
      <c r="AI54" s="172">
        <f>SUMIF($C$8:$C$49,"LP-1",$AQ$8:$AQ$49)</f>
        <v>0</v>
      </c>
      <c r="AJ54" s="172">
        <f>SUMIF($C$8:$C$49,"LP-1",$AU$8:$AU$49)</f>
        <v>0</v>
      </c>
      <c r="AK54" s="172">
        <f t="array" ref="AK54">IF(B51="",SUMIF($C$8:$C$49,"LP-1",$AT$8:$AT$49),MAX(IF($C$8:$C$49="LP-1",$AT$8:$AT$49)))</f>
        <v>0</v>
      </c>
      <c r="AL54" s="172">
        <f t="array" ref="AL54">IF(B51="",SUMIF($C$8:$C$49,"LP-1",$AX$8:$AX$49),MAX(IF($C$8:$C$49="LP-1",$AX$8:$AX$49)))</f>
        <v>0</v>
      </c>
      <c r="AM54" s="172">
        <f>SUMIF($C$8:$C$49,"LP-1",$AY$8:$AY$49)</f>
        <v>0</v>
      </c>
      <c r="AN54" s="172">
        <f>SUMIF($C$8:$C$49,"LP-1",$BC$8:$BC$49)</f>
        <v>0</v>
      </c>
      <c r="AO54" s="172">
        <f t="array" ref="AO54">IF(B51="",SUMIF($C$8:$C$49,"LP-1",$BB$8:$BB$49),MAX(IF($C$8:$C$49="LP-1",$BB$8:$BB$49)))</f>
        <v>0</v>
      </c>
    </row>
    <row r="55" spans="1:55" x14ac:dyDescent="0.25">
      <c r="A55" s="6" t="s">
        <v>163</v>
      </c>
      <c r="B55" s="6">
        <f t="array" ref="B55">MAX(IF($C$8:$C$49="LP-5",$I$8:$I$49))</f>
        <v>0</v>
      </c>
      <c r="X55" s="153" t="s">
        <v>160</v>
      </c>
      <c r="Z55" s="172">
        <f t="array" ref="Z55">IF(B52="",SUMIF($C$8:$C$49,"LP-2",$Z$8:$Z$49),MAX(IF($C$8:$C$49="LP-2",$Z$8:$Z$49)))</f>
        <v>0</v>
      </c>
      <c r="AA55" s="172">
        <f>SUMIF($C$8:$C$49,"LP-2",$AA$8:$AA$49)</f>
        <v>0</v>
      </c>
      <c r="AB55" s="172">
        <f>SUMIF($C$8:$C$49,"LP-2",$AE$8:$AE$49)</f>
        <v>0</v>
      </c>
      <c r="AC55" s="172">
        <f t="array" ref="AC55">IF(B52="",SUMIF($C$8:$C$49,"LP-2",$AD$8:$AD$49),MAX(IF($C$8:$C$49="LP-2",$AD$8:$AD$49)))</f>
        <v>0</v>
      </c>
      <c r="AD55" s="172">
        <f t="array" ref="AD55">IF(B52="",SUMIF($C$8:$C$49,"LP-2",$AH$8:$AH$49),MAX(IF($C$8:$C$49="LP-2",$AH$8:$AH$49)))</f>
        <v>0</v>
      </c>
      <c r="AE55" s="172">
        <f>SUMIF($C$8:$C$49,"LP-2",$AI$8:$AI$49)</f>
        <v>0</v>
      </c>
      <c r="AF55" s="172">
        <f>SUMIF($C$8:$C$49,"LP-2",$AM$8:$AM$49)</f>
        <v>0</v>
      </c>
      <c r="AG55" s="172">
        <f t="array" ref="AG55">IF(B52="",SUMIF($C$8:$C$49,"LP-2",$AL$8:$AL$49),MAX(IF($C$8:$C$49="LP-2",$AL$8:$AL$49)))</f>
        <v>0</v>
      </c>
      <c r="AH55" s="172">
        <f t="array" ref="AH55">IF(B52="",SUMIF($C$8:$C$49,"LP-2",$AP$8:$AP$49),MAX(IF($C$8:$C$49="LP-2",$AP$8:$AP$49)))</f>
        <v>0</v>
      </c>
      <c r="AI55" s="172">
        <f>SUMIF($C$8:$C$49,"LP-2",$AQ$8:$AQ$49)</f>
        <v>0</v>
      </c>
      <c r="AJ55" s="172">
        <f>SUMIF($C$8:$C$49,"LP-2",$AU$8:$AU$49)</f>
        <v>0</v>
      </c>
      <c r="AK55" s="172">
        <f t="array" ref="AK55">IF(B52="",SUMIF($C$8:$C$49,"LP-2",$AT$8:$AT$49),MAX(IF($C$8:$C$49="LP-2",$AT$8:$AT$49)))</f>
        <v>0</v>
      </c>
      <c r="AL55" s="172">
        <f t="array" ref="AL55">IF(B52="",SUMIF($C$8:$C$49,"LP-2",$AX$8:$AX$49),MAX(IF($C$8:$C$49="LP-2",$AX$8:$AX$49)))</f>
        <v>0</v>
      </c>
      <c r="AM55" s="172">
        <f>SUMIF($C$8:$C$49,"LP-2",$AY$8:$AY$49)</f>
        <v>0</v>
      </c>
      <c r="AN55" s="172">
        <f>SUMIF($C$8:$C$49,"LP-2",$BC$8:$BC$49)</f>
        <v>0</v>
      </c>
      <c r="AO55" s="172">
        <f t="array" ref="AO55">IF(B52="",SUMIF($C$8:$C$49,"LP-2",$BB$8:$BB$49),MAX(IF($C$8:$C$49="LP-2",$BB$8:$BB$49)))</f>
        <v>0</v>
      </c>
    </row>
    <row r="56" spans="1:55" x14ac:dyDescent="0.25">
      <c r="A56" s="6" t="s">
        <v>164</v>
      </c>
      <c r="B56" s="6">
        <f t="array" ref="B56">MAX(IF($C$8:$C$49="LP-6",$I$8:$I$49))</f>
        <v>0</v>
      </c>
      <c r="X56" s="153" t="s">
        <v>161</v>
      </c>
      <c r="Z56" s="172">
        <f t="array" ref="Z56">IF(B53="",SUMIF($C$8:$C$49,"LP-3",$Z$8:$Z$49),MAX(IF($C$8:$C$49="LP-3",$Z$8:$Z$49)))</f>
        <v>0</v>
      </c>
      <c r="AA56" s="172">
        <f>SUMIF($C$8:$C$49,"LP-3",$AA$8:$AA$49)</f>
        <v>0</v>
      </c>
      <c r="AB56" s="172">
        <f>SUMIF($C$8:$C$49,"LP-3",$AE$8:$AE$49)</f>
        <v>0</v>
      </c>
      <c r="AC56" s="172">
        <f t="array" ref="AC56">IF(B53="",SUMIF($C$8:$C$49,"LP-3",$AD$8:$AD$49),MAX(IF($C$8:$C$49="LP-3",$AD$8:$AD$49)))</f>
        <v>0</v>
      </c>
      <c r="AD56" s="172">
        <f t="array" ref="AD56">IF(B53="",SUMIF($C$8:$C$49,"LP-3",$AH$8:$AH$49),MAX(IF($C$8:$C$49="LP-3",$AH$8:$AH$49)))</f>
        <v>0</v>
      </c>
      <c r="AE56" s="172">
        <f>SUMIF($C$8:$C$49,"LP-3",$AI$8:$AI$49)</f>
        <v>0</v>
      </c>
      <c r="AF56" s="172">
        <f>SUMIF($C$8:$C$49,"LP-3",$AM$8:$AM$49)</f>
        <v>0</v>
      </c>
      <c r="AG56" s="172">
        <f t="array" ref="AG56">IF(B53="",SUMIF($C$8:$C$49,"LP-3",$AL$8:$AL$49),MAX(IF($C$8:$C$49="LP-3",$AL$8:$AL$49)))</f>
        <v>0</v>
      </c>
      <c r="AH56" s="172">
        <f t="array" ref="AH56">IF(B53="",SUMIF($C$8:$C$49,"LP-3",$AP$8:$AP$49),MAX(IF($C$8:$C$49="LP-3",$AP$8:$AP$49)))</f>
        <v>0</v>
      </c>
      <c r="AI56" s="172">
        <f>SUMIF($C$8:$C$49,"LP-3",$AQ$8:$AQ$49)</f>
        <v>0</v>
      </c>
      <c r="AJ56" s="172">
        <f>SUMIF($C$8:$C$49,"LP-3",$AU$8:$AU$49)</f>
        <v>0</v>
      </c>
      <c r="AK56" s="172">
        <f t="array" ref="AK56">IF(B53="",SUMIF($C$8:$C$49,"LP-3",$AT$8:$AT$49),MAX(IF($C$8:$C$49="LP-3",$AT$8:$AT$49)))</f>
        <v>0</v>
      </c>
      <c r="AL56" s="172">
        <f t="array" ref="AL56">IF(B53="",SUMIF($C$8:$C$49,"LP-3",$AX$8:$AX$49),MAX(IF($C$8:$C$49="LP-3",$AX$8:$AX$49)))</f>
        <v>0</v>
      </c>
      <c r="AM56" s="172">
        <f>SUMIF($C$8:$C$49,"LP-3",$AY$8:$AY$49)</f>
        <v>0</v>
      </c>
      <c r="AN56" s="172">
        <f>SUMIF($C$8:$C$49,"LP-3",$BC$8:$BC$49)</f>
        <v>0</v>
      </c>
      <c r="AO56" s="172">
        <f t="array" ref="AO56">IF(B53="",SUMIF($C$8:$C$49,"LP-3",$BB$8:$BB$49),MAX(IF($C$8:$C$49="LP-3",$BB$8:$BB$49)))</f>
        <v>0</v>
      </c>
    </row>
    <row r="57" spans="1:55" x14ac:dyDescent="0.25">
      <c r="A57" s="6" t="s">
        <v>165</v>
      </c>
      <c r="B57" s="6">
        <f t="array" ref="B57">MAX(IF($C$8:$C$49="LP-7",$I$8:$I$49))</f>
        <v>0</v>
      </c>
      <c r="X57" s="153" t="s">
        <v>162</v>
      </c>
      <c r="Z57" s="172">
        <f t="array" ref="Z57">IF(B54="",SUMIF($C$8:$C$49,"LP-4",$Z$8:$Z$49),MAX(IF($C$8:$C$49="LP-4",$Z$8:$Z$49)))</f>
        <v>0</v>
      </c>
      <c r="AA57" s="172">
        <f>SUMIF($C$8:$C$49,"LP-4",$AA$8:$AA$49)</f>
        <v>0</v>
      </c>
      <c r="AB57" s="172">
        <f>SUMIF($C$8:$C$49,"LP-4",$AE$8:$AE$49)</f>
        <v>0</v>
      </c>
      <c r="AC57" s="172">
        <f t="array" ref="AC57">IF(B54="",SUMIF($C$8:$C$49,"LP-4",$AD$8:$AD$49),MAX(IF($C$8:$C$49="LP-4",$AD$8:$AD$49)))</f>
        <v>0</v>
      </c>
      <c r="AD57" s="172">
        <f t="array" ref="AD57">IF(B54="",SUMIF($C$8:$C$49,"LP-4",$AH$8:$AH$49),MAX(IF($C$8:$C$49="LP-4",$AH$8:$AH$49)))</f>
        <v>0</v>
      </c>
      <c r="AE57" s="172">
        <f>SUMIF($C$8:$C$49,"LP-4",$AI$8:$AI$49)</f>
        <v>0</v>
      </c>
      <c r="AF57" s="172">
        <f>SUMIF($C$8:$C$49,"LP-4",$AM$8:$AM$49)</f>
        <v>0</v>
      </c>
      <c r="AG57" s="172">
        <f t="array" ref="AG57">IF(B54="",SUMIF($C$8:$C$49,"LP-4",$AL$8:$AL$49),MAX(IF($C$8:$C$49="LP-4",$AL$8:$AL$49)))</f>
        <v>0</v>
      </c>
      <c r="AH57" s="172">
        <f t="array" ref="AH57">IF(B54="",SUMIF($C$8:$C$49,"LP-4",$AP$8:$AP$49),MAX(IF($C$8:$C$49="LP-4",$AP$8:$AP$49)))</f>
        <v>0</v>
      </c>
      <c r="AI57" s="172">
        <f>SUMIF($C$8:$C$49,"LP-4",$AQ$8:$AQ$49)</f>
        <v>0</v>
      </c>
      <c r="AJ57" s="172">
        <f>SUMIF($C$8:$C$49,"LP-4",$AU$8:$AU$49)</f>
        <v>0</v>
      </c>
      <c r="AK57" s="172">
        <f t="array" ref="AK57">IF(B54="",SUMIF($C$8:$C$49,"LP-4",$AT$8:$AT$49),MAX(IF($C$8:$C$49="LP-4",$AT$8:$AT$49)))</f>
        <v>0</v>
      </c>
      <c r="AL57" s="172">
        <f t="array" ref="AL57">IF(B54="",SUMIF($C$8:$C$49,"LP-4",$AX$8:$AX$49),MAX(IF($C$8:$C$49="LP-4",$AX$8:$AX$49)))</f>
        <v>0</v>
      </c>
      <c r="AM57" s="172">
        <f>SUMIF($C$8:$C$49,"LP-4",$AY$8:$AY$49)</f>
        <v>0</v>
      </c>
      <c r="AN57" s="172">
        <f>SUMIF($C$8:$C$49,"LP-4",$BC$8:$BC$49)</f>
        <v>0</v>
      </c>
      <c r="AO57" s="172">
        <f t="array" ref="AO57">IF(B54="",SUMIF($C$8:$C$49,"LP-4",$BB$8:$BB$49),MAX(IF($C$8:$C$49="LP-4",$BB$8:$BB$49)))</f>
        <v>0</v>
      </c>
    </row>
    <row r="58" spans="1:55" x14ac:dyDescent="0.25">
      <c r="A58" s="6" t="s">
        <v>166</v>
      </c>
      <c r="B58" s="6">
        <f t="array" ref="B58">MAX(IF($C$8:$C$49="LP-8",$I$8:$I$49))</f>
        <v>0</v>
      </c>
      <c r="X58" s="153" t="s">
        <v>163</v>
      </c>
      <c r="Z58" s="172">
        <f t="array" ref="Z58">IF(B55="",SUMIF($C$8:$C$49,"LP-5",$Z$8:$Z$49),MAX(IF($C$8:$C$49="LP-5",$Z$8:$Z$49)))</f>
        <v>0</v>
      </c>
      <c r="AA58" s="172">
        <f>SUMIF($C$8:$C$49,"LP-5",$AA$8:$AA$49)</f>
        <v>0</v>
      </c>
      <c r="AB58" s="172">
        <f>SUMIF($C$8:$C$49,"LP-5",$AE$8:$AE$49)</f>
        <v>0</v>
      </c>
      <c r="AC58" s="172">
        <f t="array" ref="AC58">IF(B55="",SUMIF($C$8:$C$49,"LP-5",$AD$8:$AD$49),MAX(IF($C$8:$C$49="LP-5",$AD$8:$AD$49)))</f>
        <v>0</v>
      </c>
      <c r="AD58" s="172">
        <f t="array" ref="AD58">IF(B55="",SUMIF($C$8:$C$49,"LP-5",$AH$8:$AH$49),MAX(IF($C$8:$C$49="LP-5",$AH$8:$AH$49)))</f>
        <v>0</v>
      </c>
      <c r="AE58" s="172">
        <f>SUMIF($C$8:$C$49,"LP-5",$AI$8:$AI$49)</f>
        <v>0</v>
      </c>
      <c r="AF58" s="172">
        <f>SUMIF($C$8:$C$49,"LP-5",$AM$8:$AM$49)</f>
        <v>0</v>
      </c>
      <c r="AG58" s="172">
        <f t="array" ref="AG58">IF(B55="",SUMIF($C$8:$C$49,"LP-5",$AL$8:$AL$49),MAX(IF($C$8:$C$49="LP-5",$AL$8:$AL$49)))</f>
        <v>0</v>
      </c>
      <c r="AH58" s="172">
        <f t="array" ref="AH58">IF(B55="",SUMIF($C$8:$C$49,"LP-5",$AP$8:$AP$49),MAX(IF($C$8:$C$49="LP-5",$AP$8:$AP$49)))</f>
        <v>0</v>
      </c>
      <c r="AI58" s="172">
        <f>SUMIF($C$8:$C$49,"LP-5",$AQ$8:$AQ$49)</f>
        <v>0</v>
      </c>
      <c r="AJ58" s="172">
        <f>SUMIF($C$8:$C$49,"LP-5",$AU$8:$AU$49)</f>
        <v>0</v>
      </c>
      <c r="AK58" s="172">
        <f t="array" ref="AK58">IF(B55="",SUMIF($C$8:$C$49,"LP-5",$AT$8:$AT$49),MAX(IF($C$8:$C$49="LP-5",$AT$8:$AT$49)))</f>
        <v>0</v>
      </c>
      <c r="AL58" s="172">
        <f t="array" ref="AL58">IF(B55="",SUMIF($C$8:$C$49,"LP-5",$AX$8:$AX$49),MAX(IF($C$8:$C$49="LP-5",$AX$8:$AX$49)))</f>
        <v>0</v>
      </c>
      <c r="AM58" s="172">
        <f>SUMIF($C$8:$C$49,"LP-5",$AY$8:$AY$49)</f>
        <v>0</v>
      </c>
      <c r="AN58" s="172">
        <f>SUMIF($C$8:$C$49,"LP-5",$BC$8:$BC$49)</f>
        <v>0</v>
      </c>
      <c r="AO58" s="172">
        <f t="array" ref="AO58">IF(B55="",SUMIF($C$8:$C$49,"LP-5",$BB$8:$BB$49),MAX(IF($C$8:$C$49="LP-5",$BB$8:$BB$49)))</f>
        <v>0</v>
      </c>
    </row>
    <row r="59" spans="1:55" x14ac:dyDescent="0.25">
      <c r="A59" s="6" t="s">
        <v>167</v>
      </c>
      <c r="B59" s="6">
        <f t="array" ref="B59">MAX(IF($C$8:$C$49="LP-9",$I$8:$I$49))</f>
        <v>0</v>
      </c>
      <c r="X59" s="153" t="s">
        <v>164</v>
      </c>
      <c r="Z59" s="172">
        <f t="array" ref="Z59">IF(B56="",SUMIF($C$8:$C$49,"LP-6",$Z$8:$Z$49),MAX(IF($C$8:$C$49="LP-6",$Z$8:$Z$49)))</f>
        <v>0</v>
      </c>
      <c r="AA59" s="172">
        <f>SUMIF($C$8:$C$49,"LP-6",$AA$8:$AA$49)</f>
        <v>0</v>
      </c>
      <c r="AB59" s="172">
        <f>SUMIF($C$8:$C$49,"LP-6",$AE$8:$AE$49)</f>
        <v>0</v>
      </c>
      <c r="AC59" s="172">
        <f t="array" ref="AC59">IF(B56="",SUMIF($C$8:$C$49,"LP-6",$AD$8:$AD$49),MAX(IF($C$8:$C$49="LP-6",$AD$8:$AD$49)))</f>
        <v>0</v>
      </c>
      <c r="AD59" s="172">
        <f t="array" ref="AD59">IF(B56="",SUMIF($C$8:$C$49,"LP-6",$AH$8:$AH$49),MAX(IF($C$8:$C$49="LP-6",$AH$8:$AH$49)))</f>
        <v>0</v>
      </c>
      <c r="AE59" s="172">
        <f>SUMIF($C$8:$C$49,"LP-6",$AI$8:$AI$49)</f>
        <v>0</v>
      </c>
      <c r="AF59" s="172">
        <f>SUMIF($C$8:$C$49,"LP-6",$AM$8:$AM$49)</f>
        <v>0</v>
      </c>
      <c r="AG59" s="172">
        <f t="array" ref="AG59">IF(B56="",SUMIF($C$8:$C$49,"LP-6",$AL$8:$AL$49),MAX(IF($C$8:$C$49="LP-6",$AL$8:$AL$49)))</f>
        <v>0</v>
      </c>
      <c r="AH59" s="172">
        <f t="array" ref="AH59">IF(B56="",SUMIF($C$8:$C$49,"LP-6",$AP$8:$AP$49),MAX(IF($C$8:$C$49="LP-6",$AP$8:$AP$49)))</f>
        <v>0</v>
      </c>
      <c r="AI59" s="172">
        <f>SUMIF($C$8:$C$49,"LP-6",$AQ$8:$AQ$49)</f>
        <v>0</v>
      </c>
      <c r="AJ59" s="172">
        <f>SUMIF($C$8:$C$49,"LP-6",$AU$8:$AU$49)</f>
        <v>0</v>
      </c>
      <c r="AK59" s="172">
        <f t="array" ref="AK59">IF(B56="",SUMIF($C$8:$C$49,"LP-6",$AT$8:$AT$49),MAX(IF($C$8:$C$49="LP-6",$AT$8:$AT$49)))</f>
        <v>0</v>
      </c>
      <c r="AL59" s="172">
        <f t="array" ref="AL59">IF(B56="",SUMIF($C$8:$C$49,"LP-6",$AX$8:$AX$49),MAX(IF($C$8:$C$49="LP-6",$AX$8:$AX$49)))</f>
        <v>0</v>
      </c>
      <c r="AM59" s="172">
        <f>SUMIF($C$8:$C$49,"LP-6",$AY$8:$AY$49)</f>
        <v>0</v>
      </c>
      <c r="AN59" s="172">
        <f>SUMIF($C$8:$C$49,"LP-6",$BC$8:$BC$49)</f>
        <v>0</v>
      </c>
      <c r="AO59" s="172">
        <f t="array" ref="AO59">IF(B56="",SUMIF($C$8:$C$49,"LP-6",$BB$8:$BB$49),MAX(IF($C$8:$C$49="LP-6",$BB$8:$BB$49)))</f>
        <v>0</v>
      </c>
    </row>
    <row r="60" spans="1:55" x14ac:dyDescent="0.25">
      <c r="A60" s="6" t="s">
        <v>168</v>
      </c>
      <c r="B60" s="6">
        <f t="array" ref="B60">MAX(IF($C$8:$C$49="LP-10",$I$8:$I$49))</f>
        <v>0</v>
      </c>
      <c r="X60" s="153" t="s">
        <v>165</v>
      </c>
      <c r="Z60" s="172">
        <f t="array" ref="Z60">IF(B57="",SUMIF($C$8:$C$49,"LP-7",$Z$8:$Z$49),MAX(IF($C$8:$C$49="LP-7",$Z$8:$Z$49)))</f>
        <v>0</v>
      </c>
      <c r="AA60" s="172">
        <f>SUMIF($C$8:$C$49,"LP-7",$AA$8:$AA$49)</f>
        <v>0</v>
      </c>
      <c r="AB60" s="172">
        <f>SUMIF($C$8:$C$49,"LP-7",$AE$8:$AE$49)</f>
        <v>0</v>
      </c>
      <c r="AC60" s="172">
        <f t="array" ref="AC60">IF(B57="",SUMIF($C$8:$C$49,"LP-7",$AD$8:$AD$49),MAX(IF($C$8:$C$49="LP-7",$AD$8:$AD$49)))</f>
        <v>0</v>
      </c>
      <c r="AD60" s="172">
        <f t="array" ref="AD60">IF(B57="",SUMIF($C$8:$C$49,"LP-7",$AH$8:$AH$49),MAX(IF($C$8:$C$49="LP-7",$AH$8:$AH$49)))</f>
        <v>0</v>
      </c>
      <c r="AE60" s="172">
        <f>SUMIF($C$8:$C$49,"LP-7",$AI$8:$AI$49)</f>
        <v>0</v>
      </c>
      <c r="AF60" s="172">
        <f>SUMIF($C$8:$C$49,"LP-7",$AM$8:$AM$49)</f>
        <v>0</v>
      </c>
      <c r="AG60" s="172">
        <f t="array" ref="AG60">IF(B57="",SUMIF($C$8:$C$49,"LP-7",$AL$8:$AL$49),MAX(IF($C$8:$C$49="LP-7",$AL$8:$AL$49)))</f>
        <v>0</v>
      </c>
      <c r="AH60" s="172">
        <f t="array" ref="AH60">IF(B57="",SUMIF($C$8:$C$49,"LP-7",$AP$8:$AP$49),MAX(IF($C$8:$C$49="LP-7",$AP$8:$AP$49)))</f>
        <v>0</v>
      </c>
      <c r="AI60" s="172">
        <f>SUMIF($C$8:$C$49,"LP-7",$AQ$8:$AQ$49)</f>
        <v>0</v>
      </c>
      <c r="AJ60" s="172">
        <f>SUMIF($C$8:$C$49,"LP-7",$AU$8:$AU$49)</f>
        <v>0</v>
      </c>
      <c r="AK60" s="172">
        <f t="array" ref="AK60">IF(B57="",SUMIF($C$8:$C$49,"LP-7",$AT$8:$AT$49),MAX(IF($C$8:$C$49="LP-7",$AT$8:$AT$49)))</f>
        <v>0</v>
      </c>
      <c r="AL60" s="172">
        <f t="array" ref="AL60">IF(B57="",SUMIF($C$8:$C$49,"LP-7",$AX$8:$AX$49),MAX(IF($C$8:$C$49="LP-7",$AX$8:$AX$49)))</f>
        <v>0</v>
      </c>
      <c r="AM60" s="172">
        <f>SUMIF($C$8:$C$49,"LP-7",$AY$8:$AY$49)</f>
        <v>0</v>
      </c>
      <c r="AN60" s="172">
        <f>SUMIF($C$8:$C$49,"LP-7",$BC$8:$BC$49)</f>
        <v>0</v>
      </c>
      <c r="AO60" s="172">
        <f t="array" ref="AO60">IF(B57="",SUMIF($C$8:$C$49,"LP-7",$BB$8:$BB$49),MAX(IF($C$8:$C$49="LP-7",$BB$8:$BB$49)))</f>
        <v>0</v>
      </c>
    </row>
    <row r="61" spans="1:55" x14ac:dyDescent="0.25">
      <c r="X61" s="153" t="s">
        <v>166</v>
      </c>
      <c r="Z61" s="172">
        <f t="array" ref="Z61">IF(B58="",SUMIF($C$8:$C$49,"LP-8",$Z$8:$Z$49),MAX(IF($C$8:$C$49="LP-8",$Z$8:$Z$49)))</f>
        <v>0</v>
      </c>
      <c r="AA61" s="172">
        <f>SUMIF($C$8:$C$49,"LP-8",$AA$8:$AA$49)</f>
        <v>0</v>
      </c>
      <c r="AB61" s="172">
        <f>SUMIF($C$8:$C$49,"LP-8",$AE$8:$AE$49)</f>
        <v>0</v>
      </c>
      <c r="AC61" s="172">
        <f t="array" ref="AC61">IF(B58="",SUMIF($C$8:$C$49,"LP-8",$AD$8:$AD$49),MAX(IF($C$8:$C$49="LP-8",$AD$8:$AD$49)))</f>
        <v>0</v>
      </c>
      <c r="AD61" s="172">
        <f t="array" ref="AD61">IF(B58="",SUMIF($C$8:$C$49,"LP-8",$AH$8:$AH$49),MAX(IF($C$8:$C$49="LP-8",$AH$8:$AH$49)))</f>
        <v>0</v>
      </c>
      <c r="AE61" s="172">
        <f>SUMIF($C$8:$C$49,"LP-8",$AI$8:$AI$49)</f>
        <v>0</v>
      </c>
      <c r="AF61" s="172">
        <f>SUMIF($C$8:$C$49,"LP-8",$AM$8:$AM$49)</f>
        <v>0</v>
      </c>
      <c r="AG61" s="172">
        <f t="array" ref="AG61">IF(B58="",SUMIF($C$8:$C$49,"LP-8",$AL$8:$AL$49),MAX(IF($C$8:$C$49="LP-8",$AL$8:$AL$49)))</f>
        <v>0</v>
      </c>
      <c r="AH61" s="172">
        <f t="array" ref="AH61">IF(B58="",SUMIF($C$8:$C$49,"LP-8",$AP$8:$AP$49),MAX(IF($C$8:$C$49="LP-8",$AP$8:$AP$49)))</f>
        <v>0</v>
      </c>
      <c r="AI61" s="172">
        <f>SUMIF($C$8:$C$49,"LP-8",$AQ$8:$AQ$49)</f>
        <v>0</v>
      </c>
      <c r="AJ61" s="172">
        <f>SUMIF($C$8:$C$49,"LP-8",$AU$8:$AU$49)</f>
        <v>0</v>
      </c>
      <c r="AK61" s="172">
        <f t="array" ref="AK61">IF(B58="",SUMIF($C$8:$C$49,"LP-8",$AT$8:$AT$49),MAX(IF($C$8:$C$49="LP-8",$AT$8:$AT$49)))</f>
        <v>0</v>
      </c>
      <c r="AL61" s="172">
        <f t="array" ref="AL61">IF(B58="",SUMIF($C$8:$C$49,"LP-8",$AX$8:$AX$49),MAX(IF($C$8:$C$49="LP-8",$AX$8:$AX$49)))</f>
        <v>0</v>
      </c>
      <c r="AM61" s="172">
        <f>SUMIF($C$8:$C$49,"LP-8",$AY$8:$AY$49)</f>
        <v>0</v>
      </c>
      <c r="AN61" s="172">
        <f>SUMIF($C$8:$C$49,"LP-8",$BC$8:$BC$49)</f>
        <v>0</v>
      </c>
      <c r="AO61" s="172">
        <f t="array" ref="AO61">IF(B58="",SUMIF($C$8:$C$49,"LP-8",$BB$8:$BB$49),MAX(IF($C$8:$C$49="LP-8",$BB$8:$BB$49)))</f>
        <v>0</v>
      </c>
    </row>
    <row r="62" spans="1:55" x14ac:dyDescent="0.25">
      <c r="A62" s="6" t="s">
        <v>179</v>
      </c>
      <c r="X62" s="153" t="s">
        <v>167</v>
      </c>
      <c r="Z62" s="172">
        <f t="array" ref="Z62">IF(B59="",SUMIF($C$8:$C$49,"LP-9",$Z$8:$Z$49),MAX(IF($C$8:$C$49="LP-9",$Z$8:$Z$49)))</f>
        <v>0</v>
      </c>
      <c r="AA62" s="172">
        <f>SUMIF($C$8:$C$49,"LP-9",$AA$8:$AA$49)</f>
        <v>0</v>
      </c>
      <c r="AB62" s="172">
        <f>SUMIF($C$8:$C$49,"LP-9",$AE$8:$AE$49)</f>
        <v>0</v>
      </c>
      <c r="AC62" s="172">
        <f t="array" ref="AC62">IF(B59="",SUMIF($C$8:$C$49,"LP-9",$AD$8:$AD$49),MAX(IF($C$8:$C$49="LP-9",$AD$8:$AD$49)))</f>
        <v>0</v>
      </c>
      <c r="AD62" s="172">
        <f t="array" ref="AD62">IF(B59="",SUMIF($C$8:$C$49,"LP-9",$AH$8:$AH$49),MAX(IF($C$8:$C$49="LP-9",$AH$8:$AH$49)))</f>
        <v>0</v>
      </c>
      <c r="AE62" s="172">
        <f>SUMIF($C$8:$C$49,"LP-9",$AI$8:$AI$49)</f>
        <v>0</v>
      </c>
      <c r="AF62" s="172">
        <f>SUMIF($C$8:$C$49,"LP-9",$AM$8:$AM$49)</f>
        <v>0</v>
      </c>
      <c r="AG62" s="172">
        <f t="array" ref="AG62">IF(B59="",SUMIF($C$8:$C$49,"LP-9",$AL$8:$AL$49),MAX(IF($C$8:$C$49="LP-9",$AL$8:$AL$49)))</f>
        <v>0</v>
      </c>
      <c r="AH62" s="172">
        <f t="array" ref="AH62">IF(B59="",SUMIF($C$8:$C$49,"LP-9",$AP$8:$AP$49),MAX(IF($C$8:$C$49="LP-9",$AP$8:$AP$49)))</f>
        <v>0</v>
      </c>
      <c r="AI62" s="172">
        <f>SUMIF($C$8:$C$49,"LP-9",$AQ$8:$AQ$49)</f>
        <v>0</v>
      </c>
      <c r="AJ62" s="172">
        <f>SUMIF($C$8:$C$49,"LP-9",$AU$8:$AU$49)</f>
        <v>0</v>
      </c>
      <c r="AK62" s="172">
        <f t="array" ref="AK62">IF(B59="",SUMIF($C$8:$C$49,"LP-9",$AT$8:$AT$49),MAX(IF($C$8:$C$49="LP-9",$AT$8:$AT$49)))</f>
        <v>0</v>
      </c>
      <c r="AL62" s="172">
        <f t="array" ref="AL62">IF(B59="",SUMIF($C$8:$C$49,"LP-9",$AX$8:$AX$49),MAX(IF($C$8:$C$49="LP-9",$AX$8:$AX$49)))</f>
        <v>0</v>
      </c>
      <c r="AM62" s="172">
        <f>SUMIF($C$8:$C$49,"LP-9",$AY$8:$AY$49)</f>
        <v>0</v>
      </c>
      <c r="AN62" s="172">
        <f>SUMIF($C$8:$C$49,"LP-9",$BC$8:$BC$49)</f>
        <v>0</v>
      </c>
      <c r="AO62" s="172">
        <f t="array" ref="AO62">IF(B59="",SUMIF($C$8:$C$49,"LP-9",$BB$8:$BB$49),MAX(IF($C$8:$C$49="LP-9",$BB$8:$BB$49)))</f>
        <v>0</v>
      </c>
    </row>
    <row r="63" spans="1:55" x14ac:dyDescent="0.25">
      <c r="A63" s="6" t="s">
        <v>180</v>
      </c>
      <c r="X63" s="153" t="s">
        <v>168</v>
      </c>
      <c r="Z63" s="172">
        <f t="array" ref="Z63">IF(B60="",SUMIF($C$8:$C$49,"LP-10",$Z$8:$Z$49),MAX(IF($C$8:$C$49="LP-10",$Z$8:$Z$49)))</f>
        <v>0</v>
      </c>
      <c r="AA63" s="172">
        <f>SUMIF($C$8:$C$49,"LP-10",$AA$8:$AA$49)</f>
        <v>0</v>
      </c>
      <c r="AB63" s="172">
        <f>SUMIF($C$8:$C$49,"LP-10",$AE$8:$AE$49)</f>
        <v>0</v>
      </c>
      <c r="AC63" s="172">
        <f t="array" ref="AC63">IF(B60="",SUMIF($C$8:$C$49,"LP-10",$AD$8:$AD$49),MAX(IF($C$8:$C$49="LP-10",$AD$8:$AD$49)))</f>
        <v>0</v>
      </c>
      <c r="AD63" s="172">
        <f t="array" ref="AD63">IF(B60="",SUMIF($C$8:$C$49,"LP-10",$AH$8:$AH$49),MAX(IF($C$8:$C$49="LP-10",$AH$8:$AH$49)))</f>
        <v>0</v>
      </c>
      <c r="AE63" s="172">
        <f>SUMIF($C$8:$C$49,"LP-10",$AI$8:$AI$49)</f>
        <v>0</v>
      </c>
      <c r="AF63" s="172">
        <f>SUMIF($C$8:$C$49,"LP-10",$AM$8:$AM$49)</f>
        <v>0</v>
      </c>
      <c r="AG63" s="172">
        <f t="array" ref="AG63">IF(B60="",SUMIF($C$8:$C$49,"LP-10",$AL$8:$AL$49),MAX(IF($C$8:$C$49="LP-10",$AL$8:$AL$49)))</f>
        <v>0</v>
      </c>
      <c r="AH63" s="172">
        <f t="array" ref="AH63">IF(B60="",SUMIF($C$8:$C$49,"LP-10",$AP$8:$AP$49),MAX(IF($C$8:$C$49="LP-10",$AP$8:$AP$49)))</f>
        <v>0</v>
      </c>
      <c r="AI63" s="172">
        <f>SUMIF($C$8:$C$49,"LP-10",$AQ$8:$AQ$49)</f>
        <v>0</v>
      </c>
      <c r="AJ63" s="172">
        <f>SUMIF($C$8:$C$49,"LP-10",$AU$8:$AU$49)</f>
        <v>0</v>
      </c>
      <c r="AK63" s="172">
        <f t="array" ref="AK63">IF(B60="",SUMIF($C$8:$C$49,"LP-10",$AT$8:$AT$49),MAX(IF($C$8:$C$49="LP-10",$AT$8:$AT$49)))</f>
        <v>0</v>
      </c>
      <c r="AL63" s="172">
        <f t="array" ref="AL63">IF(B60="",SUMIF($C$8:$C$49,"LP-10",$AX$8:$AX$49),MAX(IF($C$8:$C$49="LP-10",$AX$8:$AX$49)))</f>
        <v>0</v>
      </c>
      <c r="AM63" s="172">
        <f>SUMIF($C$8:$C$49,"LP-10",$AY$8:$AY$49)</f>
        <v>0</v>
      </c>
      <c r="AN63" s="172">
        <f>SUMIF($C$8:$C$49,"LP-10",$BC$8:$BC$49)</f>
        <v>0</v>
      </c>
      <c r="AO63" s="172">
        <f t="array" ref="AO63">IF(B60="",SUMIF($C$8:$C$49,"LP-10",$BB$8:$BB$49),MAX(IF($C$8:$C$49="LP-10",$BB$8:$BB$49)))</f>
        <v>0</v>
      </c>
    </row>
    <row r="64" spans="1:55" ht="15.75" customHeight="1" x14ac:dyDescent="0.25">
      <c r="A64" s="6" t="s">
        <v>177</v>
      </c>
    </row>
    <row r="65" spans="1:41" hidden="1" x14ac:dyDescent="0.25">
      <c r="A65" s="6" t="s">
        <v>178</v>
      </c>
      <c r="Z65" s="6" t="s">
        <v>184</v>
      </c>
      <c r="AA65" s="6" t="s">
        <v>185</v>
      </c>
      <c r="AB65" s="6" t="s">
        <v>184</v>
      </c>
      <c r="AC65" s="6" t="s">
        <v>185</v>
      </c>
      <c r="AD65" s="6" t="s">
        <v>184</v>
      </c>
      <c r="AE65" s="6" t="s">
        <v>185</v>
      </c>
      <c r="AF65" s="6" t="s">
        <v>184</v>
      </c>
      <c r="AG65" s="6" t="s">
        <v>185</v>
      </c>
      <c r="AH65" s="6" t="s">
        <v>184</v>
      </c>
      <c r="AI65" s="6" t="s">
        <v>185</v>
      </c>
      <c r="AJ65" s="6" t="s">
        <v>184</v>
      </c>
      <c r="AK65" s="6" t="s">
        <v>185</v>
      </c>
      <c r="AL65" s="6" t="s">
        <v>184</v>
      </c>
      <c r="AM65" s="6" t="s">
        <v>185</v>
      </c>
      <c r="AN65" s="6" t="s">
        <v>184</v>
      </c>
      <c r="AO65" s="6" t="s">
        <v>185</v>
      </c>
    </row>
    <row r="66" spans="1:41" hidden="1" x14ac:dyDescent="0.25">
      <c r="Y66" s="182" t="s">
        <v>157</v>
      </c>
      <c r="Z66" s="183">
        <f t="array" ref="Z66">IF(B51="",SUMIFS($Z$8:$Z$49,$C$8:C49,"LP-1",$B$8:$B$49,"no"),MAX(IF($C$8:$C$49="LP-1",IF($B$8:$B$49="no",$Z$8:$Z$49))))</f>
        <v>0</v>
      </c>
      <c r="AA66" s="183">
        <f t="array" ref="AA66">IF(B51="",SUMIFS($Z$8:$Z$49,$C$8:D49,"LP-1",$B$8:$B$49,"yes"),MAX(IF($C$8:$C$49="LP-1",IF($B$8:$B$49="yes",$Z$8:$Z$49))))</f>
        <v>0</v>
      </c>
      <c r="AB66" s="183">
        <f t="array" ref="AB66">IF($B$51="",SUMIFS($AD$8:$AD$49,$C$8:E49,"LP-1",$B$8:$B$49,"no"),MAX(IF($C$8:$C$49="LP-1",IF($B$8:$B$49="no",$AD$8:$AD$49))))</f>
        <v>0</v>
      </c>
      <c r="AC66" s="183">
        <f t="array" ref="AC66">IF($B$51="",SUMIFS($AD$8:$AD$49,$C$8:E49,"LP-1",$B$8:$B$49,"yes"),MAX(IF($C$8:$C$49="LP-1",IF($B$8:$B$49="yes",$AD$8:$AD$49))))</f>
        <v>0</v>
      </c>
      <c r="AD66" s="183">
        <f t="array" ref="AD66">IF($B$51="",SUMIFS($AH$8:$AH$49,$C$8:E49,"LP-1",$B$8:$B$49,"no"),MAX(IF($C$8:$C$49="LP-1",IF($B$8:$B$49="no",$AH$8:$AH$49))))</f>
        <v>0</v>
      </c>
      <c r="AE66" s="183">
        <f t="array" ref="AE66">IF($B$51="",SUMIFS($AH$8:$AH$49,$C$8:G49,"LP-1",$B$8:$B$49,"yes"),MAX(IF($C$8:$C$49="LP-1",IF($B$8:$B$49="yes",$AH$8:$AH$49))))</f>
        <v>0</v>
      </c>
      <c r="AF66" s="183">
        <f t="array" ref="AF66">IF($B$51="",SUMIFS($AL$8:$AL$49,$C$8:E49,"LP-1",$B$8:$B$49,"no"),MAX(IF($C$8:$C$49="LP-1",IF($B$8:$B$49="no",$AL$8:$AL$49))))</f>
        <v>0</v>
      </c>
      <c r="AG66" s="183">
        <f t="array" ref="AG66">IF($B$51="",SUMIFS($AL$8:$AL$49,$C$8:I49,"LP-1",$B$8:$B$49,"yes"),MAX(IF($C$8:$C$49="LP-1",IF($B$8:$B$49="yes",$AL$8:$AL$49))))</f>
        <v>0</v>
      </c>
      <c r="AH66" s="183">
        <f t="array" ref="AH66">IF($B$51="",SUMIFS($AP$8:$AP$49,$C$8:E49,"LP-1",$B$8:$B$49,"no"),MAX(IF($C$8:$C$49="LP-1",IF($B$8:$B$49="no",$AP$8:$AP$49))))</f>
        <v>0</v>
      </c>
      <c r="AI66" s="183">
        <f t="array" ref="AI66">IF($B$51="",SUMIFS($AP$8:$AP$49,$C$8:K49,"LP-1",$B$8:$B$49,"yes"),MAX(IF($C$8:$C$49="LP-1",IF($B$8:$B$49="yes",$AP$8:$AP$49))))</f>
        <v>0</v>
      </c>
      <c r="AJ66" s="183">
        <f t="array" ref="AJ66">IF($B$51="",SUMIFS($AT$8:$AT$49,$C$8:E49,"LP-1",$B$8:$B$49,"no"),MAX(IF($C$8:$C$49="LP-1",IF($B$8:$B$49="no",$AT$8:$AT$49))))</f>
        <v>0</v>
      </c>
      <c r="AK66" s="183">
        <f t="array" ref="AK66">IF($B$51="",SUMIFS($AT$8:$AT$49,$C$8:M49,"LP-1",$B$8:$B$49,"yes"),MAX(IF($C$8:$C$49="LP-1",IF($B$8:$B$49="yes",$AT$8:$AT$49))))</f>
        <v>0</v>
      </c>
      <c r="AL66" s="183">
        <f t="array" ref="AL66">IF($B$51="",SUMIFS($AX$8:$AX$49,$C$8:E49,"LP-1",$B$8:$B$49,"no"),MAX(IF($C$8:$C$49="LP-1",IF($B$8:$B$49="no",$AX$8:$AX$49))))</f>
        <v>0</v>
      </c>
      <c r="AM66" s="183">
        <f t="array" ref="AM66">IF($B$51="",SUMIFS($AX$8:$AX$49,$C$8:O49,"LP-1",$B$8:$B$49,"yes"),MAX(IF($C$8:$C$49="LP-1",IF($B$8:$B$49="yes",$AX$8:$AX$49))))</f>
        <v>0</v>
      </c>
      <c r="AN66" s="183">
        <f t="array" ref="AN66">IF($B$51="",SUMIFS($BB$8:$BB$49,$C$8:E49,"LP-1",$B$8:$B$49,"no"),MAX(IF($C$8:$C$49="LP-1",IF($B$8:$B$49="no",$BB$8:$BB$49))))</f>
        <v>0</v>
      </c>
      <c r="AO66" s="183">
        <f t="array" ref="AO66">IF($B$51="",SUMIFS($BB$8:$BB$49,$C$8:Q49,"LP-1",$B$8:$B$49,"yes"),MAX(IF($C$8:$C$49="LP-1",IF($B$8:$B$49="yes",$BB$8:$BB$49))))</f>
        <v>0</v>
      </c>
    </row>
    <row r="67" spans="1:41" hidden="1" x14ac:dyDescent="0.25">
      <c r="Y67" s="182" t="s">
        <v>160</v>
      </c>
      <c r="Z67" s="183">
        <f t="array" ref="Z67">IF(B52="",SUMIFS($Z$8:$Z$49,$C$8:C50,"LP-2",$B$8:$B$49,"no"),MAX(IF($C$8:$C$49="LP-2",IF($B$8:$B$49="no",$Z$8:$Z$49))))</f>
        <v>0</v>
      </c>
      <c r="AA67" s="183">
        <f t="array" ref="AA67">IF(B52="",SUMIFS($Z$8:$Z$49,$C$8:D50,"LP-2",$B$8:$B$49,"yes"),MAX(IF($C$8:$C$49="LP-2",IF($B$8:$B$49="yes",$Z$8:$Z$49))))</f>
        <v>0</v>
      </c>
      <c r="AB67" s="183">
        <f t="array" ref="AB67">IF($B$51="",SUMIFS($AD$8:$AD$49,$C$8:E50,"LP-2",$B$8:$B$49,"no"),MAX(IF($C$8:$C$49="LP-2",IF($B$8:$B$49="no",$AD$8:$AD$49))))</f>
        <v>0</v>
      </c>
      <c r="AC67" s="183">
        <f t="array" ref="AC67">IF($B$51="",SUMIFS($AD$8:$AD$49,$C$8:E50,"LP-2",$B$8:$B$49,"yes"),MAX(IF($C$8:$C$49="LP-2",IF($B$8:$B$49="yes",$AD$8:$AD$49))))</f>
        <v>0</v>
      </c>
      <c r="AD67" s="183">
        <f t="array" ref="AD67">IF($B$51="",SUMIFS($AH$8:$AH$49,$C$8:E50,"LP-2",$B$8:$B$49,"no"),MAX(IF($C$8:$C$49="LP-2",IF($B$8:$B$49="no",$AH$8:$AH$49))))</f>
        <v>0</v>
      </c>
      <c r="AE67" s="183">
        <f t="array" ref="AE67">IF($B$51="",SUMIFS($AH$8:$AH$49,$C$8:G50,"LP-2",$B$8:$B$49,"yes"),MAX(IF($C$8:$C$49="LP-2",IF($B$8:$B$49="yes",$AH$8:$AH$49))))</f>
        <v>0</v>
      </c>
      <c r="AF67" s="183">
        <f t="array" ref="AF67">IF($B$51="",SUMIFS($AL$8:$AL$49,$C$8:E50,"LP-2",$B$8:$B$49,"no"),MAX(IF($C$8:$C$49="LP-2",IF($B$8:$B$49="no",$AL$8:$AL$49))))</f>
        <v>0</v>
      </c>
      <c r="AG67" s="183">
        <f t="array" ref="AG67">IF($B$51="",SUMIFS($AL$8:$AL$49,$C$8:I50,"LP-2",$B$8:$B$49,"yes"),MAX(IF($C$8:$C$49="LP-2",IF($B$8:$B$49="yes",$AL$8:$AL$49))))</f>
        <v>0</v>
      </c>
      <c r="AH67" s="183">
        <f t="array" ref="AH67">IF($B$51="",SUMIFS($AP$8:$AP$49,$C$8:E50,"LP-2",$B$8:$B$49,"no"),MAX(IF($C$8:$C$49="LP-2",IF($B$8:$B$49="no",$AP$8:$AP$49))))</f>
        <v>0</v>
      </c>
      <c r="AI67" s="183">
        <f t="array" ref="AI67">IF($B$51="",SUMIFS($AP$8:$AP$49,$C$8:K50,"LP-2",$B$8:$B$49,"yes"),MAX(IF($C$8:$C$49="LP-2",IF($B$8:$B$49="yes",$AP$8:$AP$49))))</f>
        <v>0</v>
      </c>
      <c r="AJ67" s="183">
        <f t="array" ref="AJ67">IF($B$51="",SUMIFS($AT$8:$AT$49,$C$8:E50,"LP-2",$B$8:$B$49,"no"),MAX(IF($C$8:$C$49="LP-2",IF($B$8:$B$49="no",$AT$8:$AT$49))))</f>
        <v>0</v>
      </c>
      <c r="AK67" s="183">
        <f t="array" ref="AK67">IF($B$51="",SUMIFS($AT$8:$AT$49,$C$8:M50,"LP-2",$B$8:$B$49,"yes"),MAX(IF($C$8:$C$49="LP-2",IF($B$8:$B$49="yes",$AT$8:$AT$49))))</f>
        <v>0</v>
      </c>
      <c r="AL67" s="183">
        <f t="array" ref="AL67">IF($B$51="",SUMIFS($AX$8:$AX$49,$C$8:E50,"LP-2",$B$8:$B$49,"no"),MAX(IF($C$8:$C$49="LP-2",IF($B$8:$B$49="no",$AX$8:$AX$49))))</f>
        <v>0</v>
      </c>
      <c r="AM67" s="183">
        <f t="array" ref="AM67">IF($B$51="",SUMIFS($AX$8:$AX$49,$C$8:O50,"LP-2",$B$8:$B$49,"yes"),MAX(IF($C$8:$C$49="LP-2",IF($B$8:$B$49="yes",$AX$8:$AX$49))))</f>
        <v>0</v>
      </c>
      <c r="AN67" s="183">
        <f t="array" ref="AN67">IF($B$51="",SUMIFS($BB$8:$BB$49,$C$8:E50,"LP-2",$B$8:$B$49,"no"),MAX(IF($C$8:$C$49="LP-2",IF($B$8:$B$49="no",$BB$8:$BB$49))))</f>
        <v>0</v>
      </c>
      <c r="AO67" s="183">
        <f t="array" ref="AO67">IF($B$51="",SUMIFS($BB$8:$BB$49,$C$8:Q50,"LP-2",$B$8:$B$49,"yes"),MAX(IF($C$8:$C$49="LP-2",IF($B$8:$B$49="yes",$BB$8:$BB$49))))</f>
        <v>0</v>
      </c>
    </row>
    <row r="68" spans="1:41" hidden="1" x14ac:dyDescent="0.25">
      <c r="Y68" s="182" t="s">
        <v>161</v>
      </c>
      <c r="Z68" s="183">
        <f t="array" ref="Z68">IF(B53="",SUMIFS($Z$8:$Z$49,$C$8:C51,"LP-3",$B$8:$B$49,"no"),MAX(IF($C$8:$C$49="LP-3",IF($B$8:$B$49="no",$Z$8:$Z$49))))</f>
        <v>0</v>
      </c>
      <c r="AA68" s="183">
        <f t="array" ref="AA68">IF(B53="",SUMIFS($Z$8:$Z$49,$C$8:D51,"LP-3",$B$8:$B$49,"yes"),MAX(IF($C$8:$C$49="LP-3",IF($B$8:$B$49="yes",$Z$8:$Z$49))))</f>
        <v>0</v>
      </c>
      <c r="AB68" s="183">
        <f t="array" ref="AB68">IF($B$51="",SUMIFS($AD$8:$AD$49,$C$8:E51,"LP-3",$B$8:$B$49,"no"),MAX(IF($C$8:$C$49="LP-3",IF($B$8:$B$49="no",$AD$8:$AD$49))))</f>
        <v>0</v>
      </c>
      <c r="AC68" s="183">
        <f t="array" ref="AC68">IF($B$51="",SUMIFS($AD$8:$AD$49,$C$8:E51,"LP-3",$B$8:$B$49,"yes"),MAX(IF($C$8:$C$49="LP-3",IF($B$8:$B$49="yes",$AD$8:$AD$49))))</f>
        <v>0</v>
      </c>
      <c r="AD68" s="183">
        <f t="array" ref="AD68">IF($B$51="",SUMIFS($AH$8:$AH$49,$C$8:E51,"LP-3",$B$8:$B$49,"no"),MAX(IF($C$8:$C$49="LP-3",IF($B$8:$B$49="no",$AH$8:$AH$49))))</f>
        <v>0</v>
      </c>
      <c r="AE68" s="183">
        <f t="array" ref="AE68">IF($B$51="",SUMIFS($AH$8:$AH$49,$C$8:G51,"LP-3",$B$8:$B$49,"yes"),MAX(IF($C$8:$C$49="LP-3",IF($B$8:$B$49="yes",$AH$8:$AH$49))))</f>
        <v>0</v>
      </c>
      <c r="AF68" s="183">
        <f t="array" ref="AF68">IF($B$51="",SUMIFS($AL$8:$AL$49,$C$8:E51,"LP-3",$B$8:$B$49,"no"),MAX(IF($C$8:$C$49="LP-3",IF($B$8:$B$49="no",$AL$8:$AL$49))))</f>
        <v>0</v>
      </c>
      <c r="AG68" s="183">
        <f t="array" ref="AG68">IF($B$51="",SUMIFS($AL$8:$AL$49,$C$8:I51,"LP-3",$B$8:$B$49,"yes"),MAX(IF($C$8:$C$49="LP-3",IF($B$8:$B$49="yes",$AL$8:$AL$49))))</f>
        <v>0</v>
      </c>
      <c r="AH68" s="183">
        <f t="array" ref="AH68">IF($B$51="",SUMIFS($AP$8:$AP$49,$C$8:E51,"LP-3",$B$8:$B$49,"no"),MAX(IF($C$8:$C$49="LP-3",IF($B$8:$B$49="no",$AP$8:$AP$49))))</f>
        <v>0</v>
      </c>
      <c r="AI68" s="183">
        <f t="array" ref="AI68">IF($B$51="",SUMIFS($AP$8:$AP$49,$C$8:K51,"LP-3",$B$8:$B$49,"yes"),MAX(IF($C$8:$C$49="LP-3",IF($B$8:$B$49="yes",$AP$8:$AP$49))))</f>
        <v>0</v>
      </c>
      <c r="AJ68" s="183">
        <f t="array" ref="AJ68">IF($B$51="",SUMIFS($AT$8:$AT$49,$C$8:E51,"LP-3",$B$8:$B$49,"no"),MAX(IF($C$8:$C$49="LP-3",IF($B$8:$B$49="no",$AT$8:$AT$49))))</f>
        <v>0</v>
      </c>
      <c r="AK68" s="183">
        <f t="array" ref="AK68">IF($B$51="",SUMIFS($AT$8:$AT$49,$C$8:M51,"LP-3",$B$8:$B$49,"yes"),MAX(IF($C$8:$C$49="LP-3",IF($B$8:$B$49="yes",$AT$8:$AT$49))))</f>
        <v>0</v>
      </c>
      <c r="AL68" s="183">
        <f t="array" ref="AL68">IF($B$51="",SUMIFS($AX$8:$AX$49,$C$8:E51,"LP-3",$B$8:$B$49,"no"),MAX(IF($C$8:$C$49="LP-3",IF($B$8:$B$49="no",$AX$8:$AX$49))))</f>
        <v>0</v>
      </c>
      <c r="AM68" s="183">
        <f t="array" ref="AM68">IF($B$51="",SUMIFS($AX$8:$AX$49,$C$8:O51,"LP-3",$B$8:$B$49,"yes"),MAX(IF($C$8:$C$49="LP-3",IF($B$8:$B$49="yes",$AX$8:$AX$49))))</f>
        <v>0</v>
      </c>
      <c r="AN68" s="183">
        <f t="array" ref="AN68">IF($B$51="",SUMIFS($BB$8:$BB$49,$C$8:E51,"LP-3",$B$8:$B$49,"no"),MAX(IF($C$8:$C$49="LP-3",IF($B$8:$B$49="no",$BB$8:$BB$49))))</f>
        <v>0</v>
      </c>
      <c r="AO68" s="183">
        <f t="array" ref="AO68">IF($B$51="",SUMIFS($BB$8:$BB$49,$C$8:Q51,"LP-3",$B$8:$B$49,"yes"),MAX(IF($C$8:$C$49="LP-3",IF($B$8:$B$49="yes",$BB$8:$BB$49))))</f>
        <v>0</v>
      </c>
    </row>
    <row r="69" spans="1:41" hidden="1" x14ac:dyDescent="0.25">
      <c r="Y69" s="182" t="s">
        <v>162</v>
      </c>
      <c r="Z69" s="183">
        <f t="array" ref="Z69">IF(B54="",SUMIFS($Z$8:$Z$49,$C$8:C52,"LP-4",$B$8:$B$49,"no"),MAX(IF($C$8:$C$49="LP-4",IF($B$8:$B$49="no",$Z$8:$Z$49))))</f>
        <v>0</v>
      </c>
      <c r="AA69" s="183">
        <f t="array" ref="AA69">IF(B54="",SUMIFS($Z$8:$Z$49,$C$8:D52,"LP-4",$B$8:$B$49,"yes"),MAX(IF($C$8:$C$49="LP-4",IF($B$8:$B$49="yes",$Z$8:$Z$49))))</f>
        <v>0</v>
      </c>
      <c r="AB69" s="183">
        <f t="array" ref="AB69">IF($B$51="",SUMIFS($AD$8:$AD$49,$C$8:E52,"LP-4",$B$8:$B$49,"no"),MAX(IF($C$8:$C$49="LP-4",IF($B$8:$B$49="no",$AD$8:$AD$49))))</f>
        <v>0</v>
      </c>
      <c r="AC69" s="183">
        <f t="array" ref="AC69">IF($B$51="",SUMIFS($AD$8:$AD$49,$C$8:E52,"LP-4",$B$8:$B$49,"yes"),MAX(IF($C$8:$C$49="LP-4",IF($B$8:$B$49="yes",$AD$8:$AD$49))))</f>
        <v>0</v>
      </c>
      <c r="AD69" s="183">
        <f t="array" ref="AD69">IF($B$51="",SUMIFS($AH$8:$AH$49,$C$8:E52,"LP-4",$B$8:$B$49,"no"),MAX(IF($C$8:$C$49="LP-4",IF($B$8:$B$49="no",$AH$8:$AH$49))))</f>
        <v>0</v>
      </c>
      <c r="AE69" s="183">
        <f t="array" ref="AE69">IF($B$51="",SUMIFS($AH$8:$AH$49,$C$8:G52,"LP-4",$B$8:$B$49,"yes"),MAX(IF($C$8:$C$49="LP-4",IF($B$8:$B$49="yes",$AH$8:$AH$49))))</f>
        <v>0</v>
      </c>
      <c r="AF69" s="183">
        <f t="array" ref="AF69">IF($B$51="",SUMIFS($AL$8:$AL$49,$C$8:E52,"LP-4",$B$8:$B$49,"no"),MAX(IF($C$8:$C$49="LP-4",IF($B$8:$B$49="no",$AL$8:$AL$49))))</f>
        <v>0</v>
      </c>
      <c r="AG69" s="183">
        <f t="array" ref="AG69">IF($B$51="",SUMIFS($AL$8:$AL$49,$C$8:I52,"LP-4",$B$8:$B$49,"yes"),MAX(IF($C$8:$C$49="LP-4",IF($B$8:$B$49="yes",$AL$8:$AL$49))))</f>
        <v>0</v>
      </c>
      <c r="AH69" s="183">
        <f t="array" ref="AH69">IF($B$51="",SUMIFS($AP$8:$AP$49,$C$8:E52,"LP-4",$B$8:$B$49,"no"),MAX(IF($C$8:$C$49="LP-4",IF($B$8:$B$49="no",$AP$8:$AP$49))))</f>
        <v>0</v>
      </c>
      <c r="AI69" s="183">
        <f t="array" ref="AI69">IF($B$51="",SUMIFS($AP$8:$AP$49,$C$8:K52,"LP-4",$B$8:$B$49,"yes"),MAX(IF($C$8:$C$49="LP-4",IF($B$8:$B$49="yes",$AP$8:$AP$49))))</f>
        <v>0</v>
      </c>
      <c r="AJ69" s="183">
        <f t="array" ref="AJ69">IF($B$51="",SUMIFS($AT$8:$AT$49,$C$8:E52,"LP-4",$B$8:$B$49,"no"),MAX(IF($C$8:$C$49="LP-4",IF($B$8:$B$49="no",$AT$8:$AT$49))))</f>
        <v>0</v>
      </c>
      <c r="AK69" s="183">
        <f t="array" ref="AK69">IF($B$51="",SUMIFS($AT$8:$AT$49,$C$8:M52,"LP-4",$B$8:$B$49,"yes"),MAX(IF($C$8:$C$49="LP-4",IF($B$8:$B$49="yes",$AT$8:$AT$49))))</f>
        <v>0</v>
      </c>
      <c r="AL69" s="183">
        <f t="array" ref="AL69">IF($B$51="",SUMIFS($AX$8:$AX$49,$C$8:E52,"LP-4",$B$8:$B$49,"no"),MAX(IF($C$8:$C$49="LP-4",IF($B$8:$B$49="no",$AX$8:$AX$49))))</f>
        <v>0</v>
      </c>
      <c r="AM69" s="183">
        <f t="array" ref="AM69">IF($B$51="",SUMIFS($AX$8:$AX$49,$C$8:O52,"LP-4",$B$8:$B$49,"yes"),MAX(IF($C$8:$C$49="LP-4",IF($B$8:$B$49="yes",$AX$8:$AX$49))))</f>
        <v>0</v>
      </c>
      <c r="AN69" s="183">
        <f t="array" ref="AN69">IF($B$51="",SUMIFS($BB$8:$BB$49,$C$8:E52,"LP-4",$B$8:$B$49,"no"),MAX(IF($C$8:$C$49="LP-4",IF($B$8:$B$49="no",$BB$8:$BB$49))))</f>
        <v>0</v>
      </c>
      <c r="AO69" s="183">
        <f t="array" ref="AO69">IF($B$51="",SUMIFS($BB$8:$BB$49,$C$8:Q52,"LP-4",$B$8:$B$49,"yes"),MAX(IF($C$8:$C$49="LP-4",IF($B$8:$B$49="yes",$BB$8:$BB$49))))</f>
        <v>0</v>
      </c>
    </row>
    <row r="70" spans="1:41" hidden="1" x14ac:dyDescent="0.25">
      <c r="Y70" s="182" t="s">
        <v>163</v>
      </c>
      <c r="Z70" s="183">
        <f t="array" ref="Z70">IF(B55="",SUMIFS($Z$8:$Z$49,$C$8:C53,"LP-5",$B$8:$B$49,"no"),MAX(IF($C$8:$C$49="LP-5",IF($B$8:$B$49="no",$Z$8:$Z$49))))</f>
        <v>0</v>
      </c>
      <c r="AA70" s="183">
        <f t="array" ref="AA70">IF(B55="",SUMIFS($Z$8:$Z$49,$C$8:D53,"LP-5",$B$8:$B$49,"yes"),MAX(IF($C$8:$C$49="LP-5",IF($B$8:$B$49="yes",$Z$8:$Z$49))))</f>
        <v>0</v>
      </c>
      <c r="AB70" s="183">
        <f t="array" ref="AB70">IF($B$51="",SUMIFS($AD$8:$AD$49,$C$8:E53,"LP-5",$B$8:$B$49,"no"),MAX(IF($C$8:$C$49="LP-5",IF($B$8:$B$49="no",$AD$8:$AD$49))))</f>
        <v>0</v>
      </c>
      <c r="AC70" s="183">
        <f t="array" ref="AC70">IF($B$51="",SUMIFS($AD$8:$AD$49,$C$8:E53,"LP-5",$B$8:$B$49,"yes"),MAX(IF($C$8:$C$49="LP-5",IF($B$8:$B$49="yes",$AD$8:$AD$49))))</f>
        <v>0</v>
      </c>
      <c r="AD70" s="183">
        <f t="array" ref="AD70">IF($B$51="",SUMIFS($AH$8:$AH$49,$C$8:E53,"LP-5",$B$8:$B$49,"no"),MAX(IF($C$8:$C$49="LP-5",IF($B$8:$B$49="no",$AH$8:$AH$49))))</f>
        <v>0</v>
      </c>
      <c r="AE70" s="183">
        <f t="array" ref="AE70">IF($B$51="",SUMIFS($AH$8:$AH$49,$C$8:G53,"LP-5",$B$8:$B$49,"yes"),MAX(IF($C$8:$C$49="LP-5",IF($B$8:$B$49="yes",$AH$8:$AH$49))))</f>
        <v>0</v>
      </c>
      <c r="AF70" s="183">
        <f t="array" ref="AF70">IF($B$51="",SUMIFS($AL$8:$AL$49,$C$8:E53,"LP-5",$B$8:$B$49,"no"),MAX(IF($C$8:$C$49="LP-5",IF($B$8:$B$49="no",$AL$8:$AL$49))))</f>
        <v>0</v>
      </c>
      <c r="AG70" s="183">
        <f t="array" ref="AG70">IF($B$51="",SUMIFS($AL$8:$AL$49,$C$8:I53,"LP-5",$B$8:$B$49,"yes"),MAX(IF($C$8:$C$49="LP-5",IF($B$8:$B$49="yes",$AL$8:$AL$49))))</f>
        <v>0</v>
      </c>
      <c r="AH70" s="183">
        <f t="array" ref="AH70">IF($B$51="",SUMIFS($AP$8:$AP$49,$C$8:E53,"LP-5",$B$8:$B$49,"no"),MAX(IF($C$8:$C$49="LP-5",IF($B$8:$B$49="no",$AP$8:$AP$49))))</f>
        <v>0</v>
      </c>
      <c r="AI70" s="183">
        <f t="array" ref="AI70">IF($B$51="",SUMIFS($AP$8:$AP$49,$C$8:K53,"LP-5",$B$8:$B$49,"yes"),MAX(IF($C$8:$C$49="LP-5",IF($B$8:$B$49="yes",$AP$8:$AP$49))))</f>
        <v>0</v>
      </c>
      <c r="AJ70" s="183">
        <f t="array" ref="AJ70">IF($B$51="",SUMIFS($AT$8:$AT$49,$C$8:E53,"LP-5",$B$8:$B$49,"no"),MAX(IF($C$8:$C$49="LP-5",IF($B$8:$B$49="no",$AT$8:$AT$49))))</f>
        <v>0</v>
      </c>
      <c r="AK70" s="183">
        <f t="array" ref="AK70">IF($B$51="",SUMIFS($AT$8:$AT$49,$C$8:M53,"LP-5",$B$8:$B$49,"yes"),MAX(IF($C$8:$C$49="LP-5",IF($B$8:$B$49="yes",$AT$8:$AT$49))))</f>
        <v>0</v>
      </c>
      <c r="AL70" s="183">
        <f t="array" ref="AL70">IF($B$51="",SUMIFS($AX$8:$AX$49,$C$8:E53,"LP-5",$B$8:$B$49,"no"),MAX(IF($C$8:$C$49="LP-5",IF($B$8:$B$49="no",$AX$8:$AX$49))))</f>
        <v>0</v>
      </c>
      <c r="AM70" s="183">
        <f t="array" ref="AM70">IF($B$51="",SUMIFS($AX$8:$AX$49,$C$8:O53,"LP-5",$B$8:$B$49,"yes"),MAX(IF($C$8:$C$49="LP-5",IF($B$8:$B$49="yes",$AX$8:$AX$49))))</f>
        <v>0</v>
      </c>
      <c r="AN70" s="183">
        <f t="array" ref="AN70">IF($B$51="",SUMIFS($BB$8:$BB$49,$C$8:E53,"LP-5",$B$8:$B$49,"no"),MAX(IF($C$8:$C$49="LP-5",IF($B$8:$B$49="no",$BB$8:$BB$49))))</f>
        <v>0</v>
      </c>
      <c r="AO70" s="183">
        <f t="array" ref="AO70">IF($B$51="",SUMIFS($BB$8:$BB$49,$C$8:Q53,"LP-5",$B$8:$B$49,"yes"),MAX(IF($C$8:$C$49="LP-5",IF($B$8:$B$49="yes",$BB$8:$BB$49))))</f>
        <v>0</v>
      </c>
    </row>
    <row r="71" spans="1:41" hidden="1" x14ac:dyDescent="0.25">
      <c r="Y71" s="182" t="s">
        <v>164</v>
      </c>
      <c r="Z71" s="183">
        <f t="array" ref="Z71">IF(B56="",SUMIFS($Z$8:$Z$49,$C$8:C54,"LP-6",$B$8:$B$49,"no"),MAX(IF($C$8:$C$49="LP-6",IF($B$8:$B$49="no",$Z$8:$Z$49))))</f>
        <v>0</v>
      </c>
      <c r="AA71" s="183">
        <f t="array" ref="AA71">IF(B56="",SUMIFS($Z$8:$Z$49,$C$8:D54,"LP-6",$B$8:$B$49,"yes"),MAX(IF($C$8:$C$49="LP-6",IF($B$8:$B$49="yes",$Z$8:$Z$49))))</f>
        <v>0</v>
      </c>
      <c r="AB71" s="183">
        <f t="array" ref="AB71">IF($B$51="",SUMIFS($AD$8:$AD$49,$C$8:E54,"LP-6",$B$8:$B$49,"no"),MAX(IF($C$8:$C$49="LP-6",IF($B$8:$B$49="no",$AD$8:$AD$49))))</f>
        <v>0</v>
      </c>
      <c r="AC71" s="183">
        <f t="array" ref="AC71">IF($B$51="",SUMIFS($AD$8:$AD$49,$C$8:E54,"LP-6",$B$8:$B$49,"yes"),MAX(IF($C$8:$C$49="LP-6",IF($B$8:$B$49="yes",$AD$8:$AD$49))))</f>
        <v>0</v>
      </c>
      <c r="AD71" s="183">
        <f t="array" ref="AD71">IF($B$51="",SUMIFS($AH$8:$AH$49,$C$8:E54,"LP-6",$B$8:$B$49,"no"),MAX(IF($C$8:$C$49="LP-6",IF($B$8:$B$49="no",$AH$8:$AH$49))))</f>
        <v>0</v>
      </c>
      <c r="AE71" s="183">
        <f t="array" ref="AE71">IF($B$51="",SUMIFS($AH$8:$AH$49,$C$8:G54,"LP-6",$B$8:$B$49,"yes"),MAX(IF($C$8:$C$49="LP-6",IF($B$8:$B$49="yes",$AH$8:$AH$49))))</f>
        <v>0</v>
      </c>
      <c r="AF71" s="183">
        <f t="array" ref="AF71">IF($B$51="",SUMIFS($AL$8:$AL$49,$C$8:E54,"LP-6",$B$8:$B$49,"no"),MAX(IF($C$8:$C$49="LP-6",IF($B$8:$B$49="no",$AL$8:$AL$49))))</f>
        <v>0</v>
      </c>
      <c r="AG71" s="183">
        <f t="array" ref="AG71">IF($B$51="",SUMIFS($AL$8:$AL$49,$C$8:I54,"LP-6",$B$8:$B$49,"yes"),MAX(IF($C$8:$C$49="LP-6",IF($B$8:$B$49="yes",$AL$8:$AL$49))))</f>
        <v>0</v>
      </c>
      <c r="AH71" s="183">
        <f t="array" ref="AH71">IF($B$51="",SUMIFS($AP$8:$AP$49,$C$8:E54,"LP-6",$B$8:$B$49,"no"),MAX(IF($C$8:$C$49="LP-6",IF($B$8:$B$49="no",$AP$8:$AP$49))))</f>
        <v>0</v>
      </c>
      <c r="AI71" s="183">
        <f t="array" ref="AI71">IF($B$51="",SUMIFS($AP$8:$AP$49,$C$8:K54,"LP-6",$B$8:$B$49,"yes"),MAX(IF($C$8:$C$49="LP-6",IF($B$8:$B$49="yes",$AP$8:$AP$49))))</f>
        <v>0</v>
      </c>
      <c r="AJ71" s="183">
        <f t="array" ref="AJ71">IF($B$51="",SUMIFS($AT$8:$AT$49,$C$8:E54,"LP-6",$B$8:$B$49,"no"),MAX(IF($C$8:$C$49="LP-6",IF($B$8:$B$49="no",$AT$8:$AT$49))))</f>
        <v>0</v>
      </c>
      <c r="AK71" s="183">
        <f t="array" ref="AK71">IF($B$51="",SUMIFS($AT$8:$AT$49,$C$8:M54,"LP-6",$B$8:$B$49,"yes"),MAX(IF($C$8:$C$49="LP-6",IF($B$8:$B$49="yes",$AT$8:$AT$49))))</f>
        <v>0</v>
      </c>
      <c r="AL71" s="183">
        <f t="array" ref="AL71">IF($B$51="",SUMIFS($AX$8:$AX$49,$C$8:E54,"LP-6",$B$8:$B$49,"no"),MAX(IF($C$8:$C$49="LP-6",IF($B$8:$B$49="no",$AX$8:$AX$49))))</f>
        <v>0</v>
      </c>
      <c r="AM71" s="183">
        <f t="array" ref="AM71">IF($B$51="",SUMIFS($AX$8:$AX$49,$C$8:O54,"LP-6",$B$8:$B$49,"yes"),MAX(IF($C$8:$C$49="LP-6",IF($B$8:$B$49="yes",$AX$8:$AX$49))))</f>
        <v>0</v>
      </c>
      <c r="AN71" s="183">
        <f t="array" ref="AN71">IF($B$51="",SUMIFS($BB$8:$BB$49,$C$8:E54,"LP-6",$B$8:$B$49,"no"),MAX(IF($C$8:$C$49="LP-6",IF($B$8:$B$49="no",$BB$8:$BB$49))))</f>
        <v>0</v>
      </c>
      <c r="AO71" s="183">
        <f t="array" ref="AO71">IF($B$51="",SUMIFS($BB$8:$BB$49,$C$8:Q54,"LP-6",$B$8:$B$49,"yes"),MAX(IF($C$8:$C$49="LP-6",IF($B$8:$B$49="yes",$BB$8:$BB$49))))</f>
        <v>0</v>
      </c>
    </row>
    <row r="72" spans="1:41" hidden="1" x14ac:dyDescent="0.25">
      <c r="Y72" s="182" t="s">
        <v>165</v>
      </c>
      <c r="Z72" s="183">
        <f t="array" ref="Z72">IF(B57="",SUMIFS($Z$8:$Z$49,$C$8:C55,"LP-7",$B$8:$B$49,"no"),MAX(IF($C$8:$C$49="LP-7",IF($B$8:$B$49="no",$Z$8:$Z$49))))</f>
        <v>0</v>
      </c>
      <c r="AA72" s="183">
        <f t="array" ref="AA72">IF(B57="",SUMIFS($Z$8:$Z$49,$C$8:D55,"LP-7",$B$8:$B$49,"yes"),MAX(IF($C$8:$C$49="LP-7",IF($B$8:$B$49="yes",$Z$8:$Z$49))))</f>
        <v>0</v>
      </c>
      <c r="AB72" s="183">
        <f t="array" ref="AB72">IF($B$51="",SUMIFS($AD$8:$AD$49,$C$8:E55,"LP-7",$B$8:$B$49,"no"),MAX(IF($C$8:$C$49="LP-7",IF($B$8:$B$49="no",$AD$8:$AD$49))))</f>
        <v>0</v>
      </c>
      <c r="AC72" s="183">
        <f t="array" ref="AC72">IF($B$51="",SUMIFS($AD$8:$AD$49,$C$8:E55,"LP-7",$B$8:$B$49,"yes"),MAX(IF($C$8:$C$49="LP-7",IF($B$8:$B$49="yes",$AD$8:$AD$49))))</f>
        <v>0</v>
      </c>
      <c r="AD72" s="183">
        <f t="array" ref="AD72">IF($B$51="",SUMIFS($AH$8:$AH$49,$C$8:E55,"LP-7",$B$8:$B$49,"no"),MAX(IF($C$8:$C$49="LP-7",IF($B$8:$B$49="no",$AH$8:$AH$49))))</f>
        <v>0</v>
      </c>
      <c r="AE72" s="183">
        <f t="array" ref="AE72">IF($B$51="",SUMIFS($AH$8:$AH$49,$C$8:G55,"LP-7",$B$8:$B$49,"yes"),MAX(IF($C$8:$C$49="LP-7",IF($B$8:$B$49="yes",$AH$8:$AH$49))))</f>
        <v>0</v>
      </c>
      <c r="AF72" s="183">
        <f t="array" ref="AF72">IF($B$51="",SUMIFS($AL$8:$AL$49,$C$8:E55,"LP-7",$B$8:$B$49,"no"),MAX(IF($C$8:$C$49="LP-7",IF($B$8:$B$49="no",$AL$8:$AL$49))))</f>
        <v>0</v>
      </c>
      <c r="AG72" s="183">
        <f t="array" ref="AG72">IF($B$51="",SUMIFS($AL$8:$AL$49,$C$8:I55,"LP-7",$B$8:$B$49,"yes"),MAX(IF($C$8:$C$49="LP-7",IF($B$8:$B$49="yes",$AL$8:$AL$49))))</f>
        <v>0</v>
      </c>
      <c r="AH72" s="183">
        <f t="array" ref="AH72">IF($B$51="",SUMIFS($AP$8:$AP$49,$C$8:E55,"LP-7",$B$8:$B$49,"no"),MAX(IF($C$8:$C$49="LP-7",IF($B$8:$B$49="no",$AP$8:$AP$49))))</f>
        <v>0</v>
      </c>
      <c r="AI72" s="183">
        <f t="array" ref="AI72">IF($B$51="",SUMIFS($AP$8:$AP$49,$C$8:K55,"LP-7",$B$8:$B$49,"yes"),MAX(IF($C$8:$C$49="LP-7",IF($B$8:$B$49="yes",$AP$8:$AP$49))))</f>
        <v>0</v>
      </c>
      <c r="AJ72" s="183">
        <f t="array" ref="AJ72">IF($B$51="",SUMIFS($AT$8:$AT$49,$C$8:E55,"LP-7",$B$8:$B$49,"no"),MAX(IF($C$8:$C$49="LP-7",IF($B$8:$B$49="no",$AT$8:$AT$49))))</f>
        <v>0</v>
      </c>
      <c r="AK72" s="183">
        <f t="array" ref="AK72">IF($B$51="",SUMIFS($AT$8:$AT$49,$C$8:M55,"LP-7",$B$8:$B$49,"yes"),MAX(IF($C$8:$C$49="LP-7",IF($B$8:$B$49="yes",$AT$8:$AT$49))))</f>
        <v>0</v>
      </c>
      <c r="AL72" s="183">
        <f t="array" ref="AL72">IF($B$51="",SUMIFS($AX$8:$AX$49,$C$8:E55,"LP-7",$B$8:$B$49,"no"),MAX(IF($C$8:$C$49="LP-7",IF($B$8:$B$49="no",$AX$8:$AX$49))))</f>
        <v>0</v>
      </c>
      <c r="AM72" s="183">
        <f t="array" ref="AM72">IF($B$51="",SUMIFS($AX$8:$AX$49,$C$8:O55,"LP-7",$B$8:$B$49,"yes"),MAX(IF($C$8:$C$49="LP-7",IF($B$8:$B$49="yes",$AX$8:$AX$49))))</f>
        <v>0</v>
      </c>
      <c r="AN72" s="183">
        <f t="array" ref="AN72">IF($B$51="",SUMIFS($BB$8:$BB$49,$C$8:E55,"LP-7",$B$8:$B$49,"no"),MAX(IF($C$8:$C$49="LP-7",IF($B$8:$B$49="no",$BB$8:$BB$49))))</f>
        <v>0</v>
      </c>
      <c r="AO72" s="183">
        <f t="array" ref="AO72">IF($B$51="",SUMIFS($BB$8:$BB$49,$C$8:Q55,"LP-7",$B$8:$B$49,"yes"),MAX(IF($C$8:$C$49="LP-7",IF($B$8:$B$49="yes",$BB$8:$BB$49))))</f>
        <v>0</v>
      </c>
    </row>
    <row r="73" spans="1:41" hidden="1" x14ac:dyDescent="0.25">
      <c r="Y73" s="182" t="s">
        <v>166</v>
      </c>
      <c r="Z73" s="183">
        <f t="array" ref="Z73">IF(B58="",SUMIFS($Z$8:$Z$49,$C$8:C56,"LP-8",$B$8:$B$49,"no"),MAX(IF($C$8:$C$49="LP-8",IF($B$8:$B$49="no",$Z$8:$Z$49))))</f>
        <v>0</v>
      </c>
      <c r="AA73" s="183">
        <f t="array" ref="AA73">IF(B58="",SUMIFS($Z$8:$Z$49,$C$8:D56,"LP-8",$B$8:$B$49,"yes"),MAX(IF($C$8:$C$49="LP-8",IF($B$8:$B$49="yes",$Z$8:$Z$49))))</f>
        <v>0</v>
      </c>
      <c r="AB73" s="183">
        <f t="array" ref="AB73">IF($B$51="",SUMIFS($AD$8:$AD$49,$C$8:E56,"LP-8",$B$8:$B$49,"no"),MAX(IF($C$8:$C$49="LP-8",IF($B$8:$B$49="no",$AD$8:$AD$49))))</f>
        <v>0</v>
      </c>
      <c r="AC73" s="183">
        <f t="array" ref="AC73">IF($B$51="",SUMIFS($AD$8:$AD$49,$C$8:E56,"LP-8",$B$8:$B$49,"yes"),MAX(IF($C$8:$C$49="LP-8",IF($B$8:$B$49="yes",$AD$8:$AD$49))))</f>
        <v>0</v>
      </c>
      <c r="AD73" s="183">
        <f t="array" ref="AD73">IF($B$51="",SUMIFS($AH$8:$AH$49,$C$8:E56,"LP-8",$B$8:$B$49,"no"),MAX(IF($C$8:$C$49="LP-8",IF($B$8:$B$49="no",$AH$8:$AH$49))))</f>
        <v>0</v>
      </c>
      <c r="AE73" s="183">
        <f t="array" ref="AE73">IF($B$51="",SUMIFS($AH$8:$AH$49,$C$8:G56,"LP-8",$B$8:$B$49,"yes"),MAX(IF($C$8:$C$49="LP-8",IF($B$8:$B$49="yes",$AH$8:$AH$49))))</f>
        <v>0</v>
      </c>
      <c r="AF73" s="183">
        <f t="array" ref="AF73">IF($B$51="",SUMIFS($AL$8:$AL$49,$C$8:E56,"LP-8",$B$8:$B$49,"no"),MAX(IF($C$8:$C$49="LP-8",IF($B$8:$B$49="no",$AL$8:$AL$49))))</f>
        <v>0</v>
      </c>
      <c r="AG73" s="183">
        <f t="array" ref="AG73">IF($B$51="",SUMIFS($AL$8:$AL$49,$C$8:I56,"LP-8",$B$8:$B$49,"yes"),MAX(IF($C$8:$C$49="LP-8",IF($B$8:$B$49="yes",$AL$8:$AL$49))))</f>
        <v>0</v>
      </c>
      <c r="AH73" s="183">
        <f t="array" ref="AH73">IF($B$51="",SUMIFS($AP$8:$AP$49,$C$8:E56,"LP-8",$B$8:$B$49,"no"),MAX(IF($C$8:$C$49="LP-8",IF($B$8:$B$49="no",$AP$8:$AP$49))))</f>
        <v>0</v>
      </c>
      <c r="AI73" s="183">
        <f t="array" ref="AI73">IF($B$51="",SUMIFS($AP$8:$AP$49,$C$8:K56,"LP-8",$B$8:$B$49,"yes"),MAX(IF($C$8:$C$49="LP-8",IF($B$8:$B$49="yes",$AP$8:$AP$49))))</f>
        <v>0</v>
      </c>
      <c r="AJ73" s="183">
        <f t="array" ref="AJ73">IF($B$51="",SUMIFS($AT$8:$AT$49,$C$8:E56,"LP-8",$B$8:$B$49,"no"),MAX(IF($C$8:$C$49="LP-8",IF($B$8:$B$49="no",$AT$8:$AT$49))))</f>
        <v>0</v>
      </c>
      <c r="AK73" s="183">
        <f t="array" ref="AK73">IF($B$51="",SUMIFS($AT$8:$AT$49,$C$8:M56,"LP-8",$B$8:$B$49,"yes"),MAX(IF($C$8:$C$49="LP-8",IF($B$8:$B$49="yes",$AT$8:$AT$49))))</f>
        <v>0</v>
      </c>
      <c r="AL73" s="183">
        <f t="array" ref="AL73">IF($B$51="",SUMIFS($AX$8:$AX$49,$C$8:E56,"LP-8",$B$8:$B$49,"no"),MAX(IF($C$8:$C$49="LP-8",IF($B$8:$B$49="no",$AX$8:$AX$49))))</f>
        <v>0</v>
      </c>
      <c r="AM73" s="183">
        <f t="array" ref="AM73">IF($B$51="",SUMIFS($AX$8:$AX$49,$C$8:O56,"LP-8",$B$8:$B$49,"yes"),MAX(IF($C$8:$C$49="LP-8",IF($B$8:$B$49="yes",$AX$8:$AX$49))))</f>
        <v>0</v>
      </c>
      <c r="AN73" s="183">
        <f t="array" ref="AN73">IF($B$51="",SUMIFS($BB$8:$BB$49,$C$8:E56,"LP-8",$B$8:$B$49,"no"),MAX(IF($C$8:$C$49="LP-8",IF($B$8:$B$49="no",$BB$8:$BB$49))))</f>
        <v>0</v>
      </c>
      <c r="AO73" s="183">
        <f t="array" ref="AO73">IF($B$51="",SUMIFS($BB$8:$BB$49,$C$8:Q56,"LP-8",$B$8:$B$49,"yes"),MAX(IF($C$8:$C$49="LP-8",IF($B$8:$B$49="yes",$BB$8:$BB$49))))</f>
        <v>0</v>
      </c>
    </row>
    <row r="74" spans="1:41" ht="19.5" hidden="1" customHeight="1" x14ac:dyDescent="0.25">
      <c r="Y74" s="182" t="s">
        <v>167</v>
      </c>
      <c r="Z74" s="183">
        <f t="array" ref="Z74">IF(B59="",SUMIFS($Z$8:$Z$49,$C$8:C57,"LP-9",$B$8:$B$49,"no"),MAX(IF($C$8:$C$49="LP-9",IF($B$8:$B$49="no",$Z$8:$Z$49))))</f>
        <v>0</v>
      </c>
      <c r="AA74" s="183">
        <f t="array" ref="AA74">IF(B59="",SUMIFS($Z$8:$Z$49,$C$8:D57,"LP-9",$B$8:$B$49,"yes"),MAX(IF($C$8:$C$49="LP-9",IF($B$8:$B$49="yes",$Z$8:$Z$49))))</f>
        <v>0</v>
      </c>
      <c r="AB74" s="183">
        <f t="array" ref="AB74">IF($B$51="",SUMIFS($AD$8:$AD$49,$C$8:E57,"LP-9",$B$8:$B$49,"no"),MAX(IF($C$8:$C$49="LP-9",IF($B$8:$B$49="no",$AD$8:$AD$49))))</f>
        <v>0</v>
      </c>
      <c r="AC74" s="183">
        <f t="array" ref="AC74">IF($B$51="",SUMIFS($AD$8:$AD$49,$C$8:E57,"LP-9",$B$8:$B$49,"yes"),MAX(IF($C$8:$C$49="LP-9",IF($B$8:$B$49="yes",$AD$8:$AD$49))))</f>
        <v>0</v>
      </c>
      <c r="AD74" s="183">
        <f t="array" ref="AD74">IF($B$51="",SUMIFS($AH$8:$AH$49,$C$8:E57,"LP-9",$B$8:$B$49,"no"),MAX(IF($C$8:$C$49="LP-9",IF($B$8:$B$49="no",$AH$8:$AH$49))))</f>
        <v>0</v>
      </c>
      <c r="AE74" s="183">
        <f t="array" ref="AE74">IF($B$51="",SUMIFS($AH$8:$AH$49,$C$8:G57,"LP-9",$B$8:$B$49,"yes"),MAX(IF($C$8:$C$49="LP-9",IF($B$8:$B$49="yes",$AH$8:$AH$49))))</f>
        <v>0</v>
      </c>
      <c r="AF74" s="183">
        <f t="array" ref="AF74">IF($B$51="",SUMIFS($AL$8:$AL$49,$C$8:E57,"LP-9",$B$8:$B$49,"no"),MAX(IF($C$8:$C$49="LP-9",IF($B$8:$B$49="no",$AL$8:$AL$49))))</f>
        <v>0</v>
      </c>
      <c r="AG74" s="183">
        <f t="array" ref="AG74">IF($B$51="",SUMIFS($AL$8:$AL$49,$C$8:I57,"LP-9",$B$8:$B$49,"yes"),MAX(IF($C$8:$C$49="LP-9",IF($B$8:$B$49="yes",$AL$8:$AL$49))))</f>
        <v>0</v>
      </c>
      <c r="AH74" s="183">
        <f t="array" ref="AH74">IF($B$51="",SUMIFS($AP$8:$AP$49,$C$8:E57,"LP-9",$B$8:$B$49,"no"),MAX(IF($C$8:$C$49="LP-9",IF($B$8:$B$49="no",$AP$8:$AP$49))))</f>
        <v>0</v>
      </c>
      <c r="AI74" s="183">
        <f t="array" ref="AI74">IF($B$51="",SUMIFS($AP$8:$AP$49,$C$8:K57,"LP-9",$B$8:$B$49,"yes"),MAX(IF($C$8:$C$49="LP-9",IF($B$8:$B$49="yes",$AP$8:$AP$49))))</f>
        <v>0</v>
      </c>
      <c r="AJ74" s="183">
        <f t="array" ref="AJ74">IF($B$51="",SUMIFS($AT$8:$AT$49,$C$8:E57,"LP-9",$B$8:$B$49,"no"),MAX(IF($C$8:$C$49="LP-9",IF($B$8:$B$49="no",$AT$8:$AT$49))))</f>
        <v>0</v>
      </c>
      <c r="AK74" s="183">
        <f t="array" ref="AK74">IF($B$51="",SUMIFS($AT$8:$AT$49,$C$8:M57,"LP-9",$B$8:$B$49,"yes"),MAX(IF($C$8:$C$49="LP-9",IF($B$8:$B$49="yes",$AT$8:$AT$49))))</f>
        <v>0</v>
      </c>
      <c r="AL74" s="183">
        <f t="array" ref="AL74">IF($B$51="",SUMIFS($AX$8:$AX$49,$C$8:E57,"LP-9",$B$8:$B$49,"no"),MAX(IF($C$8:$C$49="LP-9",IF($B$8:$B$49="no",$AX$8:$AX$49))))</f>
        <v>0</v>
      </c>
      <c r="AM74" s="183">
        <f t="array" ref="AM74">IF($B$51="",SUMIFS($AX$8:$AX$49,$C$8:O57,"LP-9",$B$8:$B$49,"yes"),MAX(IF($C$8:$C$49="LP-9",IF($B$8:$B$49="yes",$AX$8:$AX$49))))</f>
        <v>0</v>
      </c>
      <c r="AN74" s="183">
        <f t="array" ref="AN74">IF($B$51="",SUMIFS($BB$8:$BB$49,$C$8:E57,"LP-9",$B$8:$B$49,"no"),MAX(IF($C$8:$C$49="LP-9",IF($B$8:$B$49="no",$BB$8:$BB$49))))</f>
        <v>0</v>
      </c>
      <c r="AO74" s="183">
        <f t="array" ref="AO74">IF($B$51="",SUMIFS($BB$8:$BB$49,$C$8:Q57,"LP-9",$B$8:$B$49,"yes"),MAX(IF($C$8:$C$49="LP-9",IF($B$8:$B$49="yes",$BB$8:$BB$49))))</f>
        <v>0</v>
      </c>
    </row>
    <row r="75" spans="1:41" ht="27.75" hidden="1" customHeight="1" x14ac:dyDescent="0.25">
      <c r="Y75" s="182" t="s">
        <v>168</v>
      </c>
      <c r="Z75" s="183">
        <f t="array" ref="Z75">IF(B60="",SUMIFS($Z$8:$Z$49,$C$8:C58,"LP-10",$B$8:$B$49,"no"),MAX(IF($C$8:$C$49="LP-10",IF($B$8:$B$49="no",$Z$8:$Z$49))))</f>
        <v>0</v>
      </c>
      <c r="AA75" s="183">
        <f t="array" ref="AA75">IF(B60="",SUMIFS($Z$8:$Z$49,$C$8:D58,"LP-10",$B$8:$B$49,"yes"),MAX(IF($C$8:$C$49="LP-10",IF($B$8:$B$49="yes",$Z$8:$Z$49))))</f>
        <v>0</v>
      </c>
      <c r="AB75" s="183">
        <f t="array" ref="AB75">IF($B$51="",SUMIFS($AD$8:$AD$49,$C$8:E58,"LP-10",$B$8:$B$49,"no"),MAX(IF($C$8:$C$49="LP-10",IF($B$8:$B$49="no",$AD$8:$AD$49))))</f>
        <v>0</v>
      </c>
      <c r="AC75" s="183">
        <f t="array" ref="AC75">IF($B$51="",SUMIFS($AD$8:$AD$49,$C$8:E58,"LP-10",$B$8:$B$49,"yes"),MAX(IF($C$8:$C$49="LP-10",IF($B$8:$B$49="yes",$AD$8:$AD$49))))</f>
        <v>0</v>
      </c>
      <c r="AD75" s="183">
        <f t="array" ref="AD75">IF($B$51="",SUMIFS($AH$8:$AH$49,$C$8:E58,"LP-10",$B$8:$B$49,"no"),MAX(IF($C$8:$C$49="LP-10",IF($B$8:$B$49="no",$AH$8:$AH$49))))</f>
        <v>0</v>
      </c>
      <c r="AE75" s="183">
        <f t="array" ref="AE75">IF($B$51="",SUMIFS($AH$8:$AH$49,$C$8:G58,"LP-10",$B$8:$B$49,"yes"),MAX(IF($C$8:$C$49="LP-10",IF($B$8:$B$49="yes",$AH$8:$AH$49))))</f>
        <v>0</v>
      </c>
      <c r="AF75" s="183">
        <f t="array" ref="AF75">IF($B$51="",SUMIFS($AL$8:$AL$49,$C$8:E58,"LP-10",$B$8:$B$49,"no"),MAX(IF($C$8:$C$49="LP-10",IF($B$8:$B$49="no",$AL$8:$AL$49))))</f>
        <v>0</v>
      </c>
      <c r="AG75" s="183">
        <f t="array" ref="AG75">IF($B$51="",SUMIFS($AL$8:$AL$49,$C$8:I58,"LP-10",$B$8:$B$49,"yes"),MAX(IF($C$8:$C$49="LP-10",IF($B$8:$B$49="yes",$AL$8:$AL$49))))</f>
        <v>0</v>
      </c>
      <c r="AH75" s="183">
        <f t="array" ref="AH75">IF($B$51="",SUMIFS($AP$8:$AP$49,$C$8:E58,"LP-10",$B$8:$B$49,"no"),MAX(IF($C$8:$C$49="LP-10",IF($B$8:$B$49="no",$AP$8:$AP$49))))</f>
        <v>0</v>
      </c>
      <c r="AI75" s="183">
        <f t="array" ref="AI75">IF($B$51="",SUMIFS($AP$8:$AP$49,$C$8:K58,"LP-10",$B$8:$B$49,"yes"),MAX(IF($C$8:$C$49="LP-10",IF($B$8:$B$49="yes",$AP$8:$AP$49))))</f>
        <v>0</v>
      </c>
      <c r="AJ75" s="183">
        <f t="array" ref="AJ75">IF($B$51="",SUMIFS($AT$8:$AT$49,$C$8:E58,"LP-10",$B$8:$B$49,"no"),MAX(IF($C$8:$C$49="LP-10",IF($B$8:$B$49="no",$AT$8:$AT$49))))</f>
        <v>0</v>
      </c>
      <c r="AK75" s="183">
        <f t="array" ref="AK75">IF($B$51="",SUMIFS($AT$8:$AT$49,$C$8:M58,"LP-10",$B$8:$B$49,"yes"),MAX(IF($C$8:$C$49="LP-10",IF($B$8:$B$49="yes",$AT$8:$AT$49))))</f>
        <v>0</v>
      </c>
      <c r="AL75" s="183">
        <f t="array" ref="AL75">IF($B$51="",SUMIFS($AX$8:$AX$49,$C$8:E58,"LP-10",$B$8:$B$49,"no"),MAX(IF($C$8:$C$49="LP-10",IF($B$8:$B$49="no",$AX$8:$AX$49))))</f>
        <v>0</v>
      </c>
      <c r="AM75" s="183">
        <f t="array" ref="AM75">IF($B$51="",SUMIFS($AX$8:$AX$49,$C$8:O58,"LP-10",$B$8:$B$49,"yes"),MAX(IF($C$8:$C$49="LP-10",IF($B$8:$B$49="yes",$AX$8:$AX$49))))</f>
        <v>0</v>
      </c>
      <c r="AN75" s="183">
        <f t="array" ref="AN75">IF($B$51="",SUMIFS($BB$8:$BB$49,$C$8:E58,"LP-10",$B$8:$B$49,"no"),MAX(IF($C$8:$C$49="LP-10",IF($B$8:$B$49="no",$BB$8:$BB$49))))</f>
        <v>0</v>
      </c>
      <c r="AO75" s="183">
        <f t="array" ref="AO75">IF($B$51="",SUMIFS($BB$8:$BB$49,$C$8:Q58,"LP-10",$B$8:$B$49,"yes"),MAX(IF($C$8:$C$49="LP-10",IF($B$8:$B$49="yes",$BB$8:$BB$49))))</f>
        <v>0</v>
      </c>
    </row>
    <row r="76" spans="1:41" ht="12.75" hidden="1" customHeight="1" x14ac:dyDescent="0.25"/>
    <row r="77" spans="1:41" ht="24.75" hidden="1" customHeight="1" x14ac:dyDescent="0.25">
      <c r="Z77" s="6">
        <f>SUM(IF($B$51&gt;0,IF(Z66&gt;AA66,Z66,0),SUM(Z66,AA66)),IF($B$52&gt;0,IF(Z67&gt;AA67,Z67,0),SUM(Z67,AA67)),IF($B$53&gt;0,IF(Z68&gt;AA68,Z68,0),SUM(Z68,AA68)),IF($B$54&gt;0,IF(Z69&gt;AA69,Z69,0),SUM(Z69,AA69)),IF($B$54&gt;0,IF(Z70&gt;AA70,Z70,0),SUM(Z70,AA70)),IF($B$55&gt;0,IF(Z71&gt;AA71,Z71,0),SUM(Z71,AA71)),IF($B$56&gt;0,IF(Z72&gt;AA72,Z72,0),SUM(Z72,AA72)),IF($B$57&gt;0,IF(Z73&gt;AA73,Z73,0),SUM(Z73,AA73)),IF($B$58&gt;0,IF(Z74&gt;AA74,Z74,0),SUM(Z74,AA74)),IF($B$59&gt;0,IF(Z75&gt;AA75,Z75,0),SUM(Z75,AA75)))</f>
        <v>0</v>
      </c>
      <c r="AA77" s="6">
        <f>SUM(IF($B$51&gt;0,IF(Z66&lt;AA66,AA66,0),SUM(Z66,AA66)),IF($B$52&gt;0,IF(Z67&lt;AA67,AA67,0),SUM(Z67,AA67)),IF($B$53&gt;0,IF(Z68&lt;AA68,AA68,0),SUM(Z68,AA68)),IF($B$54&gt;0,IF(Z69&lt;AA69,AA69,0),SUM(Z69,AA69)),IF($B$54&gt;0,IF(Z70&lt;AA70,AA70,0),SUM(Z70,AA70)),IF($B$55&gt;0,IF(Z71&lt;AA71,AA71,0),SUM(Z71,AA71)),IF($B$56&gt;0,IF(Z72&lt;AA72,AA72,0),SUM(Z72,AA72)),IF($B$57&gt;0,IF(Z73&lt;AA73,AA73,0),SUM(Z73,AA73)),IF($B$58&gt;0,IF(Z74&lt;AA74,AA74,0),SUM(Z74,AA74)),IF($B$59&gt;0,IF(Z75&lt;AA75,AA75,0),SUM(Z75,AA75)))</f>
        <v>0</v>
      </c>
      <c r="AB77" s="6">
        <f>SUM(IF($B$51&gt;0,IF(AB66&gt;AC66,AB66,0),SUM(AB66,AC66)),IF($B$52&gt;0,IF(AB67&gt;AC67,AB67,0),SUM(AB67,AC67)),IF($B$53&gt;0,IF(AB68&gt;AC68,AB68,0),SUM(AB68,AC68)),IF($B$54&gt;0,IF(AB69&gt;AC69,AB69,0),SUM(AB69,AC69)),IF($B$54&gt;0,IF(AB70&gt;AC70,AB70,0),SUM(AB70,AC70)),IF($B$55&gt;0,IF(AB71&gt;AC71,AB71,0),SUM(AB71,AC71)),IF($B$56&gt;0,IF(AB72&gt;AC72,AB72,0),SUM(AB72,AC72)),IF($B$57&gt;0,IF(AB73&gt;AC73,AB73,0),SUM(AB73,AC73)),IF($B$58&gt;0,IF(AB74&gt;AC74,AB74,0),SUM(AB74,AC74)),IF($B$59&gt;0,IF(AB75&gt;AC75,AB75,0),SUM(AB75,AC75)))</f>
        <v>0</v>
      </c>
      <c r="AC77" s="6">
        <f>SUM(IF($B$51&gt;0,IF(AB66&lt;AC66,AC66,0),SUM(AB66,AC66)),IF($B$52&gt;0,IF(AB67&lt;AC67,AC67,0),SUM(AB67,AC67)),IF($B$53&gt;0,IF(AB68&lt;AC68,AC68,0),SUM(AB68,AC68)),IF($B$54&gt;0,IF(AB69&lt;AC69,AC69,0),SUM(AB69,AC69)),IF($B$54&gt;0,IF(AB70&lt;AC70,AC70,0),SUM(AB70,AC70)),IF($B$55&gt;0,IF(AB71&lt;AC71,AC71,0),SUM(AB71,AC71)),IF($B$56&gt;0,IF(AB72&lt;AC72,AC72,0),SUM(AB72,AC72)),IF($B$57&gt;0,IF(AB73&lt;AC73,AC73,0),SUM(AB73,AC73)),IF($B$58&gt;0,IF(AB74&lt;AC74,AC74,0),SUM(AB74,AC74)),IF($B$59&gt;0,IF(AB75&lt;AC75,AC75,0),SUM(AB75,AC75)))</f>
        <v>0</v>
      </c>
      <c r="AD77" s="6">
        <f t="shared" ref="AD77:AN77" si="52">SUM(IF($B$51&gt;0,IF(AD66&gt;AE66,AD66,0),SUM(AD66,AE66)),IF($B$52&gt;0,IF(AD67&gt;AE67,AD67,0),SUM(AD67,AE67)),IF($B$53&gt;0,IF(AD68&gt;AE68,AD68,0),SUM(AD68,AE68)),IF($B$54&gt;0,IF(AD69&gt;AE69,AD69,0),SUM(AD69,AE69)),IF($B$54&gt;0,IF(AD70&gt;AE70,AD70,0),SUM(AD70,AE70)),IF($B$55&gt;0,IF(AD71&gt;AE71,AD71,0),SUM(AD71,AE71)),IF($B$56&gt;0,IF(AD72&gt;AE72,AD72,0),SUM(AD72,AE72)),IF($B$57&gt;0,IF(AD73&gt;AE73,AD73,0),SUM(AD73,AE73)),IF($B$58&gt;0,IF(AD74&gt;AE74,AD74,0),SUM(AD74,AE74)),IF($B$59&gt;0,IF(AD75&gt;AE75,AD75,0),SUM(AD75,AE75)))</f>
        <v>0</v>
      </c>
      <c r="AE77" s="6">
        <f>SUM(IF($B$51&gt;0,IF(AD66&lt;AE66,AE66,0),SUM(AD66,AE66)),IF($B$52&gt;0,IF(AD67&lt;AE67,AE67,0),SUM(AD67,AE67)),IF($B$53&gt;0,IF(AD68&lt;AE68,AE68,0),SUM(AD68,AE68)),IF($B$54&gt;0,IF(AD69&lt;AE69,AE69,0),SUM(AD69,AE69)),IF($B$54&gt;0,IF(AD70&lt;AE70,AE70,0),SUM(AD70,AE70)),IF($B$55&gt;0,IF(AD71&lt;AE71,AE71,0),SUM(AD71,AE71)),IF($B$56&gt;0,IF(AD72&lt;AE72,AE72,0),SUM(AD72,AE72)),IF($B$57&gt;0,IF(AD73&lt;AE73,AE73,0),SUM(AD73,AE73)),IF($B$58&gt;0,IF(AD74&lt;AE74,AE74,0),SUM(AD74,AE74)),IF($B$59&gt;0,IF(AD75&lt;AE75,AE75,0),SUM(AD75,AE75)))</f>
        <v>0</v>
      </c>
      <c r="AF77" s="6">
        <f t="shared" si="52"/>
        <v>0</v>
      </c>
      <c r="AG77" s="6">
        <f>SUM(IF($B$51&gt;0,IF(AF66&lt;AG66,AG66,0),SUM(AF66,AG66)),IF($B$52&gt;0,IF(AF67&lt;AG67,AG67,0),SUM(AF67,AG67)),IF($B$53&gt;0,IF(AF68&lt;AG68,AG68,0),SUM(AF68,AG68)),IF($B$54&gt;0,IF(AF69&lt;AG69,AG69,0),SUM(AF69,AG69)),IF($B$54&gt;0,IF(AF70&lt;AG70,AG70,0),SUM(AF70,AG70)),IF($B$55&gt;0,IF(AF71&lt;AG71,AG71,0),SUM(AF71,AG71)),IF($B$56&gt;0,IF(AF72&lt;AG72,AG72,0),SUM(AF72,AG72)),IF($B$57&gt;0,IF(AF73&lt;AG73,AG73,0),SUM(AF73,AG73)),IF($B$58&gt;0,IF(AF74&lt;AG74,AG74,0),SUM(AF74,AG74)),IF($B$59&gt;0,IF(AF75&lt;AG75,AG75,0),SUM(AF75,AG75)))</f>
        <v>0</v>
      </c>
      <c r="AH77" s="6">
        <f t="shared" si="52"/>
        <v>0</v>
      </c>
      <c r="AI77" s="6">
        <f>SUM(IF($B$51&gt;0,IF(AH66&lt;AI66,AI66,0),SUM(AH66,AI66)),IF($B$52&gt;0,IF(AH67&lt;AI67,AI67,0),SUM(AH67,AI67)),IF($B$53&gt;0,IF(AH68&lt;AI68,AI68,0),SUM(AH68,AI68)),IF($B$54&gt;0,IF(AH69&lt;AI69,AI69,0),SUM(AH69,AI69)),IF($B$54&gt;0,IF(AH70&lt;AI70,AI70,0),SUM(AH70,AI70)),IF($B$55&gt;0,IF(AH71&lt;AI71,AI71,0),SUM(AH71,AI71)),IF($B$56&gt;0,IF(AH72&lt;AI72,AI72,0),SUM(AH72,AI72)),IF($B$57&gt;0,IF(AH73&lt;AI73,AI73,0),SUM(AH73,AI73)),IF($B$58&gt;0,IF(AH74&lt;AI74,AI74,0),SUM(AH74,AI74)),IF($B$59&gt;0,IF(AH75&lt;AI75,AI75,0),SUM(AH75,AI75)))</f>
        <v>0</v>
      </c>
      <c r="AJ77" s="6">
        <f t="shared" si="52"/>
        <v>0</v>
      </c>
      <c r="AK77" s="6">
        <f>SUM(IF($B$51&gt;0,IF(AJ66&lt;AK66,AK66,0),SUM(AJ66,AK66)),IF($B$52&gt;0,IF(AJ67&lt;AK67,AK67,0),SUM(AJ67,AK67)),IF($B$53&gt;0,IF(AJ68&lt;AK68,AK68,0),SUM(AJ68,AK68)),IF($B$54&gt;0,IF(AJ69&lt;AK69,AK69,0),SUM(AJ69,AK69)),IF($B$54&gt;0,IF(AJ70&lt;AK70,AK70,0),SUM(AJ70,AK70)),IF($B$55&gt;0,IF(AJ71&lt;AK71,AK71,0),SUM(AJ71,AK71)),IF($B$56&gt;0,IF(AJ72&lt;AK72,AK72,0),SUM(AJ72,AK72)),IF($B$57&gt;0,IF(AJ73&lt;AK73,AK73,0),SUM(AJ73,AK73)),IF($B$58&gt;0,IF(AJ74&lt;AK74,AK74,0),SUM(AJ74,AK74)),IF($B$59&gt;0,IF(AJ75&lt;AK75,AK75,0),SUM(AJ75,AK75)))</f>
        <v>0</v>
      </c>
      <c r="AL77" s="6">
        <f t="shared" si="52"/>
        <v>0</v>
      </c>
      <c r="AM77" s="6">
        <f>SUM(IF($B$51&gt;0,IF(AL66&lt;AM66,AM66,0),SUM(AL66,AM66)),IF($B$52&gt;0,IF(AL67&lt;AM67,AM67,0),SUM(AL67,AM67)),IF($B$53&gt;0,IF(AL68&lt;AM68,AM68,0),SUM(AL68,AM68)),IF($B$54&gt;0,IF(AL69&lt;AM69,AM69,0),SUM(AL69,AM69)),IF($B$54&gt;0,IF(AL70&lt;AM70,AM70,0),SUM(AL70,AM70)),IF($B$55&gt;0,IF(AL71&lt;AM71,AM71,0),SUM(AL71,AM71)),IF($B$56&gt;0,IF(AL72&lt;AM72,AM72,0),SUM(AL72,AM72)),IF($B$57&gt;0,IF(AL73&lt;AM73,AM73,0),SUM(AL73,AM73)),IF($B$58&gt;0,IF(AL74&lt;AM74,AM74,0),SUM(AL74,AM74)),IF($B$59&gt;0,IF(AL75&lt;AM75,AM75,0),SUM(AL75,AM75)))</f>
        <v>0</v>
      </c>
      <c r="AN77" s="6">
        <f t="shared" si="52"/>
        <v>0</v>
      </c>
      <c r="AO77" s="6">
        <f>SUM(IF($B$51&gt;0,IF(AN66&lt;AO66,AO66,0),SUM(AN66,AO66)),IF($B$52&gt;0,IF(AN67&lt;AO67,AO67,0),SUM(AN67,AO67)),IF($B$53&gt;0,IF(AN68&lt;AO68,AO68,0),SUM(AN68,AO68)),IF($B$54&gt;0,IF(AN69&lt;AO69,AO69,0),SUM(AN69,AO69)),IF($B$54&gt;0,IF(AN70&lt;AO70,AO70,0),SUM(AN70,AO70)),IF($B$55&gt;0,IF(AN71&lt;AO71,AO71,0),SUM(AN71,AO71)),IF($B$56&gt;0,IF(AN72&lt;AO72,AO72,0),SUM(AN72,AO72)),IF($B$57&gt;0,IF(AN73&lt;AO73,AO73,0),SUM(AN73,AO73)),IF($B$58&gt;0,IF(AN74&lt;AO74,AO74,0),SUM(AN74,AO74)),IF($B$59&gt;0,IF(AN75&lt;AO75,AO75,0),SUM(AN75,AO75)))</f>
        <v>0</v>
      </c>
    </row>
  </sheetData>
  <sheetProtection algorithmName="SHA-512" hashValue="jpV34GVYefiUgCN4Weyab2ie5f3Rss/+I6sZWsG7pKqVOkHAVt6RDd2GN7EEWojuxRUtU6We/Mab+ZDEFC5igg==" saltValue="qNN6U+CuLMWrvAvmEcN+wQ==" spinCount="100000" sheet="1" objects="1" scenarios="1"/>
  <dataValidations count="3">
    <dataValidation type="list" allowBlank="1" showInputMessage="1" showErrorMessage="1" sqref="F8:F49" xr:uid="{00000000-0002-0000-0C00-000000000000}">
      <formula1>Gen</formula1>
    </dataValidation>
    <dataValidation type="list" allowBlank="1" showInputMessage="1" showErrorMessage="1" sqref="N8:N49" xr:uid="{00000000-0002-0000-0C00-000001000000}">
      <formula1>stack</formula1>
    </dataValidation>
    <dataValidation type="list" allowBlank="1" showInputMessage="1" showErrorMessage="1" sqref="C8:C49" xr:uid="{00000000-0002-0000-0C00-000002000000}">
      <formula1>plantnames1</formula1>
    </dataValidation>
  </dataValidations>
  <pageMargins left="0.7" right="0.7" top="0.75" bottom="0.75" header="0.3" footer="0.3"/>
  <pageSetup scale="57" fitToWidth="0" orientation="landscape"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O96"/>
  <sheetViews>
    <sheetView workbookViewId="0"/>
  </sheetViews>
  <sheetFormatPr defaultColWidth="8.85546875" defaultRowHeight="15" x14ac:dyDescent="0.25"/>
  <cols>
    <col min="1" max="1" width="5" style="18" customWidth="1"/>
    <col min="2" max="2" width="27.42578125" style="18" customWidth="1"/>
    <col min="3" max="3" width="9" style="18" bestFit="1" customWidth="1"/>
    <col min="4" max="4" width="11.42578125" style="18" customWidth="1"/>
    <col min="5" max="5" width="11" style="18" bestFit="1" customWidth="1"/>
    <col min="6" max="6" width="11.140625" style="129" customWidth="1"/>
    <col min="7" max="7" width="11.85546875" style="18" customWidth="1"/>
    <col min="8" max="8" width="17.85546875" style="18" customWidth="1"/>
    <col min="9" max="9" width="15.85546875" style="18" hidden="1" customWidth="1"/>
    <col min="10" max="10" width="9.28515625" style="18" hidden="1" customWidth="1"/>
    <col min="11" max="11" width="17.42578125" style="18" hidden="1" customWidth="1"/>
    <col min="12" max="12" width="16" style="18" hidden="1" customWidth="1"/>
    <col min="13" max="13" width="10.140625" style="18" customWidth="1"/>
    <col min="14" max="16384" width="8.85546875" style="18"/>
  </cols>
  <sheetData>
    <row r="1" spans="1:13" ht="18.75" x14ac:dyDescent="0.3">
      <c r="A1" s="335" t="s">
        <v>156</v>
      </c>
      <c r="B1" s="335"/>
      <c r="C1" s="335"/>
      <c r="D1" s="335"/>
    </row>
    <row r="2" spans="1:13" ht="13.5" hidden="1" customHeight="1" x14ac:dyDescent="0.3">
      <c r="A2" s="193" t="s">
        <v>188</v>
      </c>
      <c r="B2" s="188"/>
      <c r="C2" s="188"/>
      <c r="D2" s="188"/>
      <c r="F2" s="190"/>
    </row>
    <row r="3" spans="1:13" ht="18.75" customHeight="1" x14ac:dyDescent="0.3">
      <c r="A3" s="336" t="s">
        <v>15</v>
      </c>
      <c r="B3" s="336"/>
      <c r="C3" s="25"/>
      <c r="D3" s="6"/>
      <c r="E3" s="6"/>
      <c r="F3" s="7"/>
      <c r="G3" s="6"/>
      <c r="H3" s="6"/>
      <c r="I3" s="227" t="s">
        <v>287</v>
      </c>
      <c r="J3" s="7"/>
      <c r="K3" s="227" t="s">
        <v>287</v>
      </c>
      <c r="L3" s="227" t="s">
        <v>289</v>
      </c>
      <c r="M3" s="227" t="s">
        <v>255</v>
      </c>
    </row>
    <row r="4" spans="1:13" ht="31.5" customHeight="1" x14ac:dyDescent="0.25">
      <c r="A4" s="242" t="s">
        <v>11</v>
      </c>
      <c r="B4" s="230" t="s">
        <v>12</v>
      </c>
      <c r="C4" s="242" t="s">
        <v>9</v>
      </c>
      <c r="D4" s="230" t="s">
        <v>10</v>
      </c>
      <c r="E4" s="227" t="s">
        <v>26</v>
      </c>
      <c r="F4" s="230" t="s">
        <v>13</v>
      </c>
      <c r="G4" s="227" t="s">
        <v>26</v>
      </c>
      <c r="H4" s="244" t="s">
        <v>77</v>
      </c>
      <c r="I4" s="228" t="s">
        <v>288</v>
      </c>
      <c r="J4" s="243" t="s">
        <v>14</v>
      </c>
      <c r="K4" s="228" t="s">
        <v>259</v>
      </c>
      <c r="L4" s="228" t="s">
        <v>253</v>
      </c>
      <c r="M4" s="228" t="s">
        <v>253</v>
      </c>
    </row>
    <row r="5" spans="1:13" x14ac:dyDescent="0.25">
      <c r="A5" s="31" t="str">
        <f ca="1">IF(SUM('Limestone Plant (LP-1)'!N20,'Limestone Plant (LP-2)'!N20,'Limestone Plant (LP-3)'!N20,'Limestone Plant (LP-4)'!N20,'Limestone Plant (LP-5)'!N20,'Limestone Plant (LP-6)'!N20,'Limestone Plant (LP-7)'!N20,'Limestone Plant (LP-8)'!N20,'Limestone Plant (LP-9)'!N20,'Limestone Plant (LP-10)'!N20)&gt;0,"ALL","")</f>
        <v/>
      </c>
      <c r="B5" s="113" t="str">
        <f ca="1">IF(SUM('Limestone Plant (LP-1)'!N20,'Limestone Plant (LP-2)'!N20,'Limestone Plant (LP-3)'!N20,'Limestone Plant (LP-4)'!N20,'Limestone Plant (LP-5)'!N20,'Limestone Plant (LP-6)'!N20,'Limestone Plant (LP-7)'!N20,'Limestone Plant (LP-8)'!N20,'Limestone Plant (LP-9)'!N20,'Limestone Plant (LP-10)'!N20)&gt;0,"Primary Crusher","")</f>
        <v/>
      </c>
      <c r="C5" s="114" t="str">
        <f ca="1">IF(SUM('Limestone Plant (LP-1)'!N20,'Limestone Plant (LP-2)'!N20,'Limestone Plant (LP-3)'!N20,'Limestone Plant (LP-4)'!N20,'Limestone Plant (LP-5)'!N20,'Limestone Plant (LP-6)'!N20,'Limestone Plant (LP-7)'!N20,'Limestone Plant (LP-8)'!N20,'Limestone Plant (LP-9)'!N20,'Limestone Plant (LP-10)'!N20)&gt;0,"30502001","")</f>
        <v/>
      </c>
      <c r="D5" s="31" t="str">
        <f ca="1">IF(SUM('Limestone Plant (LP-1)'!N20,'Limestone Plant (LP-2)'!N20,'Limestone Plant (LP-3)'!N20,'Limestone Plant (LP-4)'!N20,'Limestone Plant (LP-5)'!N20,'Limestone Plant (LP-6)'!N20,'Limestone Plant (LP-7)'!N20,'Limestone Plant (LP-8)'!N20,'Limestone Plant (LP-9)'!N20,'Limestone Plant (LP-10)'!N20)&gt;0,SUM('Limestone Plant (LP-1)'!N20,'Limestone Plant (LP-2)'!N20,'Limestone Plant (LP-3)'!N20,'Limestone Plant (LP-4)'!N20,'Limestone Plant (LP-5)'!N20,'Limestone Plant (LP-6)'!N20,'Limestone Plant (LP-7)'!N20,'Limestone Plant (LP-8)'!N20,'Limestone Plant (LP-9)'!N20,'Limestone Plant (LP-10)'!N20),"")</f>
        <v/>
      </c>
      <c r="E5" s="31" t="str">
        <f ca="1">IF(B5="","","tons/hr")</f>
        <v/>
      </c>
      <c r="F5" s="115" t="str">
        <f ca="1">IF(B5="","",MAX('Limestone Plant (LP-1)'!O20,'Limestone Plant (LP-2)'!O20,'Limestone Plant (LP-3)'!O20,'Limestone Plant (LP-4)'!O20,'Limestone Plant (LP-5)'!O20,'Limestone Plant (LP-6)'!O20,'Limestone Plant (LP-7)'!O20,'Limestone Plant (LP-8)'!O20,'Limestone Plant (LP-9)'!O20,'Limestone Plant (LP-10)'!O20))</f>
        <v/>
      </c>
      <c r="G5" s="116" t="str">
        <f ca="1">IF(B5="","","lb/ton")</f>
        <v/>
      </c>
      <c r="H5" s="117" t="str">
        <f ca="1">IF(F5="","","AP-42 Table 11.19.2-2")</f>
        <v/>
      </c>
      <c r="I5" s="338" t="str">
        <f>IF(SUM('Limestone Plant (LP-1)'!P20,'Limestone Plant (LP-2)'!P20,'Limestone Plant (LP-3)'!P20,'Limestone Plant (LP-4)'!P20,'Limestone Plant (LP-5)'!P20,'Limestone Plant (LP-6)'!P20,'Limestone Plant (LP-7)'!P20,'Limestone Plant (LP-8)'!P20,'Limestone Plant (LP-9)'!P20,'Limestone Plant (LP-10)'!P20)&gt;0,SUM('Limestone Plant (LP-1)'!P20,'Limestone Plant (LP-2)'!N20,'Limestone Plant (LP-3)'!P20,'Limestone Plant (LP-4)'!P20,'Limestone Plant (LP-5)'!P20,'Limestone Plant (LP-6)'!P20,'Limestone Plant (LP-7)'!P20,'Limestone Plant (LP-8)'!P20,'Limestone Plant (LP-9)'!P20,'Limestone Plant (LP-10)'!P20),"")</f>
        <v/>
      </c>
      <c r="J5" s="31"/>
      <c r="K5" s="338" t="str">
        <f ca="1">IF(D5="","",IF(SUM('Limestone Plant (LP-1)'!Q20,'Limestone Plant (LP-2)'!R20,'Limestone Plant (LP-3)'!Q20,'Limestone Plant (LP-4)'!Q20,'Limestone Plant (LP-5)'!Q20,'Limestone Plant (LP-6)'!Q20,'Limestone Plant (LP-7)'!Q20,'Limestone Plant (LP-8)'!Q20,'Limestone Plant (LP-9)'!Q20,'Limestone Plant (LP-10)'!Q20)&gt;0,SUM('Limestone Plant (LP-1)'!Q20,'Limestone Plant (LP-2)'!N20,'Limestone Plant (LP-3)'!Q20,'Limestone Plant (LP-4)'!Q20,'Limestone Plant (LP-5)'!Q20,'Limestone Plant (LP-6)'!Q20,'Limestone Plant (LP-7)'!Q20,'Limestone Plant (LP-8)'!Q20,'Limestone Plant (LP-9)'!Q20,'Limestone Plant (LP-10)'!Q20),""))</f>
        <v/>
      </c>
      <c r="L5" s="338" t="str">
        <f ca="1">IF(B5="","",SUM('Limestone Plant (LP-1)'!R20,'Limestone Plant (LP-2)'!R20,'Limestone Plant (LP-3)'!R20,'Limestone Plant (LP-4)'!R20,'Limestone Plant (LP-5)'!R20,'Limestone Plant (LP-6)'!R20,'Limestone Plant (LP-7)'!R20,'Limestone Plant (LP-8)'!R20,'Limestone Plant (LP-9)'!R20,'Limestone Plant (LP-10)'!R20))</f>
        <v/>
      </c>
      <c r="M5" s="338" t="str">
        <f ca="1">IF(B5="","",SUM('Limestone Plant (LP-1)'!S20,'Limestone Plant (LP-2)'!S20,'Limestone Plant (LP-3)'!S20,'Limestone Plant (LP-4)'!S20,'Limestone Plant (LP-5)'!S20,'Limestone Plant (LP-6)'!S20,'Limestone Plant (LP-7)'!S20,'Limestone Plant (LP-8)'!S20,'Limestone Plant (LP-9)'!S20,'Limestone Plant (LP-10)'!S20))</f>
        <v/>
      </c>
    </row>
    <row r="6" spans="1:13" x14ac:dyDescent="0.25">
      <c r="A6" s="31" t="str">
        <f ca="1">IF(SUM('Limestone Plant (LP-1)'!N21,'Limestone Plant (LP-2)'!N21,'Limestone Plant (LP-3)'!N21,'Limestone Plant (LP-4)'!N21,'Limestone Plant (LP-5)'!N21,'Limestone Plant (LP-6)'!N21,'Limestone Plant (LP-7)'!N21,'Limestone Plant (LP-8)'!N21,'Limestone Plant (LP-9)'!N21,'Limestone Plant (LP-10)'!N21)&gt;0,"ALL","")</f>
        <v/>
      </c>
      <c r="B6" s="113" t="str">
        <f ca="1">IF(SUM('Limestone Plant (LP-1)'!N21,'Limestone Plant (LP-2)'!N21,'Limestone Plant (LP-3)'!N21,'Limestone Plant (LP-4)'!N21,'Limestone Plant (LP-5)'!N21,'Limestone Plant (LP-6)'!N21,'Limestone Plant (LP-7)'!N21,'Limestone Plant (LP-8)'!N21,'Limestone Plant (LP-9)'!N21,'Limestone Plant (LP-10)'!N21)&gt;0,"Screening","")</f>
        <v/>
      </c>
      <c r="C6" s="114" t="str">
        <f ca="1">IF(SUM('Limestone Plant (LP-1)'!N21,'Limestone Plant (LP-2)'!N21,'Limestone Plant (LP-3)'!N21,'Limestone Plant (LP-4)'!N21,'Limestone Plant (LP-5)'!N21,'Limestone Plant (LP-6)'!N21,'Limestone Plant (LP-7)'!N21,'Limestone Plant (LP-8)'!N21,'Limestone Plant (LP-9)'!N21,'Limestone Plant (LP-10)'!N21)&gt;0,"30502004","")</f>
        <v/>
      </c>
      <c r="D6" s="31" t="str">
        <f ca="1">IF(SUM('Limestone Plant (LP-1)'!N21,'Limestone Plant (LP-2)'!N21,'Limestone Plant (LP-3)'!N21,'Limestone Plant (LP-4)'!N21,'Limestone Plant (LP-5)'!N21,'Limestone Plant (LP-6)'!N21,'Limestone Plant (LP-7)'!N21,'Limestone Plant (LP-8)'!N21,'Limestone Plant (LP-9)'!N21,'Limestone Plant (LP-10)'!N21)&gt;0,SUM('Limestone Plant (LP-1)'!N21,'Limestone Plant (LP-2)'!N21,'Limestone Plant (LP-3)'!N21,'Limestone Plant (LP-4)'!N21,'Limestone Plant (LP-5)'!N21,'Limestone Plant (LP-6)'!N21,'Limestone Plant (LP-7)'!N21,'Limestone Plant (LP-8)'!N21,'Limestone Plant (LP-9)'!N21,'Limestone Plant (LP-10)'!N21),"")</f>
        <v/>
      </c>
      <c r="E6" s="31" t="str">
        <f t="shared" ref="E6:E12" ca="1" si="0">IF(B6="","","tons/hr")</f>
        <v/>
      </c>
      <c r="F6" s="115" t="str">
        <f ca="1">IF(B6="","",MAX('Limestone Plant (LP-1)'!O21,'Limestone Plant (LP-2)'!O21,'Limestone Plant (LP-3)'!O21,'Limestone Plant (LP-4)'!O21,'Limestone Plant (LP-5)'!O21,'Limestone Plant (LP-6)'!O21,'Limestone Plant (LP-7)'!O21,'Limestone Plant (LP-8)'!O21,'Limestone Plant (LP-9)'!O21,'Limestone Plant (LP-10)'!O21))</f>
        <v/>
      </c>
      <c r="G6" s="116" t="str">
        <f t="shared" ref="G6:G12" ca="1" si="1">IF(B6="","","lb/ton")</f>
        <v/>
      </c>
      <c r="H6" s="117" t="str">
        <f t="shared" ref="H6:H12" ca="1" si="2">IF(F6="","","AP-42 Table 11.19.2-2")</f>
        <v/>
      </c>
      <c r="I6" s="33" t="str">
        <f>IF(SUM('Limestone Plant (LP-1)'!P21,'Limestone Plant (LP-2)'!P21,'Limestone Plant (LP-3)'!P21,'Limestone Plant (LP-4)'!P21,'Limestone Plant (LP-5)'!P21,'Limestone Plant (LP-6)'!P21,'Limestone Plant (LP-7)'!P21,'Limestone Plant (LP-8)'!P21,'Limestone Plant (LP-9)'!P21,'Limestone Plant (LP-10)'!P21)&gt;0,SUM('Limestone Plant (LP-1)'!P21,'Limestone Plant (LP-2)'!P21,'Limestone Plant (LP-3)'!P21,'Limestone Plant (LP-4)'!P21,'Limestone Plant (LP-5)'!P21,'Limestone Plant (LP-6)'!P21,'Limestone Plant (LP-7)'!P21,'Limestone Plant (LP-8)'!P21,'Limestone Plant (LP-9)'!P21,'Limestone Plant (LP-10)'!P21),"")</f>
        <v/>
      </c>
      <c r="J6" s="31"/>
      <c r="K6" s="33" t="str">
        <f ca="1">IF(D6="","",IF(SUM('Limestone Plant (LP-1)'!Q21,'Limestone Plant (LP-2)'!Q21,'Limestone Plant (LP-3)'!Q21,'Limestone Plant (LP-4)'!Q21,'Limestone Plant (LP-5)'!Q21,'Limestone Plant (LP-6)'!Q21,'Limestone Plant (LP-7)'!Q21,'Limestone Plant (LP-8)'!Q21,'Limestone Plant (LP-9)'!Q21,'Limestone Plant (LP-10)'!Q21)&gt;0,SUM('Limestone Plant (LP-1)'!Q21,'Limestone Plant (LP-2)'!Q21,'Limestone Plant (LP-3)'!Q21,'Limestone Plant (LP-4)'!Q21,'Limestone Plant (LP-5)'!Q21,'Limestone Plant (LP-6)'!Q21,'Limestone Plant (LP-7)'!Q21,'Limestone Plant (LP-8)'!Q21,'Limestone Plant (LP-9)'!Q21,'Limestone Plant (LP-10)'!Q21),""))</f>
        <v/>
      </c>
      <c r="L6" s="33" t="str">
        <f ca="1">IF(B6="","",SUM('Limestone Plant (LP-1)'!R21,'Limestone Plant (LP-2)'!R21,'Limestone Plant (LP-3)'!R21,'Limestone Plant (LP-4)'!R21,'Limestone Plant (LP-5)'!R21,'Limestone Plant (LP-6)'!R21,'Limestone Plant (LP-7)'!R21,'Limestone Plant (LP-8)'!R21,'Limestone Plant (LP-9)'!R21,'Limestone Plant (LP-10)'!R21))</f>
        <v/>
      </c>
      <c r="M6" s="33" t="str">
        <f ca="1">IF(B6="","",SUM('Limestone Plant (LP-1)'!S21,'Limestone Plant (LP-2)'!S21,'Limestone Plant (LP-3)'!S21,'Limestone Plant (LP-4)'!S21,'Limestone Plant (LP-5)'!S21,'Limestone Plant (LP-6)'!S21,'Limestone Plant (LP-7)'!S21,'Limestone Plant (LP-8)'!S21,'Limestone Plant (LP-9)'!S21,'Limestone Plant (LP-10)'!S21))</f>
        <v/>
      </c>
    </row>
    <row r="7" spans="1:13" x14ac:dyDescent="0.25">
      <c r="A7" s="31" t="str">
        <f ca="1">IF(SUM('Limestone Plant (LP-1)'!N22,'Limestone Plant (LP-2)'!N22,'Limestone Plant (LP-3)'!N22,'Limestone Plant (LP-4)'!N22,'Limestone Plant (LP-5)'!N22,'Limestone Plant (LP-6)'!N22,'Limestone Plant (LP-7)'!N22,'Limestone Plant (LP-8)'!N22,'Limestone Plant (LP-9)'!N22,'Limestone Plant (LP-10)'!N22)&gt;0,"ALL","")</f>
        <v/>
      </c>
      <c r="B7" s="113" t="str">
        <f ca="1">IF(SUM('Limestone Plant (LP-1)'!N22,'Limestone Plant (LP-2)'!N22,'Limestone Plant (LP-3)'!N22,'Limestone Plant (LP-4)'!N22,'Limestone Plant (LP-5)'!N22,'Limestone Plant (LP-6)'!N22,'Limestone Plant (LP-7)'!N22,'Limestone Plant (LP-8)'!N22,'Limestone Plant (LP-9)'!N22,'Limestone Plant (LP-10)'!N22)&gt;0,"Secondary Crusher","")</f>
        <v/>
      </c>
      <c r="C7" s="114" t="str">
        <f ca="1">IF(SUM('Limestone Plant (LP-1)'!N22,'Limestone Plant (LP-2)'!N22,'Limestone Plant (LP-3)'!N22,'Limestone Plant (LP-4)'!N22,'Limestone Plant (LP-5)'!N22,'Limestone Plant (LP-6)'!N22,'Limestone Plant (LP-7)'!N22,'Limestone Plant (LP-8)'!N22,'Limestone Plant (LP-9)'!N22,'Limestone Plant (LP-10)'!N22)&gt;0,"30502002","")</f>
        <v/>
      </c>
      <c r="D7" s="31" t="str">
        <f ca="1">IF(SUM('Limestone Plant (LP-1)'!N22,'Limestone Plant (LP-2)'!N22,'Limestone Plant (LP-3)'!N22,'Limestone Plant (LP-4)'!N22,'Limestone Plant (LP-5)'!N22,'Limestone Plant (LP-6)'!N22,'Limestone Plant (LP-7)'!N22,'Limestone Plant (LP-8)'!N22,'Limestone Plant (LP-9)'!N22,'Limestone Plant (LP-10)'!N22)&gt;0,SUM('Limestone Plant (LP-1)'!N22,'Limestone Plant (LP-2)'!N22,'Limestone Plant (LP-3)'!N22,'Limestone Plant (LP-4)'!N22,'Limestone Plant (LP-5)'!N22,'Limestone Plant (LP-6)'!N22,'Limestone Plant (LP-7)'!N22,'Limestone Plant (LP-8)'!N22,'Limestone Plant (LP-9)'!N22,'Limestone Plant (LP-10)'!N22),"")</f>
        <v/>
      </c>
      <c r="E7" s="31" t="str">
        <f t="shared" ca="1" si="0"/>
        <v/>
      </c>
      <c r="F7" s="115" t="str">
        <f ca="1">IF(B7="","",MAX('Limestone Plant (LP-1)'!O22,'Limestone Plant (LP-2)'!O22,'Limestone Plant (LP-3)'!O22,'Limestone Plant (LP-4)'!O22,'Limestone Plant (LP-5)'!O22,'Limestone Plant (LP-6)'!O22,'Limestone Plant (LP-7)'!O22,'Limestone Plant (LP-8)'!O22,'Limestone Plant (LP-9)'!O22,'Limestone Plant (LP-10)'!O22))</f>
        <v/>
      </c>
      <c r="G7" s="116" t="str">
        <f t="shared" ca="1" si="1"/>
        <v/>
      </c>
      <c r="H7" s="117" t="str">
        <f t="shared" ca="1" si="2"/>
        <v/>
      </c>
      <c r="I7" s="33" t="str">
        <f>IF(SUM('Limestone Plant (LP-1)'!P22,'Limestone Plant (LP-2)'!P22,'Limestone Plant (LP-3)'!P22,'Limestone Plant (LP-4)'!P22,'Limestone Plant (LP-5)'!P22,'Limestone Plant (LP-6)'!P22,'Limestone Plant (LP-7)'!P22,'Limestone Plant (LP-8)'!P22,'Limestone Plant (LP-9)'!P22,'Limestone Plant (LP-10)'!P22)&gt;0,SUM('Limestone Plant (LP-1)'!P22,'Limestone Plant (LP-2)'!P22,'Limestone Plant (LP-3)'!P22,'Limestone Plant (LP-4)'!P22,'Limestone Plant (LP-5)'!P22,'Limestone Plant (LP-6)'!P22,'Limestone Plant (LP-7)'!P22,'Limestone Plant (LP-8)'!P22,'Limestone Plant (LP-9)'!P22,'Limestone Plant (LP-10)'!P22),"")</f>
        <v/>
      </c>
      <c r="J7" s="31"/>
      <c r="K7" s="33" t="str">
        <f ca="1">IF(D7="","",IF(SUM('Limestone Plant (LP-1)'!Q22,'Limestone Plant (LP-2)'!Q22,'Limestone Plant (LP-3)'!Q22,'Limestone Plant (LP-4)'!Q22,'Limestone Plant (LP-5)'!Q22,'Limestone Plant (LP-6)'!Q22,'Limestone Plant (LP-7)'!Q22,'Limestone Plant (LP-8)'!Q22,'Limestone Plant (LP-9)'!Q22,'Limestone Plant (LP-10)'!Q22)&gt;0,SUM('Limestone Plant (LP-1)'!Q22,'Limestone Plant (LP-2)'!Q22,'Limestone Plant (LP-3)'!Q22,'Limestone Plant (LP-4)'!Q22,'Limestone Plant (LP-5)'!Q22,'Limestone Plant (LP-6)'!Q22,'Limestone Plant (LP-7)'!Q22,'Limestone Plant (LP-8)'!Q22,'Limestone Plant (LP-9)'!Q22,'Limestone Plant (LP-10)'!Q22),""))</f>
        <v/>
      </c>
      <c r="L7" s="33" t="str">
        <f ca="1">IF(B7="","",SUM('Limestone Plant (LP-1)'!R22,'Limestone Plant (LP-2)'!R22,'Limestone Plant (LP-3)'!R22,'Limestone Plant (LP-4)'!R22,'Limestone Plant (LP-5)'!R22,'Limestone Plant (LP-6)'!R22,'Limestone Plant (LP-7)'!R22,'Limestone Plant (LP-8)'!R22,'Limestone Plant (LP-9)'!R22,'Limestone Plant (LP-10)'!R22))</f>
        <v/>
      </c>
      <c r="M7" s="33" t="str">
        <f ca="1">IF(B7="","",SUM('Limestone Plant (LP-1)'!S22,'Limestone Plant (LP-2)'!S22,'Limestone Plant (LP-3)'!S22,'Limestone Plant (LP-4)'!S22,'Limestone Plant (LP-5)'!S22,'Limestone Plant (LP-6)'!S22,'Limestone Plant (LP-7)'!S22,'Limestone Plant (LP-8)'!S22,'Limestone Plant (LP-9)'!S22,'Limestone Plant (LP-10)'!S22))</f>
        <v/>
      </c>
    </row>
    <row r="8" spans="1:13" x14ac:dyDescent="0.25">
      <c r="A8" s="31" t="str">
        <f ca="1">IF(SUM('Limestone Plant (LP-1)'!N23,'Limestone Plant (LP-2)'!N23,'Limestone Plant (LP-3)'!N23,'Limestone Plant (LP-4)'!N23,'Limestone Plant (LP-5)'!N23,'Limestone Plant (LP-6)'!N23,'Limestone Plant (LP-7)'!N23,'Limestone Plant (LP-8)'!N23,'Limestone Plant (LP-9)'!N23,'Limestone Plant (LP-10)'!N23)&gt;0,"ALL","")</f>
        <v/>
      </c>
      <c r="B8" s="113" t="str">
        <f ca="1">IF(SUM('Limestone Plant (LP-1)'!N23,'Limestone Plant (LP-2)'!N23,'Limestone Plant (LP-3)'!N23,'Limestone Plant (LP-4)'!N23,'Limestone Plant (LP-5)'!N23,'Limestone Plant (LP-6)'!N23,'Limestone Plant (LP-7)'!N23,'Limestone Plant (LP-8)'!N23,'Limestone Plant (LP-9)'!N23,'Limestone Plant (LP-10)'!N23)&gt;0,"Tertiary Crusher","")</f>
        <v/>
      </c>
      <c r="C8" s="114" t="str">
        <f ca="1">IF(SUM('Limestone Plant (LP-1)'!N23,'Limestone Plant (LP-2)'!N23,'Limestone Plant (LP-3)'!N23,'Limestone Plant (LP-4)'!N23,'Limestone Plant (LP-5)'!N23,'Limestone Plant (LP-6)'!N23,'Limestone Plant (LP-7)'!N23,'Limestone Plant (LP-8)'!N23,'Limestone Plant (LP-9)'!N23,'Limestone Plant (LP-10)'!N23)&gt;0,"30502003","")</f>
        <v/>
      </c>
      <c r="D8" s="31" t="str">
        <f ca="1">IF(SUM('Limestone Plant (LP-1)'!N23,'Limestone Plant (LP-2)'!N23,'Limestone Plant (LP-3)'!N23,'Limestone Plant (LP-4)'!N23,'Limestone Plant (LP-5)'!N23,'Limestone Plant (LP-6)'!N23,'Limestone Plant (LP-7)'!N23,'Limestone Plant (LP-8)'!N23,'Limestone Plant (LP-9)'!N23,'Limestone Plant (LP-10)'!N23)&gt;0,SUM('Limestone Plant (LP-1)'!N23,'Limestone Plant (LP-2)'!N23,'Limestone Plant (LP-3)'!N23,'Limestone Plant (LP-4)'!N23,'Limestone Plant (LP-5)'!N23,'Limestone Plant (LP-6)'!N23,'Limestone Plant (LP-7)'!N23,'Limestone Plant (LP-8)'!N23,'Limestone Plant (LP-9)'!N23,'Limestone Plant (LP-10)'!N23),"")</f>
        <v/>
      </c>
      <c r="E8" s="31" t="str">
        <f t="shared" ca="1" si="0"/>
        <v/>
      </c>
      <c r="F8" s="115" t="str">
        <f ca="1">IF(B8="","",MAX('Limestone Plant (LP-1)'!O23,'Limestone Plant (LP-2)'!O23,'Limestone Plant (LP-3)'!O23,'Limestone Plant (LP-4)'!O23,'Limestone Plant (LP-5)'!O23,'Limestone Plant (LP-6)'!O23,'Limestone Plant (LP-7)'!O23,'Limestone Plant (LP-8)'!O23,'Limestone Plant (LP-9)'!O23,'Limestone Plant (LP-10)'!O23))</f>
        <v/>
      </c>
      <c r="G8" s="116" t="str">
        <f t="shared" ca="1" si="1"/>
        <v/>
      </c>
      <c r="H8" s="117" t="str">
        <f t="shared" ca="1" si="2"/>
        <v/>
      </c>
      <c r="I8" s="33" t="str">
        <f>IF(SUM('Limestone Plant (LP-1)'!P23,'Limestone Plant (LP-2)'!P23,'Limestone Plant (LP-3)'!P23,'Limestone Plant (LP-4)'!P23,'Limestone Plant (LP-5)'!P23,'Limestone Plant (LP-6)'!P23,'Limestone Plant (LP-7)'!P23,'Limestone Plant (LP-8)'!P23,'Limestone Plant (LP-9)'!P23,'Limestone Plant (LP-10)'!P23)&gt;0,SUM('Limestone Plant (LP-1)'!P23,'Limestone Plant (LP-2)'!P23,'Limestone Plant (LP-3)'!P23,'Limestone Plant (LP-4)'!P23,'Limestone Plant (LP-5)'!P23,'Limestone Plant (LP-6)'!P23,'Limestone Plant (LP-7)'!P23,'Limestone Plant (LP-8)'!P23,'Limestone Plant (LP-9)'!P23,'Limestone Plant (LP-10)'!P23),"")</f>
        <v/>
      </c>
      <c r="J8" s="31"/>
      <c r="K8" s="33" t="str">
        <f ca="1">IF(D8="","",IF(SUM('Limestone Plant (LP-1)'!Q23,'Limestone Plant (LP-2)'!Q23,'Limestone Plant (LP-3)'!Q23,'Limestone Plant (LP-4)'!Q23,'Limestone Plant (LP-5)'!Q23,'Limestone Plant (LP-6)'!Q23,'Limestone Plant (LP-7)'!Q23,'Limestone Plant (LP-8)'!Q23,'Limestone Plant (LP-9)'!Q23,'Limestone Plant (LP-10)'!Q23)&gt;0,SUM('Limestone Plant (LP-1)'!Q23,'Limestone Plant (LP-2)'!Q23,'Limestone Plant (LP-3)'!Q23,'Limestone Plant (LP-4)'!Q23,'Limestone Plant (LP-5)'!Q23,'Limestone Plant (LP-6)'!Q23,'Limestone Plant (LP-7)'!Q23,'Limestone Plant (LP-8)'!Q23,'Limestone Plant (LP-9)'!Q23,'Limestone Plant (LP-10)'!Q23),""))</f>
        <v/>
      </c>
      <c r="L8" s="33" t="str">
        <f ca="1">IF(B8="","",SUM('Limestone Plant (LP-1)'!R23,'Limestone Plant (LP-2)'!R23,'Limestone Plant (LP-3)'!R23,'Limestone Plant (LP-4)'!R23,'Limestone Plant (LP-5)'!R23,'Limestone Plant (LP-6)'!R23,'Limestone Plant (LP-7)'!R23,'Limestone Plant (LP-8)'!R23,'Limestone Plant (LP-9)'!R23,'Limestone Plant (LP-10)'!R23))</f>
        <v/>
      </c>
      <c r="M8" s="33" t="str">
        <f ca="1">IF(B8="","",SUM('Limestone Plant (LP-1)'!S23,'Limestone Plant (LP-2)'!S23,'Limestone Plant (LP-3)'!S23,'Limestone Plant (LP-4)'!S23,'Limestone Plant (LP-5)'!S23,'Limestone Plant (LP-6)'!S23,'Limestone Plant (LP-7)'!S23,'Limestone Plant (LP-8)'!S23,'Limestone Plant (LP-9)'!S23,'Limestone Plant (LP-10)'!S23))</f>
        <v/>
      </c>
    </row>
    <row r="9" spans="1:13" x14ac:dyDescent="0.25">
      <c r="A9" s="31" t="str">
        <f ca="1">IF(SUM('Limestone Plant (LP-1)'!N24,'Limestone Plant (LP-2)'!N24,'Limestone Plant (LP-3)'!N24,'Limestone Plant (LP-4)'!N24,'Limestone Plant (LP-5)'!N24,'Limestone Plant (LP-6)'!N24,'Limestone Plant (LP-7)'!N24,'Limestone Plant (LP-8)'!N24,'Limestone Plant (LP-9)'!N24,'Limestone Plant (LP-10)'!N24)&gt;0,"ALL","")</f>
        <v/>
      </c>
      <c r="B9" s="113" t="str">
        <f ca="1">IF(SUM('Limestone Plant (LP-1)'!N24,'Limestone Plant (LP-2)'!N24,'Limestone Plant (LP-3)'!N24,'Limestone Plant (LP-4)'!N24,'Limestone Plant (LP-5)'!N24,'Limestone Plant (LP-6)'!N24,'Limestone Plant (LP-7)'!N24,'Limestone Plant (LP-8)'!N24,'Limestone Plant (LP-9)'!N24,'Limestone Plant (LP-10)'!N24)&gt;0,"Fines Crusher","")</f>
        <v/>
      </c>
      <c r="C9" s="114" t="str">
        <f ca="1">IF(SUM('Limestone Plant (LP-1)'!N24,'Limestone Plant (LP-2)'!N24,'Limestone Plant (LP-3)'!N24,'Limestone Plant (LP-4)'!N24,'Limestone Plant (LP-5)'!N24,'Limestone Plant (LP-6)'!N24,'Limestone Plant (LP-7)'!N24,'Limestone Plant (LP-8)'!N24,'Limestone Plant (LP-9)'!N24,'Limestone Plant (LP-10)'!N24)&gt;0,"30502005","")</f>
        <v/>
      </c>
      <c r="D9" s="31" t="str">
        <f ca="1">IF(SUM('Limestone Plant (LP-1)'!N24,'Limestone Plant (LP-2)'!N24,'Limestone Plant (LP-3)'!N24,'Limestone Plant (LP-4)'!N24,'Limestone Plant (LP-5)'!N24,'Limestone Plant (LP-6)'!N24,'Limestone Plant (LP-7)'!N24,'Limestone Plant (LP-8)'!N24,'Limestone Plant (LP-9)'!N24,'Limestone Plant (LP-10)'!N24)&gt;0,SUM('Limestone Plant (LP-1)'!N24,'Limestone Plant (LP-2)'!N24,'Limestone Plant (LP-3)'!N24,'Limestone Plant (LP-4)'!N24,'Limestone Plant (LP-5)'!N24,'Limestone Plant (LP-6)'!N24,'Limestone Plant (LP-7)'!N24,'Limestone Plant (LP-8)'!N24,'Limestone Plant (LP-9)'!N24,'Limestone Plant (LP-10)'!N24),"")</f>
        <v/>
      </c>
      <c r="E9" s="31" t="str">
        <f t="shared" ca="1" si="0"/>
        <v/>
      </c>
      <c r="F9" s="115" t="str">
        <f ca="1">IF(B9="","",MAX('Limestone Plant (LP-1)'!O24,'Limestone Plant (LP-2)'!O24,'Limestone Plant (LP-3)'!O24,'Limestone Plant (LP-4)'!O24,'Limestone Plant (LP-5)'!O24,'Limestone Plant (LP-6)'!O24,'Limestone Plant (LP-7)'!O24,'Limestone Plant (LP-8)'!O24,'Limestone Plant (LP-9)'!O24,'Limestone Plant (LP-10)'!O24))</f>
        <v/>
      </c>
      <c r="G9" s="116" t="str">
        <f t="shared" ca="1" si="1"/>
        <v/>
      </c>
      <c r="H9" s="117" t="str">
        <f t="shared" ca="1" si="2"/>
        <v/>
      </c>
      <c r="I9" s="33" t="str">
        <f>IF(SUM('Limestone Plant (LP-1)'!P24,'Limestone Plant (LP-2)'!P24,'Limestone Plant (LP-3)'!P24,'Limestone Plant (LP-4)'!P24,'Limestone Plant (LP-5)'!P24,'Limestone Plant (LP-6)'!P24,'Limestone Plant (LP-7)'!P24,'Limestone Plant (LP-8)'!P24,'Limestone Plant (LP-9)'!P24,'Limestone Plant (LP-10)'!P24)&gt;0,SUM('Limestone Plant (LP-1)'!P24,'Limestone Plant (LP-2)'!P24,'Limestone Plant (LP-3)'!P24,'Limestone Plant (LP-4)'!P24,'Limestone Plant (LP-5)'!P24,'Limestone Plant (LP-6)'!P24,'Limestone Plant (LP-7)'!P24,'Limestone Plant (LP-8)'!P24,'Limestone Plant (LP-9)'!P24,'Limestone Plant (LP-10)'!P24),"")</f>
        <v/>
      </c>
      <c r="J9" s="31"/>
      <c r="K9" s="33" t="str">
        <f ca="1">IF(D9="","",IF(SUM('Limestone Plant (LP-1)'!Q24,'Limestone Plant (LP-2)'!Q24,'Limestone Plant (LP-3)'!Q24,'Limestone Plant (LP-4)'!Q24,'Limestone Plant (LP-5)'!Q24,'Limestone Plant (LP-6)'!Q24,'Limestone Plant (LP-7)'!Q24,'Limestone Plant (LP-8)'!Q24,'Limestone Plant (LP-9)'!Q24,'Limestone Plant (LP-10)'!Q24)&gt;0,SUM('Limestone Plant (LP-1)'!Q24,'Limestone Plant (LP-2)'!Q24,'Limestone Plant (LP-3)'!Q24,'Limestone Plant (LP-4)'!Q24,'Limestone Plant (LP-5)'!Q24,'Limestone Plant (LP-6)'!Q24,'Limestone Plant (LP-7)'!Q24,'Limestone Plant (LP-8)'!Q24,'Limestone Plant (LP-9)'!Q24,'Limestone Plant (LP-10)'!Q24),""))</f>
        <v/>
      </c>
      <c r="L9" s="33" t="str">
        <f ca="1">IF(B9="","",SUM('Limestone Plant (LP-1)'!R24,'Limestone Plant (LP-2)'!R24,'Limestone Plant (LP-3)'!R24,'Limestone Plant (LP-4)'!R24,'Limestone Plant (LP-5)'!R24,'Limestone Plant (LP-6)'!R24,'Limestone Plant (LP-7)'!R24,'Limestone Plant (LP-8)'!R24,'Limestone Plant (LP-9)'!R24,'Limestone Plant (LP-10)'!R24))</f>
        <v/>
      </c>
      <c r="M9" s="33" t="str">
        <f ca="1">IF(B9="","",SUM('Limestone Plant (LP-1)'!S24,'Limestone Plant (LP-2)'!S24,'Limestone Plant (LP-3)'!S24,'Limestone Plant (LP-4)'!S24,'Limestone Plant (LP-5)'!S24,'Limestone Plant (LP-6)'!S24,'Limestone Plant (LP-7)'!S24,'Limestone Plant (LP-8)'!S24,'Limestone Plant (LP-9)'!S24,'Limestone Plant (LP-10)'!S24))</f>
        <v/>
      </c>
    </row>
    <row r="10" spans="1:13" x14ac:dyDescent="0.25">
      <c r="A10" s="31" t="str">
        <f ca="1">IF(SUM('Limestone Plant (LP-1)'!N25,'Limestone Plant (LP-2)'!N25,'Limestone Plant (LP-3)'!N25,'Limestone Plant (LP-4)'!N25,'Limestone Plant (LP-5)'!N25,'Limestone Plant (LP-6)'!N25,'Limestone Plant (LP-7)'!N25,'Limestone Plant (LP-8)'!N25,'Limestone Plant (LP-9)'!N25,'Limestone Plant (LP-10)'!N25)&gt;0,"ALL","")</f>
        <v/>
      </c>
      <c r="B10" s="113" t="str">
        <f ca="1">IF(SUM('Limestone Plant (LP-1)'!N25,'Limestone Plant (LP-2)'!N25,'Limestone Plant (LP-3)'!N25,'Limestone Plant (LP-4)'!N25,'Limestone Plant (LP-5)'!N25,'Limestone Plant (LP-6)'!N25,'Limestone Plant (LP-7)'!N25,'Limestone Plant (LP-8)'!N25,'Limestone Plant (LP-9)'!N25,'Limestone Plant (LP-10)'!N25)&gt;0,"Fines Screening","")</f>
        <v/>
      </c>
      <c r="C10" s="114" t="str">
        <f ca="1">IF(SUM('Limestone Plant (LP-1)'!N25,'Limestone Plant (LP-2)'!N25,'Limestone Plant (LP-3)'!N25,'Limestone Plant (LP-4)'!N25,'Limestone Plant (LP-5)'!N25,'Limestone Plant (LP-6)'!N25,'Limestone Plant (LP-7)'!N25,'Limestone Plant (LP-8)'!N25,'Limestone Plant (LP-9)'!N25,'Limestone Plant (LP-10)'!N25)&gt;0,"30502021","")</f>
        <v/>
      </c>
      <c r="D10" s="31" t="str">
        <f ca="1">IF(SUM('Limestone Plant (LP-1)'!N25,'Limestone Plant (LP-2)'!N25,'Limestone Plant (LP-3)'!N25,'Limestone Plant (LP-4)'!N25,'Limestone Plant (LP-5)'!N25,'Limestone Plant (LP-6)'!N25,'Limestone Plant (LP-7)'!N25,'Limestone Plant (LP-8)'!N25,'Limestone Plant (LP-9)'!N25,'Limestone Plant (LP-10)'!N25)&gt;0,SUM('Limestone Plant (LP-1)'!N25,'Limestone Plant (LP-2)'!N25,'Limestone Plant (LP-3)'!N25,'Limestone Plant (LP-4)'!N25,'Limestone Plant (LP-5)'!N25,'Limestone Plant (LP-6)'!N25,'Limestone Plant (LP-7)'!N25,'Limestone Plant (LP-8)'!N25,'Limestone Plant (LP-9)'!N25,'Limestone Plant (LP-10)'!N25),"")</f>
        <v/>
      </c>
      <c r="E10" s="31" t="str">
        <f t="shared" ca="1" si="0"/>
        <v/>
      </c>
      <c r="F10" s="115" t="str">
        <f ca="1">IF(B10="","",MAX('Limestone Plant (LP-1)'!O25,'Limestone Plant (LP-2)'!O25,'Limestone Plant (LP-3)'!O25,'Limestone Plant (LP-4)'!O25,'Limestone Plant (LP-5)'!O25,'Limestone Plant (LP-6)'!O25,'Limestone Plant (LP-7)'!O25,'Limestone Plant (LP-8)'!O25,'Limestone Plant (LP-9)'!O25,'Limestone Plant (LP-10)'!O25))</f>
        <v/>
      </c>
      <c r="G10" s="116" t="str">
        <f t="shared" ca="1" si="1"/>
        <v/>
      </c>
      <c r="H10" s="117" t="str">
        <f t="shared" ca="1" si="2"/>
        <v/>
      </c>
      <c r="I10" s="33" t="str">
        <f>IF(SUM('Limestone Plant (LP-1)'!P25,'Limestone Plant (LP-2)'!P25,'Limestone Plant (LP-3)'!P25,'Limestone Plant (LP-4)'!P25,'Limestone Plant (LP-5)'!P25,'Limestone Plant (LP-6)'!P25,'Limestone Plant (LP-7)'!P25,'Limestone Plant (LP-8)'!P25,'Limestone Plant (LP-9)'!P25,'Limestone Plant (LP-10)'!P25)&gt;0,SUM('Limestone Plant (LP-1)'!P25,'Limestone Plant (LP-2)'!P25,'Limestone Plant (LP-3)'!P25,'Limestone Plant (LP-4)'!P25,'Limestone Plant (LP-5)'!P25,'Limestone Plant (LP-6)'!P25,'Limestone Plant (LP-7)'!P25,'Limestone Plant (LP-8)'!P25,'Limestone Plant (LP-9)'!P25,'Limestone Plant (LP-10)'!P25),"")</f>
        <v/>
      </c>
      <c r="J10" s="31"/>
      <c r="K10" s="33" t="str">
        <f ca="1">IF(D10="","",IF(SUM('Limestone Plant (LP-1)'!Q25,'Limestone Plant (LP-2)'!Q25,'Limestone Plant (LP-3)'!Q25,'Limestone Plant (LP-4)'!Q25,'Limestone Plant (LP-5)'!Q25,'Limestone Plant (LP-6)'!Q25,'Limestone Plant (LP-7)'!Q25,'Limestone Plant (LP-8)'!Q25,'Limestone Plant (LP-9)'!Q25,'Limestone Plant (LP-10)'!Q25)&gt;0,SUM('Limestone Plant (LP-1)'!Q25,'Limestone Plant (LP-2)'!Q25,'Limestone Plant (LP-3)'!Q25,'Limestone Plant (LP-4)'!Q25,'Limestone Plant (LP-5)'!Q25,'Limestone Plant (LP-6)'!Q25,'Limestone Plant (LP-7)'!Q25,'Limestone Plant (LP-8)'!Q25,'Limestone Plant (LP-9)'!Q25,'Limestone Plant (LP-10)'!Q25),""))</f>
        <v/>
      </c>
      <c r="L10" s="33" t="str">
        <f ca="1">IF(B10="","",SUM('Limestone Plant (LP-1)'!R25,'Limestone Plant (LP-2)'!R25,'Limestone Plant (LP-3)'!R25,'Limestone Plant (LP-4)'!R25,'Limestone Plant (LP-5)'!R25,'Limestone Plant (LP-6)'!R25,'Limestone Plant (LP-7)'!R25,'Limestone Plant (LP-8)'!R25,'Limestone Plant (LP-9)'!R25,'Limestone Plant (LP-10)'!R25))</f>
        <v/>
      </c>
      <c r="M10" s="33" t="str">
        <f ca="1">IF(B10="","",SUM('Limestone Plant (LP-1)'!S25,'Limestone Plant (LP-2)'!S25,'Limestone Plant (LP-3)'!S25,'Limestone Plant (LP-4)'!S25,'Limestone Plant (LP-5)'!S25,'Limestone Plant (LP-6)'!S25,'Limestone Plant (LP-7)'!S25,'Limestone Plant (LP-8)'!S25,'Limestone Plant (LP-9)'!S25,'Limestone Plant (LP-10)'!S25))</f>
        <v/>
      </c>
    </row>
    <row r="11" spans="1:13" x14ac:dyDescent="0.25">
      <c r="A11" s="31" t="str">
        <f ca="1">IF(SUM('Limestone Plant (LP-1)'!N26,'Limestone Plant (LP-2)'!N26,'Limestone Plant (LP-3)'!N26,'Limestone Plant (LP-4)'!N26,'Limestone Plant (LP-5)'!N26,'Limestone Plant (LP-6)'!N26,'Limestone Plant (LP-7)'!N26,'Limestone Plant (LP-8)'!N26,'Limestone Plant (LP-9)'!N26,'Limestone Plant (LP-10)'!N26)&gt;0,"ALL","")</f>
        <v/>
      </c>
      <c r="B11" s="113" t="str">
        <f ca="1">IF(SUM('Limestone Plant (LP-1)'!N26,'Limestone Plant (LP-2)'!N26,'Limestone Plant (LP-3)'!N26,'Limestone Plant (LP-4)'!N26,'Limestone Plant (LP-5)'!N26,'Limestone Plant (LP-6)'!N26,'Limestone Plant (LP-7)'!N26,'Limestone Plant (LP-8)'!N26,'Limestone Plant (LP-9)'!N26,'Limestone Plant (LP-10)'!N26)&gt;0,"Wet Drilling: Unfragmented Stone","")</f>
        <v/>
      </c>
      <c r="C11" s="114" t="str">
        <f ca="1">IF(SUM('Limestone Plant (LP-1)'!N26,'Limestone Plant (LP-2)'!N26,'Limestone Plant (LP-3)'!N26,'Limestone Plant (LP-4)'!N26,'Limestone Plant (LP-5)'!N26,'Limestone Plant (LP-6)'!N26,'Limestone Plant (LP-7)'!N26,'Limestone Plant (LP-8)'!N26,'Limestone Plant (LP-9)'!N26,'Limestone Plant (LP-10)'!N26)&gt;0,"30502010","")</f>
        <v/>
      </c>
      <c r="D11" s="31" t="str">
        <f ca="1">IF(SUM('Limestone Plant (LP-1)'!N26,'Limestone Plant (LP-2)'!N26,'Limestone Plant (LP-3)'!N26,'Limestone Plant (LP-4)'!N26,'Limestone Plant (LP-5)'!N26,'Limestone Plant (LP-6)'!N26,'Limestone Plant (LP-7)'!N26,'Limestone Plant (LP-8)'!N26,'Limestone Plant (LP-9)'!N26,'Limestone Plant (LP-10)'!N26)&gt;0,SUM('Limestone Plant (LP-1)'!N26,'Limestone Plant (LP-2)'!N26,'Limestone Plant (LP-3)'!N26,'Limestone Plant (LP-4)'!N26,'Limestone Plant (LP-5)'!N26,'Limestone Plant (LP-6)'!N26,'Limestone Plant (LP-7)'!N26,'Limestone Plant (LP-8)'!N26,'Limestone Plant (LP-9)'!N26,'Limestone Plant (LP-10)'!N26),"")</f>
        <v/>
      </c>
      <c r="E11" s="31" t="str">
        <f t="shared" ca="1" si="0"/>
        <v/>
      </c>
      <c r="F11" s="115" t="str">
        <f ca="1">IF(B11="","",MAX('Limestone Plant (LP-1)'!O26,'Limestone Plant (LP-2)'!O26,'Limestone Plant (LP-3)'!O26,'Limestone Plant (LP-4)'!O26,'Limestone Plant (LP-5)'!O26,'Limestone Plant (LP-6)'!O26,'Limestone Plant (LP-7)'!O26,'Limestone Plant (LP-8)'!O26,'Limestone Plant (LP-9)'!O26,'Limestone Plant (LP-10)'!O26))</f>
        <v/>
      </c>
      <c r="G11" s="116" t="str">
        <f t="shared" ca="1" si="1"/>
        <v/>
      </c>
      <c r="H11" s="117" t="str">
        <f t="shared" ca="1" si="2"/>
        <v/>
      </c>
      <c r="I11" s="33" t="str">
        <f>IF(SUM('Limestone Plant (LP-1)'!P26,'Limestone Plant (LP-2)'!P26,'Limestone Plant (LP-3)'!P26,'Limestone Plant (LP-4)'!P26,'Limestone Plant (LP-5)'!P26,'Limestone Plant (LP-6)'!P26,'Limestone Plant (LP-7)'!P26,'Limestone Plant (LP-8)'!P26,'Limestone Plant (LP-9)'!P26,'Limestone Plant (LP-10)'!P26)&gt;0,SUM('Limestone Plant (LP-1)'!P26,'Limestone Plant (LP-2)'!P26,'Limestone Plant (LP-3)'!P26,'Limestone Plant (LP-4)'!P26,'Limestone Plant (LP-5)'!P26,'Limestone Plant (LP-6)'!P26,'Limestone Plant (LP-7)'!P26,'Limestone Plant (LP-8)'!P26,'Limestone Plant (LP-9)'!P26,'Limestone Plant (LP-10)'!P26),"")</f>
        <v/>
      </c>
      <c r="J11" s="31"/>
      <c r="K11" s="33" t="str">
        <f ca="1">IF(D11="","",IF(SUM('Limestone Plant (LP-1)'!Q26,'Limestone Plant (LP-2)'!Q26,'Limestone Plant (LP-3)'!Q26,'Limestone Plant (LP-4)'!Q26,'Limestone Plant (LP-5)'!Q26,'Limestone Plant (LP-6)'!Q26,'Limestone Plant (LP-7)'!Q26,'Limestone Plant (LP-8)'!Q26,'Limestone Plant (LP-9)'!Q26,'Limestone Plant (LP-10)'!Q26)&gt;0,SUM('Limestone Plant (LP-1)'!Q26,'Limestone Plant (LP-2)'!Q26,'Limestone Plant (LP-3)'!Q26,'Limestone Plant (LP-4)'!Q26,'Limestone Plant (LP-5)'!Q26,'Limestone Plant (LP-6)'!Q26,'Limestone Plant (LP-7)'!Q26,'Limestone Plant (LP-8)'!Q26,'Limestone Plant (LP-9)'!Q26,'Limestone Plant (LP-10)'!Q26),""))</f>
        <v/>
      </c>
      <c r="L11" s="33" t="str">
        <f ca="1">IF(B11="","",SUM('Limestone Plant (LP-1)'!R26,'Limestone Plant (LP-2)'!R26,'Limestone Plant (LP-3)'!R26,'Limestone Plant (LP-4)'!R26,'Limestone Plant (LP-5)'!R26,'Limestone Plant (LP-6)'!R26,'Limestone Plant (LP-7)'!R26,'Limestone Plant (LP-8)'!R26,'Limestone Plant (LP-9)'!R26,'Limestone Plant (LP-10)'!R26))</f>
        <v/>
      </c>
      <c r="M11" s="33" t="str">
        <f ca="1">IF(B11="","",SUM('Limestone Plant (LP-1)'!S26,'Limestone Plant (LP-2)'!S26,'Limestone Plant (LP-3)'!S26,'Limestone Plant (LP-4)'!S26,'Limestone Plant (LP-5)'!S26,'Limestone Plant (LP-6)'!S26,'Limestone Plant (LP-7)'!S26,'Limestone Plant (LP-8)'!S26,'Limestone Plant (LP-9)'!S26,'Limestone Plant (LP-10)'!S26))</f>
        <v/>
      </c>
    </row>
    <row r="12" spans="1:13" x14ac:dyDescent="0.25">
      <c r="A12" s="31" t="str">
        <f ca="1">IF(SUM('Limestone Plant (LP-1)'!N27,'Limestone Plant (LP-2)'!N27,'Limestone Plant (LP-3)'!N27,'Limestone Plant (LP-4)'!N27,'Limestone Plant (LP-5)'!N27,'Limestone Plant (LP-6)'!N27,'Limestone Plant (LP-7)'!N27,'Limestone Plant (LP-8)'!N27,'Limestone Plant (LP-9)'!N27,'Limestone Plant (LP-10)'!N27)&gt;0,"ALL","")</f>
        <v/>
      </c>
      <c r="B12" s="113" t="str">
        <f ca="1">IF(SUM('Limestone Plant (LP-1)'!N27,'Limestone Plant (LP-2)'!N27,'Limestone Plant (LP-3)'!N27,'Limestone Plant (LP-4)'!N27,'Limestone Plant (LP-5)'!N27,'Limestone Plant (LP-6)'!N27,'Limestone Plant (LP-7)'!N27,'Limestone Plant (LP-8)'!N27,'Limestone Plant (LP-9)'!N27,'Limestone Plant (LP-10)'!N27)&gt;0,"Conveyor Transfer Points","")</f>
        <v/>
      </c>
      <c r="C12" s="114" t="str">
        <f ca="1">IF(SUM('Limestone Plant (LP-1)'!N27,'Limestone Plant (LP-2)'!N27,'Limestone Plant (LP-3)'!N27,'Limestone Plant (LP-4)'!N27,'Limestone Plant (LP-5)'!N27,'Limestone Plant (LP-6)'!N27,'Limestone Plant (LP-7)'!N27,'Limestone Plant (LP-8)'!N27,'Limestone Plant (LP-9)'!N27,'Limestone Plant (LP-10)'!N27)&gt;0,"30502006","")</f>
        <v/>
      </c>
      <c r="D12" s="31" t="str">
        <f ca="1">IF(SUM('Limestone Plant (LP-1)'!N27,'Limestone Plant (LP-2)'!N27,'Limestone Plant (LP-3)'!N27,'Limestone Plant (LP-4)'!N27,'Limestone Plant (LP-5)'!N27,'Limestone Plant (LP-6)'!N27,'Limestone Plant (LP-7)'!N27,'Limestone Plant (LP-8)'!N27,'Limestone Plant (LP-9)'!N27,'Limestone Plant (LP-10)'!N27)&gt;0,SUM('Limestone Plant (LP-1)'!N27,'Limestone Plant (LP-2)'!N27,'Limestone Plant (LP-3)'!N27,'Limestone Plant (LP-4)'!N27,'Limestone Plant (LP-5)'!N27,'Limestone Plant (LP-6)'!N27,'Limestone Plant (LP-7)'!N27,'Limestone Plant (LP-8)'!N27,'Limestone Plant (LP-9)'!N27,'Limestone Plant (LP-10)'!N27),"")</f>
        <v/>
      </c>
      <c r="E12" s="31" t="str">
        <f t="shared" ca="1" si="0"/>
        <v/>
      </c>
      <c r="F12" s="115" t="str">
        <f ca="1">IF(B12="","",MAX('Limestone Plant (LP-1)'!O27,'Limestone Plant (LP-2)'!O27,'Limestone Plant (LP-3)'!O27,'Limestone Plant (LP-4)'!O27,'Limestone Plant (LP-5)'!O27,'Limestone Plant (LP-6)'!O27,'Limestone Plant (LP-7)'!O27,'Limestone Plant (LP-8)'!O27,'Limestone Plant (LP-9)'!O27,'Limestone Plant (LP-10)'!O27))</f>
        <v/>
      </c>
      <c r="G12" s="116" t="str">
        <f t="shared" ca="1" si="1"/>
        <v/>
      </c>
      <c r="H12" s="117" t="str">
        <f t="shared" ca="1" si="2"/>
        <v/>
      </c>
      <c r="I12" s="33" t="str">
        <f>IF(SUM('Limestone Plant (LP-1)'!P27,'Limestone Plant (LP-2)'!P27,'Limestone Plant (LP-3)'!P27,'Limestone Plant (LP-4)'!P27,'Limestone Plant (LP-5)'!P27,'Limestone Plant (LP-6)'!P27,'Limestone Plant (LP-7)'!P27,'Limestone Plant (LP-8)'!P27,'Limestone Plant (LP-9)'!P27,'Limestone Plant (LP-10)'!P27)&gt;0,SUM('Limestone Plant (LP-1)'!P27,'Limestone Plant (LP-2)'!P27,'Limestone Plant (LP-3)'!P27,'Limestone Plant (LP-4)'!P27,'Limestone Plant (LP-5)'!P27,'Limestone Plant (LP-6)'!P27,'Limestone Plant (LP-7)'!P27,'Limestone Plant (LP-8)'!P27,'Limestone Plant (LP-9)'!P27,'Limestone Plant (LP-10)'!P27),"")</f>
        <v/>
      </c>
      <c r="J12" s="31"/>
      <c r="K12" s="33" t="str">
        <f ca="1">IF(D12="","",IF(SUM('Limestone Plant (LP-1)'!Q27,'Limestone Plant (LP-2)'!Q27,'Limestone Plant (LP-3)'!Q27,'Limestone Plant (LP-4)'!Q27,'Limestone Plant (LP-5)'!Q27,'Limestone Plant (LP-6)'!Q27,'Limestone Plant (LP-7)'!Q27,'Limestone Plant (LP-8)'!Q27,'Limestone Plant (LP-9)'!Q27,'Limestone Plant (LP-10)'!Q27)&gt;0,SUM('Limestone Plant (LP-1)'!Q27,'Limestone Plant (LP-2)'!Q27,'Limestone Plant (LP-3)'!Q27,'Limestone Plant (LP-4)'!Q27,'Limestone Plant (LP-5)'!Q27,'Limestone Plant (LP-6)'!Q27,'Limestone Plant (LP-7)'!Q27,'Limestone Plant (LP-8)'!Q27,'Limestone Plant (LP-9)'!Q27,'Limestone Plant (LP-10)'!Q27),""))</f>
        <v/>
      </c>
      <c r="L12" s="33" t="str">
        <f ca="1">IF(B12="","",SUM('Limestone Plant (LP-1)'!R27,'Limestone Plant (LP-2)'!R27,'Limestone Plant (LP-3)'!R27,'Limestone Plant (LP-4)'!R27,'Limestone Plant (LP-5)'!R27,'Limestone Plant (LP-6)'!R27,'Limestone Plant (LP-7)'!R27,'Limestone Plant (LP-8)'!R27,'Limestone Plant (LP-9)'!R27,'Limestone Plant (LP-10)'!R27))</f>
        <v/>
      </c>
      <c r="M12" s="33" t="str">
        <f ca="1">IF(B12="","",SUM('Limestone Plant (LP-1)'!S27,'Limestone Plant (LP-2)'!S27,'Limestone Plant (LP-3)'!S27,'Limestone Plant (LP-4)'!S27,'Limestone Plant (LP-5)'!S27,'Limestone Plant (LP-6)'!S27,'Limestone Plant (LP-7)'!S27,'Limestone Plant (LP-8)'!S27,'Limestone Plant (LP-9)'!S27,'Limestone Plant (LP-10)'!S27))</f>
        <v/>
      </c>
    </row>
    <row r="13" spans="1:13" x14ac:dyDescent="0.25">
      <c r="A13" s="31" t="str">
        <f>IF(SUM('Limestone Plant (LP-1)'!N40,'Limestone Plant (LP-2)'!N40,'Limestone Plant (LP-3)'!N40,'Limestone Plant (LP-4)'!N40,'Limestone Plant (LP-5)'!N40,'Limestone Plant (LP-6)'!N39,'Limestone Plant (LP-7)'!N39,'Limestone Plant (LP-8)'!N39,'Limestone Plant (LP-9)'!N39,'Limestone Plant (LP-10)'!N39)&gt;0,"ALL","")</f>
        <v/>
      </c>
      <c r="B13" s="113" t="str">
        <f>IF(SUM('Limestone Plant (LP-1)'!N40,'Limestone Plant (LP-2)'!N40,'Limestone Plant (LP-3)'!N40,'Limestone Plant (LP-4)'!N40,'Limestone Plant (LP-5)'!N40,'Limestone Plant (LP-6)'!N39,'Limestone Plant (LP-7)'!N39,'Limestone Plant (LP-8)'!N39,'Limestone Plant (LP-9)'!N39,'Limestone Plant (LP-10)'!N39)&gt;0,"Storage PIles","")</f>
        <v/>
      </c>
      <c r="C13" s="114" t="str">
        <f>IF(B13="","","30502007")</f>
        <v/>
      </c>
      <c r="D13" s="31" t="str">
        <f>IF(B13="","",SUM('Limestone Plant (LP-1)'!N40,'Limestone Plant (LP-2)'!N40,'Limestone Plant (LP-3)'!N40,'Limestone Plant (LP-4)'!N40,'Limestone Plant (LP-5)'!N40,'Limestone Plant (LP-6)'!N39,'Limestone Plant (LP-7)'!N39,'Limestone Plant (LP-8)'!N39,'Limestone Plant (LP-9)'!N39,'Limestone Plant (LP-10)'!N39))</f>
        <v/>
      </c>
      <c r="E13" s="31" t="str">
        <f>IF(B13="","","acre/day")</f>
        <v/>
      </c>
      <c r="F13" s="116" t="str">
        <f>IF(B13="","",3.64)</f>
        <v/>
      </c>
      <c r="G13" s="31" t="str">
        <f>IF(B13="","","lb/acre-day")</f>
        <v/>
      </c>
      <c r="H13" s="117" t="str">
        <f>IF(B13="","","WebFIRE")</f>
        <v/>
      </c>
      <c r="I13" s="33" t="str">
        <f>IF(B13="","",SUM('Limestone Plant (LP-1)'!P40,'Limestone Plant (LP-2)'!P40,'Limestone Plant (LP-3)'!P40,'Limestone Plant (LP-4)'!P40,'Limestone Plant (LP-5)'!P40,'Limestone Plant (LP-6)'!P39,'Limestone Plant (LP-7)'!P39,'Limestone Plant (LP-8)'!P39,'Limestone Plant (LP-9)'!P39,'Limestone Plant (LP-10)'!P39))</f>
        <v/>
      </c>
      <c r="J13" s="118"/>
      <c r="K13" s="33"/>
      <c r="L13" s="33" t="str">
        <f>IF(D13="","",SUM('Limestone Plant (LP-1)'!R40,'Limestone Plant (LP-2)'!R40,'Limestone Plant (LP-3)'!R40,'Limestone Plant (LP-4)'!R40,'Limestone Plant (LP-5)'!R40,'Limestone Plant (LP-6)'!R39,'Limestone Plant (LP-7)'!R39,'Limestone Plant (LP-8)'!R39,'Limestone Plant (LP-9)'!R39,'Limestone Plant (LP-10)'!R39))</f>
        <v/>
      </c>
      <c r="M13" s="33" t="str">
        <f>IF(E13="","",SUM('Limestone Plant (LP-1)'!S40,'Limestone Plant (LP-2)'!S40,'Limestone Plant (LP-3)'!S40,'Limestone Plant (LP-4)'!S40,'Limestone Plant (LP-5)'!S40,'Limestone Plant (LP-6)'!S39,'Limestone Plant (LP-7)'!S39,'Limestone Plant (LP-8)'!S39,'Limestone Plant (LP-9)'!S39,'Limestone Plant (LP-10)'!S39))</f>
        <v/>
      </c>
    </row>
    <row r="14" spans="1:13" x14ac:dyDescent="0.25">
      <c r="A14" s="31" t="str">
        <f>IF(SUM('Haul Roads'!AF9:AF18)=0,"","ALL")</f>
        <v/>
      </c>
      <c r="B14" s="113" t="str">
        <f>IF(SUM('Haul Roads'!AF9:AF18)=0,"","Unpaved Haul Roads")</f>
        <v/>
      </c>
      <c r="C14" s="114" t="str">
        <f>IF(SUM('Haul Roads'!AF9:AF18)=0,"","30202054")</f>
        <v/>
      </c>
      <c r="D14" s="33" t="str">
        <f>IF(F14="","",'Haul Roads'!P39*'Haul Roads'!L39/8760)</f>
        <v/>
      </c>
      <c r="E14" s="31" t="str">
        <f>IF(B14="","","vmt/hr")</f>
        <v/>
      </c>
      <c r="F14" s="116" t="str">
        <f>IF(B14="","",'Haul Roads'!U39)</f>
        <v/>
      </c>
      <c r="G14" s="31" t="str">
        <f>IF(F14="","","lb/vmt")</f>
        <v/>
      </c>
      <c r="H14" s="117" t="str">
        <f>IF(F14="","","AP-42 Ch 13.2.2")</f>
        <v/>
      </c>
      <c r="I14" s="33" t="str">
        <f>IF(F14="","",D14*F14)</f>
        <v/>
      </c>
      <c r="J14" s="31" t="str">
        <f>IF(SUM('Haul Roads'!W9:W38)&gt;0,40,"")</f>
        <v/>
      </c>
      <c r="K14" s="33" t="str">
        <f>IF(SUM('Haul Roads'!W9:W38)&gt;0,(SUM('Haul Roads'!W9:W38)),"")</f>
        <v/>
      </c>
      <c r="L14" s="33" t="str">
        <f>IF(AND((SUM('Haul Roads'!$M$9:$M$38)&gt;0),'Haul Roads'!L42&gt;0),SUM('Haul Roads'!$AL$9:$AL$18),IF(B14="","",'Haul Roads'!L42))</f>
        <v/>
      </c>
      <c r="M14" s="33" t="str">
        <f>IF(AND((SUM('Haul Roads'!$M$9:$M$38)&gt;0),'Haul Roads'!L47&gt;0),SUM('Haul Roads'!$AM$9:$AM$18),IF(B14="","",'Haul Roads'!L47))</f>
        <v/>
      </c>
    </row>
    <row r="15" spans="1:13" x14ac:dyDescent="0.25">
      <c r="A15" s="31" t="str">
        <f>IF(SUM('Haul Roads'!AG9:AG18)=0,"","ALL")</f>
        <v/>
      </c>
      <c r="B15" s="113" t="str">
        <f>IF(SUM('Haul Roads'!AG9:AG18)=0,"","Paved Haul Roads")</f>
        <v/>
      </c>
      <c r="C15" s="114" t="str">
        <f>IF(SUM('Haul Roads'!AG9:AG18)=0,"","30202054")</f>
        <v/>
      </c>
      <c r="D15" s="33" t="str">
        <f>IF(F15="","",'Haul Roads'!P40*'Haul Roads'!L40/8760)</f>
        <v/>
      </c>
      <c r="E15" s="31" t="str">
        <f>IF(B15="","","vmt/hr")</f>
        <v/>
      </c>
      <c r="F15" s="116" t="str">
        <f>IF(B15="","",'Haul Roads'!U40)</f>
        <v/>
      </c>
      <c r="G15" s="31" t="str">
        <f>IF(F15="","","lb/vmt")</f>
        <v/>
      </c>
      <c r="H15" s="117" t="str">
        <f>IF(F15="","","AP-42 Ch 13.2.1")</f>
        <v/>
      </c>
      <c r="I15" s="33" t="str">
        <f>IF(F15="","",D15*F15)</f>
        <v/>
      </c>
      <c r="J15" s="31"/>
      <c r="K15" s="33"/>
      <c r="L15" s="33" t="str">
        <f>IF(B15="","",IF(AND((SUM('Haul Roads'!$M$9:$M$38)&gt;0),'Haul Roads'!L43&gt;0,'Haul Roads'!L42&gt;0),"",IF(AND((SUM('Haul Roads'!$M$9:$M$38)&gt;0),'Haul Roads'!L43&gt;0),SUM('Haul Roads'!$AL$9:$AL$18),'Haul Roads'!L43)))</f>
        <v/>
      </c>
      <c r="M15" s="33" t="str">
        <f>IF(B15="","",IF(AND((SUM('Haul Roads'!$M$9:$M$38)&gt;0),'Haul Roads'!L48&gt;0,'Haul Roads'!L47&gt;0),"",IF(AND((SUM('Haul Roads'!$M$9:$M$38)&gt;0),'Haul Roads'!L48&gt;0),SUM('Haul Roads'!$AM$9:$AM$18),'Haul Roads'!L48)))</f>
        <v/>
      </c>
    </row>
    <row r="16" spans="1:13" x14ac:dyDescent="0.25">
      <c r="A16" s="31" t="str">
        <f>IF('Permitted Diesel Engines'!R50=0,"","ALL")</f>
        <v/>
      </c>
      <c r="B16" s="113" t="str">
        <f>IF('Permitted Diesel Engines'!R50=0,"","Diesel Generator ≤ 600 bhp")</f>
        <v/>
      </c>
      <c r="C16" s="114" t="str">
        <f>IF('Permitted Diesel Engines'!R50=0,"",LOOKUP(B16,'Emission Factors'!A43:A44,'Emission Factors'!B43:B44))</f>
        <v/>
      </c>
      <c r="D16" s="31" t="str">
        <f>IF('Permitted Diesel Engines'!R50=0,"",'Permitted Diesel Engines'!R50)</f>
        <v/>
      </c>
      <c r="E16" s="31" t="str">
        <f>IF(B16="","","MMBtu/hr")</f>
        <v/>
      </c>
      <c r="F16" s="116" t="str">
        <f>IF(B16="","",LOOKUP(B16,'Emission Factors'!$A$43:$A$44,'Emission Factors'!$D$43:$D$44))</f>
        <v/>
      </c>
      <c r="G16" s="31" t="str">
        <f>IF(B16="","",LOOKUP(B16,'Emission Factors'!$A$43:$A$44,'Emission Factors'!$C$43:$C$44))</f>
        <v/>
      </c>
      <c r="H16" s="117" t="str">
        <f>IF(B16="","",LOOKUP(B16,'Emission Factors'!$A$43:$A$44,'Emission Factors'!$E$43:$E$44))</f>
        <v/>
      </c>
      <c r="I16" s="33" t="str">
        <f>IF(B16="","",'Emission Calculations'!D16*'Emission Calculations'!F16)</f>
        <v/>
      </c>
      <c r="J16" s="31"/>
      <c r="K16" s="33"/>
      <c r="L16" s="33" t="str">
        <f>IF(F16="","",'Permitted Diesel Engines'!Z77)</f>
        <v/>
      </c>
      <c r="M16" s="33" t="str">
        <f>IF(B16="","",'Permitted Diesel Engines'!$T$50*F16/2000)</f>
        <v/>
      </c>
    </row>
    <row r="17" spans="1:13" x14ac:dyDescent="0.25">
      <c r="A17" s="31" t="str">
        <f>IF('Permitted Diesel Engines'!R51=0,"","ALL")</f>
        <v/>
      </c>
      <c r="B17" s="113" t="str">
        <f>IF('Permitted Diesel Engines'!R51=0,"","Diesel Generator&gt; 600 bhp")</f>
        <v/>
      </c>
      <c r="C17" s="114" t="str">
        <f>IF('Permitted Diesel Engines'!R51=0,"",LOOKUP(B17,'Emission Factors'!$A$43:$A$44,'Emission Factors'!$B$43:$B$44))</f>
        <v/>
      </c>
      <c r="D17" s="31" t="str">
        <f>IF('Permitted Diesel Engines'!R51=0,"",'Permitted Diesel Engines'!R51)</f>
        <v/>
      </c>
      <c r="E17" s="31" t="str">
        <f>IF(B17="","","MMBtu/hr")</f>
        <v/>
      </c>
      <c r="F17" s="116" t="str">
        <f>IF(B17="","",LOOKUP(B17,'Emission Factors'!$A$43:$A$44,'Emission Factors'!$D$43:$D$44))</f>
        <v/>
      </c>
      <c r="G17" s="31" t="str">
        <f>IF(B17="","",LOOKUP(B17,'Emission Factors'!$A$43:$A$44,'Emission Factors'!$C$43:$C$44))</f>
        <v/>
      </c>
      <c r="H17" s="117" t="str">
        <f>IF(B17="","",LOOKUP(B17,'Emission Factors'!$A$43:$A$44,'Emission Factors'!$E$43:$E$44))</f>
        <v/>
      </c>
      <c r="I17" s="33" t="str">
        <f>IF(B17="","",'Emission Calculations'!D17*'Emission Calculations'!F17)</f>
        <v/>
      </c>
      <c r="J17" s="31"/>
      <c r="K17" s="33"/>
      <c r="L17" s="33" t="str">
        <f>IF(F17="","",'Permitted Diesel Engines'!AA77)</f>
        <v/>
      </c>
      <c r="M17" s="33" t="str">
        <f>IF(B17="","",'Permitted Diesel Engines'!$T$51*F17/2000)</f>
        <v/>
      </c>
    </row>
    <row r="18" spans="1:13" x14ac:dyDescent="0.25">
      <c r="A18" s="7"/>
      <c r="B18" s="6"/>
      <c r="C18" s="6"/>
      <c r="D18" s="7"/>
      <c r="E18" s="7"/>
      <c r="F18" s="7"/>
      <c r="G18" s="7"/>
      <c r="H18" s="209"/>
      <c r="I18" s="337"/>
      <c r="J18" s="206" t="s">
        <v>24</v>
      </c>
      <c r="L18" s="26">
        <f ca="1">SUM(L5:L17)</f>
        <v>0</v>
      </c>
      <c r="M18" s="33">
        <f ca="1">SUM(M5:M17)</f>
        <v>0</v>
      </c>
    </row>
    <row r="19" spans="1:13" x14ac:dyDescent="0.25">
      <c r="A19" s="7"/>
      <c r="B19" s="6"/>
      <c r="C19" s="6"/>
      <c r="D19" s="7"/>
      <c r="E19" s="7"/>
      <c r="F19" s="7"/>
      <c r="G19" s="7"/>
      <c r="H19" s="7"/>
      <c r="I19" s="9"/>
      <c r="J19" s="7"/>
      <c r="K19" s="42"/>
      <c r="L19" s="42"/>
      <c r="M19" s="151"/>
    </row>
    <row r="20" spans="1:13" ht="18.75" customHeight="1" x14ac:dyDescent="0.3">
      <c r="A20" s="336" t="s">
        <v>16</v>
      </c>
      <c r="B20" s="336"/>
      <c r="C20" s="25"/>
      <c r="D20" s="7"/>
      <c r="E20" s="7"/>
      <c r="F20" s="7"/>
      <c r="G20" s="6"/>
      <c r="H20" s="6"/>
      <c r="I20" s="227" t="s">
        <v>290</v>
      </c>
      <c r="J20" s="7"/>
      <c r="K20" s="227" t="s">
        <v>290</v>
      </c>
      <c r="L20" s="227" t="s">
        <v>291</v>
      </c>
      <c r="M20" s="339" t="s">
        <v>231</v>
      </c>
    </row>
    <row r="21" spans="1:13" ht="31.5" customHeight="1" x14ac:dyDescent="0.25">
      <c r="A21" s="242" t="s">
        <v>11</v>
      </c>
      <c r="B21" s="230" t="s">
        <v>12</v>
      </c>
      <c r="C21" s="242" t="s">
        <v>9</v>
      </c>
      <c r="D21" s="230" t="s">
        <v>10</v>
      </c>
      <c r="E21" s="227" t="s">
        <v>26</v>
      </c>
      <c r="F21" s="230" t="s">
        <v>13</v>
      </c>
      <c r="G21" s="227" t="s">
        <v>26</v>
      </c>
      <c r="H21" s="244" t="s">
        <v>77</v>
      </c>
      <c r="I21" s="228" t="s">
        <v>288</v>
      </c>
      <c r="J21" s="243" t="s">
        <v>14</v>
      </c>
      <c r="K21" s="228" t="s">
        <v>259</v>
      </c>
      <c r="L21" s="228" t="s">
        <v>253</v>
      </c>
      <c r="M21" s="228" t="s">
        <v>253</v>
      </c>
    </row>
    <row r="22" spans="1:13" x14ac:dyDescent="0.25">
      <c r="A22" s="31" t="str">
        <f ca="1">IF(SUM('Limestone Plant (LP-1)'!N20,'Limestone Plant (LP-2)'!N20,'Limestone Plant (LP-3)'!N20,'Limestone Plant (LP-4)'!N20,'Limestone Plant (LP-5)'!N20,'Limestone Plant (LP-6)'!N20,'Limestone Plant (LP-7)'!N20,'Limestone Plant (LP-8)'!N20,'Limestone Plant (LP-9)'!N20,'Limestone Plant (LP-10)'!N20)&gt;0,"ALL","")</f>
        <v/>
      </c>
      <c r="B22" s="114" t="str">
        <f ca="1">IF(SUM('Limestone Plant (LP-1)'!N29,'Limestone Plant (LP-2)'!N29,'Limestone Plant (LP-3)'!N29,'Limestone Plant (LP-4)'!N29,'Limestone Plant (LP-5)'!N29,'Limestone Plant (LP-6)'!N29,'Limestone Plant (LP-7)'!N29,'Limestone Plant (LP-8)'!N29,'Limestone Plant (LP-9)'!N29,'Limestone Plant (LP-10)'!N29)&gt;0,"Primary Crusher","")</f>
        <v/>
      </c>
      <c r="C22" s="114" t="str">
        <f ca="1">IF(SUM('Limestone Plant (LP-1)'!N20,'Limestone Plant (LP-2)'!N20,'Limestone Plant (LP-3)'!N20,'Limestone Plant (LP-4)'!N20,'Limestone Plant (LP-5)'!N20,'Limestone Plant (LP-6)'!N20,'Limestone Plant (LP-7)'!N20,'Limestone Plant (LP-8)'!N20,'Limestone Plant (LP-9)'!N20,'Limestone Plant (LP-10)'!N20)&gt;0,"30502001","")</f>
        <v/>
      </c>
      <c r="D22" s="31" t="str">
        <f ca="1">IF(SUM('Limestone Plant (LP-1)'!N29,'Limestone Plant (LP-2)'!N29,'Limestone Plant (LP-3)'!N29,'Limestone Plant (LP-4)'!N29,'Limestone Plant (LP-5)'!N29,'Limestone Plant (LP-6)'!N29,'Limestone Plant (LP-7)'!N29,'Limestone Plant (LP-8)'!N29,'Limestone Plant (LP-9)'!N29,'Limestone Plant (LP-10)'!N29)&gt;0,SUM('Limestone Plant (LP-1)'!N29,'Limestone Plant (LP-2)'!N29,'Limestone Plant (LP-3)'!N29,'Limestone Plant (LP-4)'!N29,'Limestone Plant (LP-5)'!N29,'Limestone Plant (LP-6)'!N29,'Limestone Plant (LP-7)'!N29,'Limestone Plant (LP-8)'!N29,'Limestone Plant (LP-9)'!N29,'Limestone Plant (LP-10)'!N29),"")</f>
        <v/>
      </c>
      <c r="E22" s="31" t="str">
        <f ca="1">IF(B22="","","tons/hr")</f>
        <v/>
      </c>
      <c r="F22" s="115" t="str">
        <f ca="1">IF(B22="","",MAX('Limestone Plant (LP-1)'!O29,'Limestone Plant (LP-2)'!O29,'Limestone Plant (LP-3)'!O29,'Limestone Plant (LP-4)'!O29,'Limestone Plant (LP-5)'!O29,'Limestone Plant (LP-6)'!O29,'Limestone Plant (LP-7)'!O29,'Limestone Plant (LP-8)'!O29,'Limestone Plant (LP-9)'!O29,'Limestone Plant (LP-10)'!O29))</f>
        <v/>
      </c>
      <c r="G22" s="31" t="str">
        <f ca="1">IF(B22="","","lb/ton")</f>
        <v/>
      </c>
      <c r="H22" s="117" t="str">
        <f ca="1">IF(F22="","","AP-42 Table 11.19.2-2")</f>
        <v/>
      </c>
      <c r="I22" s="338" t="str">
        <f>IF(SUM('Limestone Plant (LP-1)'!P29,'Limestone Plant (LP-2)'!P29,'Limestone Plant (LP-3)'!P29,'Limestone Plant (LP-4)'!P29,'Limestone Plant (LP-5)'!P29,'Limestone Plant (LP-6)'!P29,'Limestone Plant (LP-7)'!P29,'Limestone Plant (LP-8)'!P29,'Limestone Plant (LP-9)'!P29,'Limestone Plant (LP-10)'!P29)&gt;0,SUM('Limestone Plant (LP-1)'!P29,'Limestone Plant (LP-2)'!P29,'Limestone Plant (LP-3)'!P29,'Limestone Plant (LP-4)'!P29,'Limestone Plant (LP-5)'!P29,'Limestone Plant (LP-6)'!P29,'Limestone Plant (LP-7)'!P29,'Limestone Plant (LP-8)'!P29,'Limestone Plant (LP-9)'!P29,'Limestone Plant (LP-10)'!P29),"")</f>
        <v/>
      </c>
      <c r="J22" s="31"/>
      <c r="K22" s="338" t="str">
        <f ca="1">IF(D22="","",IF(SUM('Limestone Plant (LP-1)'!Q29,'Limestone Plant (LP-2)'!Q29,'Limestone Plant (LP-3)'!Q29,'Limestone Plant (LP-4)'!Q29,'Limestone Plant (LP-5)'!Q29,'Limestone Plant (LP-6)'!Q29,'Limestone Plant (LP-7)'!Q29,'Limestone Plant (LP-8)'!Q29,'Limestone Plant (LP-9)'!Q29,'Limestone Plant (LP-10)'!Q29)&gt;0,SUM('Limestone Plant (LP-1)'!Q29,'Limestone Plant (LP-2)'!Q29,'Limestone Plant (LP-3)'!Q29,'Limestone Plant (LP-4)'!Q29,'Limestone Plant (LP-5)'!Q29,'Limestone Plant (LP-6)'!Q29,'Limestone Plant (LP-7)'!Q29,'Limestone Plant (LP-8)'!Q29,'Limestone Plant (LP-9)'!Q29,'Limestone Plant (LP-10)'!Q29),""))</f>
        <v/>
      </c>
      <c r="L22" s="338" t="str">
        <f ca="1">IF(B22="","",SUM('Limestone Plant (LP-1)'!R29,'Limestone Plant (LP-2)'!R29,'Limestone Plant (LP-3)'!R29,'Limestone Plant (LP-4)'!R29,'Limestone Plant (LP-5)'!R29,'Limestone Plant (LP-6)'!R29,'Limestone Plant (LP-7)'!R29,'Limestone Plant (LP-8)'!R29,'Limestone Plant (LP-9)'!R29,'Limestone Plant (LP-10)'!R29))</f>
        <v/>
      </c>
      <c r="M22" s="338" t="str">
        <f ca="1">IF(B5="","",SUM('Limestone Plant (LP-1)'!S29,'Limestone Plant (LP-2)'!S29,'Limestone Plant (LP-3)'!S29,'Limestone Plant (LP-4)'!S29,'Limestone Plant (LP-5)'!S29,'Limestone Plant (LP-6)'!S29,'Limestone Plant (LP-7)'!S29,'Limestone Plant (LP-8)'!S29,'Limestone Plant (LP-9)'!S29,'Limestone Plant (LP-10)'!S29))</f>
        <v/>
      </c>
    </row>
    <row r="23" spans="1:13" x14ac:dyDescent="0.25">
      <c r="A23" s="31" t="str">
        <f ca="1">IF(SUM('Limestone Plant (LP-1)'!N21,'Limestone Plant (LP-2)'!N21,'Limestone Plant (LP-3)'!N21,'Limestone Plant (LP-4)'!N21,'Limestone Plant (LP-5)'!N21,'Limestone Plant (LP-6)'!N21,'Limestone Plant (LP-7)'!N21,'Limestone Plant (LP-8)'!N21,'Limestone Plant (LP-9)'!N21,'Limestone Plant (LP-10)'!N21)&gt;0,"ALL","")</f>
        <v/>
      </c>
      <c r="B23" s="114" t="str">
        <f ca="1">IF(SUM('Limestone Plant (LP-1)'!N30,'Limestone Plant (LP-2)'!N30,'Limestone Plant (LP-3)'!N30,'Limestone Plant (LP-4)'!N30,'Limestone Plant (LP-5)'!N30,'Limestone Plant (LP-6)'!N30,'Limestone Plant (LP-7)'!N30,'Limestone Plant (LP-8)'!N30,'Limestone Plant (LP-9)'!N30,'Limestone Plant (LP-10)'!N30)&gt;0,"Screening","")</f>
        <v/>
      </c>
      <c r="C23" s="114" t="str">
        <f ca="1">IF(SUM('Limestone Plant (LP-1)'!N21,'Limestone Plant (LP-2)'!N21,'Limestone Plant (LP-3)'!N21,'Limestone Plant (LP-4)'!N21,'Limestone Plant (LP-5)'!N21,'Limestone Plant (LP-6)'!N21,'Limestone Plant (LP-7)'!N21,'Limestone Plant (LP-8)'!N21,'Limestone Plant (LP-9)'!N21,'Limestone Plant (LP-10)'!N21)&gt;0,"30502004","")</f>
        <v/>
      </c>
      <c r="D23" s="31" t="str">
        <f ca="1">IF(SUM('Limestone Plant (LP-1)'!N30,'Limestone Plant (LP-2)'!N30,'Limestone Plant (LP-3)'!N30,'Limestone Plant (LP-4)'!N30,'Limestone Plant (LP-5)'!N30,'Limestone Plant (LP-6)'!N30,'Limestone Plant (LP-7)'!N30,'Limestone Plant (LP-8)'!N30,'Limestone Plant (LP-9)'!N30,'Limestone Plant (LP-10)'!N30)&gt;0,SUM('Limestone Plant (LP-1)'!N30,'Limestone Plant (LP-2)'!N30,'Limestone Plant (LP-3)'!N30,'Limestone Plant (LP-4)'!N30,'Limestone Plant (LP-5)'!N30,'Limestone Plant (LP-6)'!N30,'Limestone Plant (LP-7)'!N30,'Limestone Plant (LP-8)'!N30,'Limestone Plant (LP-9)'!N30,'Limestone Plant (LP-10)'!N30),"")</f>
        <v/>
      </c>
      <c r="E23" s="31" t="str">
        <f t="shared" ref="E23:E29" ca="1" si="3">IF(B23="","","tons/hr")</f>
        <v/>
      </c>
      <c r="F23" s="115" t="str">
        <f ca="1">IF(B23="","",MAX('Limestone Plant (LP-1)'!O30,'Limestone Plant (LP-2)'!O30,'Limestone Plant (LP-3)'!O30,'Limestone Plant (LP-4)'!O30,'Limestone Plant (LP-5)'!O30,'Limestone Plant (LP-6)'!O30,'Limestone Plant (LP-7)'!O30,'Limestone Plant (LP-8)'!O30,'Limestone Plant (LP-9)'!O30,'Limestone Plant (LP-10)'!O30))</f>
        <v/>
      </c>
      <c r="G23" s="31" t="str">
        <f t="shared" ref="G23:G29" ca="1" si="4">IF(B23="","","lb/ton")</f>
        <v/>
      </c>
      <c r="H23" s="117" t="str">
        <f t="shared" ref="H23:H29" ca="1" si="5">IF(F23="","","AP-42 Table 11.19.2-2")</f>
        <v/>
      </c>
      <c r="I23" s="33" t="str">
        <f>IF(SUM('Limestone Plant (LP-1)'!P30,'Limestone Plant (LP-2)'!P30,'Limestone Plant (LP-3)'!P30,'Limestone Plant (LP-4)'!P30,'Limestone Plant (LP-5)'!P30,'Limestone Plant (LP-6)'!P30,'Limestone Plant (LP-7)'!P30,'Limestone Plant (LP-8)'!P30,'Limestone Plant (LP-9)'!P30,'Limestone Plant (LP-10)'!P30)&gt;0,SUM('Limestone Plant (LP-1)'!P30,'Limestone Plant (LP-2)'!P30,'Limestone Plant (LP-3)'!P30,'Limestone Plant (LP-4)'!P30,'Limestone Plant (LP-5)'!P30,'Limestone Plant (LP-6)'!P30,'Limestone Plant (LP-7)'!P30,'Limestone Plant (LP-8)'!P30,'Limestone Plant (LP-9)'!P30,'Limestone Plant (LP-10)'!P30),"")</f>
        <v/>
      </c>
      <c r="J23" s="31"/>
      <c r="K23" s="33" t="str">
        <f ca="1">IF(D23="","",IF(SUM('Limestone Plant (LP-1)'!Q30,'Limestone Plant (LP-2)'!Q30,'Limestone Plant (LP-3)'!Q30,'Limestone Plant (LP-4)'!Q30,'Limestone Plant (LP-5)'!Q30,'Limestone Plant (LP-6)'!Q30,'Limestone Plant (LP-7)'!Q30,'Limestone Plant (LP-8)'!Q30,'Limestone Plant (LP-9)'!Q30,'Limestone Plant (LP-10)'!Q30)&gt;0,SUM('Limestone Plant (LP-1)'!Q30,'Limestone Plant (LP-2)'!Q30,'Limestone Plant (LP-3)'!Q30,'Limestone Plant (LP-4)'!Q30,'Limestone Plant (LP-5)'!Q30,'Limestone Plant (LP-6)'!Q30,'Limestone Plant (LP-7)'!Q30,'Limestone Plant (LP-8)'!Q30,'Limestone Plant (LP-9)'!Q30,'Limestone Plant (LP-10)'!Q30),""))</f>
        <v/>
      </c>
      <c r="L23" s="33" t="str">
        <f ca="1">IF(B23="","",SUM('Limestone Plant (LP-1)'!R30,'Limestone Plant (LP-2)'!R30,'Limestone Plant (LP-3)'!R30,'Limestone Plant (LP-4)'!R30,'Limestone Plant (LP-5)'!R30,'Limestone Plant (LP-6)'!R30,'Limestone Plant (LP-7)'!R30,'Limestone Plant (LP-8)'!R30,'Limestone Plant (LP-9)'!R30,'Limestone Plant (LP-10)'!R30))</f>
        <v/>
      </c>
      <c r="M23" s="33" t="str">
        <f ca="1">IF(B6="","",SUM('Limestone Plant (LP-1)'!S30,'Limestone Plant (LP-2)'!S30,'Limestone Plant (LP-3)'!S30,'Limestone Plant (LP-4)'!S30,'Limestone Plant (LP-5)'!S30,'Limestone Plant (LP-6)'!S30,'Limestone Plant (LP-7)'!S30,'Limestone Plant (LP-8)'!S30,'Limestone Plant (LP-9)'!S30,'Limestone Plant (LP-10)'!S30))</f>
        <v/>
      </c>
    </row>
    <row r="24" spans="1:13" x14ac:dyDescent="0.25">
      <c r="A24" s="31" t="str">
        <f ca="1">IF(SUM('Limestone Plant (LP-1)'!N22,'Limestone Plant (LP-2)'!N22,'Limestone Plant (LP-3)'!N22,'Limestone Plant (LP-4)'!N22,'Limestone Plant (LP-5)'!N22,'Limestone Plant (LP-6)'!N22,'Limestone Plant (LP-7)'!N22,'Limestone Plant (LP-8)'!N22,'Limestone Plant (LP-9)'!N22,'Limestone Plant (LP-10)'!N22)&gt;0,"ALL","")</f>
        <v/>
      </c>
      <c r="B24" s="114" t="str">
        <f ca="1">IF(SUM('Limestone Plant (LP-1)'!N31,'Limestone Plant (LP-2)'!N31,'Limestone Plant (LP-3)'!N31,'Limestone Plant (LP-4)'!N31,'Limestone Plant (LP-5)'!N31,'Limestone Plant (LP-6)'!N31,'Limestone Plant (LP-7)'!N31,'Limestone Plant (LP-8)'!N31,'Limestone Plant (LP-9)'!N31,'Limestone Plant (LP-10)'!N31)&gt;0,"Secondary Crusher","")</f>
        <v/>
      </c>
      <c r="C24" s="114" t="str">
        <f ca="1">IF(SUM('Limestone Plant (LP-1)'!N22,'Limestone Plant (LP-2)'!N22,'Limestone Plant (LP-3)'!N22,'Limestone Plant (LP-4)'!N22,'Limestone Plant (LP-5)'!N22,'Limestone Plant (LP-6)'!N22,'Limestone Plant (LP-7)'!N22,'Limestone Plant (LP-8)'!N22,'Limestone Plant (LP-9)'!N22,'Limestone Plant (LP-10)'!N22)&gt;0,"30502002","")</f>
        <v/>
      </c>
      <c r="D24" s="31" t="str">
        <f ca="1">IF(SUM('Limestone Plant (LP-1)'!N31,'Limestone Plant (LP-2)'!N31,'Limestone Plant (LP-3)'!N31,'Limestone Plant (LP-4)'!N31,'Limestone Plant (LP-5)'!N31,'Limestone Plant (LP-6)'!N31,'Limestone Plant (LP-7)'!N31,'Limestone Plant (LP-8)'!N31,'Limestone Plant (LP-9)'!N31,'Limestone Plant (LP-10)'!N31)&gt;0,SUM('Limestone Plant (LP-1)'!N31,'Limestone Plant (LP-2)'!N31,'Limestone Plant (LP-3)'!N31,'Limestone Plant (LP-4)'!N31,'Limestone Plant (LP-5)'!N31,'Limestone Plant (LP-6)'!N31,'Limestone Plant (LP-7)'!N31,'Limestone Plant (LP-8)'!N31,'Limestone Plant (LP-9)'!N31,'Limestone Plant (LP-10)'!N31),"")</f>
        <v/>
      </c>
      <c r="E24" s="31" t="str">
        <f t="shared" ca="1" si="3"/>
        <v/>
      </c>
      <c r="F24" s="115" t="str">
        <f ca="1">IF(B24="","",MAX('Limestone Plant (LP-1)'!O31,'Limestone Plant (LP-2)'!O31,'Limestone Plant (LP-3)'!O31,'Limestone Plant (LP-4)'!O31,'Limestone Plant (LP-5)'!O31,'Limestone Plant (LP-6)'!O31,'Limestone Plant (LP-7)'!O31,'Limestone Plant (LP-8)'!O31,'Limestone Plant (LP-9)'!O31,'Limestone Plant (LP-10)'!O31))</f>
        <v/>
      </c>
      <c r="G24" s="31" t="str">
        <f t="shared" ca="1" si="4"/>
        <v/>
      </c>
      <c r="H24" s="117" t="str">
        <f t="shared" ca="1" si="5"/>
        <v/>
      </c>
      <c r="I24" s="33" t="str">
        <f>IF(SUM('Limestone Plant (LP-1)'!P31,'Limestone Plant (LP-2)'!P31,'Limestone Plant (LP-3)'!P31,'Limestone Plant (LP-4)'!P31,'Limestone Plant (LP-5)'!P31,'Limestone Plant (LP-6)'!P31,'Limestone Plant (LP-7)'!P31,'Limestone Plant (LP-8)'!P31,'Limestone Plant (LP-9)'!P31,'Limestone Plant (LP-10)'!P31)&gt;0,SUM('Limestone Plant (LP-1)'!P31,'Limestone Plant (LP-2)'!P31,'Limestone Plant (LP-3)'!P31,'Limestone Plant (LP-4)'!P31,'Limestone Plant (LP-5)'!P31,'Limestone Plant (LP-6)'!P31,'Limestone Plant (LP-7)'!P31,'Limestone Plant (LP-8)'!P31,'Limestone Plant (LP-9)'!P31,'Limestone Plant (LP-10)'!P31),"")</f>
        <v/>
      </c>
      <c r="J24" s="31"/>
      <c r="K24" s="33" t="str">
        <f ca="1">IF(D24="","",IF(SUM('Limestone Plant (LP-1)'!Q31,'Limestone Plant (LP-2)'!Q31,'Limestone Plant (LP-3)'!Q31,'Limestone Plant (LP-4)'!Q31,'Limestone Plant (LP-5)'!Q31,'Limestone Plant (LP-6)'!Q31,'Limestone Plant (LP-7)'!Q31,'Limestone Plant (LP-8)'!Q31,'Limestone Plant (LP-9)'!Q31,'Limestone Plant (LP-10)'!Q31)&gt;0,SUM('Limestone Plant (LP-1)'!Q31,'Limestone Plant (LP-2)'!Q31,'Limestone Plant (LP-3)'!Q31,'Limestone Plant (LP-4)'!Q31,'Limestone Plant (LP-5)'!Q31,'Limestone Plant (LP-6)'!Q31,'Limestone Plant (LP-7)'!Q31,'Limestone Plant (LP-8)'!Q31,'Limestone Plant (LP-9)'!Q31,'Limestone Plant (LP-10)'!Q31),""))</f>
        <v/>
      </c>
      <c r="L24" s="33" t="str">
        <f ca="1">IF(B24="","",SUM('Limestone Plant (LP-1)'!R31,'Limestone Plant (LP-2)'!R31,'Limestone Plant (LP-3)'!R31,'Limestone Plant (LP-4)'!R31,'Limestone Plant (LP-5)'!R31,'Limestone Plant (LP-6)'!R31,'Limestone Plant (LP-7)'!R31,'Limestone Plant (LP-8)'!R31,'Limestone Plant (LP-9)'!R31,'Limestone Plant (LP-10)'!R31))</f>
        <v/>
      </c>
      <c r="M24" s="33" t="str">
        <f ca="1">IF(B7="","",SUM('Limestone Plant (LP-1)'!S31,'Limestone Plant (LP-2)'!S31,'Limestone Plant (LP-3)'!S31,'Limestone Plant (LP-4)'!S31,'Limestone Plant (LP-5)'!S31,'Limestone Plant (LP-6)'!S31,'Limestone Plant (LP-7)'!S31,'Limestone Plant (LP-8)'!S31,'Limestone Plant (LP-9)'!S31,'Limestone Plant (LP-10)'!S31))</f>
        <v/>
      </c>
    </row>
    <row r="25" spans="1:13" x14ac:dyDescent="0.25">
      <c r="A25" s="31" t="str">
        <f ca="1">IF(SUM('Limestone Plant (LP-1)'!N23,'Limestone Plant (LP-2)'!N23,'Limestone Plant (LP-3)'!N23,'Limestone Plant (LP-4)'!N23,'Limestone Plant (LP-5)'!N23,'Limestone Plant (LP-6)'!N23,'Limestone Plant (LP-7)'!N23,'Limestone Plant (LP-8)'!N23,'Limestone Plant (LP-9)'!N23,'Limestone Plant (LP-10)'!N23)&gt;0,"ALL","")</f>
        <v/>
      </c>
      <c r="B25" s="114" t="str">
        <f ca="1">IF(SUM('Limestone Plant (LP-1)'!N32,'Limestone Plant (LP-2)'!N32,'Limestone Plant (LP-3)'!N32,'Limestone Plant (LP-4)'!N32,'Limestone Plant (LP-5)'!N32,'Limestone Plant (LP-6)'!N32,'Limestone Plant (LP-7)'!N32,'Limestone Plant (LP-8)'!N32,'Limestone Plant (LP-9)'!N32,'Limestone Plant (LP-10)'!N32)&gt;0,"Tertiary Crusher","")</f>
        <v/>
      </c>
      <c r="C25" s="114" t="str">
        <f ca="1">IF(SUM('Limestone Plant (LP-1)'!N23,'Limestone Plant (LP-2)'!N23,'Limestone Plant (LP-3)'!N23,'Limestone Plant (LP-4)'!N23,'Limestone Plant (LP-5)'!N23,'Limestone Plant (LP-6)'!N23,'Limestone Plant (LP-7)'!N23,'Limestone Plant (LP-8)'!N23,'Limestone Plant (LP-9)'!N23,'Limestone Plant (LP-10)'!N23)&gt;0,"30502003","")</f>
        <v/>
      </c>
      <c r="D25" s="31" t="str">
        <f ca="1">IF(SUM('Limestone Plant (LP-1)'!N32,'Limestone Plant (LP-2)'!N32,'Limestone Plant (LP-3)'!N32,'Limestone Plant (LP-4)'!N32,'Limestone Plant (LP-5)'!N32,'Limestone Plant (LP-6)'!N32,'Limestone Plant (LP-7)'!N32,'Limestone Plant (LP-8)'!N32,'Limestone Plant (LP-9)'!N32,'Limestone Plant (LP-10)'!N32)&gt;0,SUM('Limestone Plant (LP-1)'!N32,'Limestone Plant (LP-2)'!N32,'Limestone Plant (LP-3)'!N32,'Limestone Plant (LP-4)'!N32,'Limestone Plant (LP-5)'!N32,'Limestone Plant (LP-6)'!N32,'Limestone Plant (LP-7)'!N32,'Limestone Plant (LP-8)'!N32,'Limestone Plant (LP-9)'!N32,'Limestone Plant (LP-10)'!N32),"")</f>
        <v/>
      </c>
      <c r="E25" s="31" t="str">
        <f t="shared" ca="1" si="3"/>
        <v/>
      </c>
      <c r="F25" s="115" t="str">
        <f ca="1">IF(B25="","",MAX('Limestone Plant (LP-1)'!O32,'Limestone Plant (LP-2)'!O32,'Limestone Plant (LP-3)'!O32,'Limestone Plant (LP-4)'!O32,'Limestone Plant (LP-5)'!O32,'Limestone Plant (LP-6)'!O32,'Limestone Plant (LP-7)'!O32,'Limestone Plant (LP-8)'!O32,'Limestone Plant (LP-9)'!O32,'Limestone Plant (LP-10)'!O32))</f>
        <v/>
      </c>
      <c r="G25" s="31" t="str">
        <f t="shared" ca="1" si="4"/>
        <v/>
      </c>
      <c r="H25" s="117" t="str">
        <f t="shared" ca="1" si="5"/>
        <v/>
      </c>
      <c r="I25" s="33" t="str">
        <f>IF(SUM('Limestone Plant (LP-1)'!P32,'Limestone Plant (LP-2)'!P32,'Limestone Plant (LP-3)'!P32,'Limestone Plant (LP-4)'!P32,'Limestone Plant (LP-5)'!P32,'Limestone Plant (LP-6)'!P32,'Limestone Plant (LP-7)'!P32,'Limestone Plant (LP-8)'!P32,'Limestone Plant (LP-9)'!P32,'Limestone Plant (LP-10)'!P32)&gt;0,SUM('Limestone Plant (LP-1)'!P32,'Limestone Plant (LP-2)'!P32,'Limestone Plant (LP-3)'!P32,'Limestone Plant (LP-4)'!P32,'Limestone Plant (LP-5)'!P32,'Limestone Plant (LP-6)'!P32,'Limestone Plant (LP-7)'!P32,'Limestone Plant (LP-8)'!P32,'Limestone Plant (LP-9)'!P32,'Limestone Plant (LP-10)'!P32),"")</f>
        <v/>
      </c>
      <c r="J25" s="31"/>
      <c r="K25" s="33" t="str">
        <f ca="1">IF(D25="","",IF(SUM('Limestone Plant (LP-1)'!Q32,'Limestone Plant (LP-2)'!Q32,'Limestone Plant (LP-3)'!Q32,'Limestone Plant (LP-4)'!Q32,'Limestone Plant (LP-5)'!Q32,'Limestone Plant (LP-6)'!Q32,'Limestone Plant (LP-7)'!Q32,'Limestone Plant (LP-8)'!Q32,'Limestone Plant (LP-9)'!Q32,'Limestone Plant (LP-10)'!Q32)&gt;0,SUM('Limestone Plant (LP-1)'!Q32,'Limestone Plant (LP-2)'!Q32,'Limestone Plant (LP-3)'!Q32,'Limestone Plant (LP-4)'!Q32,'Limestone Plant (LP-5)'!Q32,'Limestone Plant (LP-6)'!Q32,'Limestone Plant (LP-7)'!Q32,'Limestone Plant (LP-8)'!Q32,'Limestone Plant (LP-9)'!Q32,'Limestone Plant (LP-10)'!Q32),""))</f>
        <v/>
      </c>
      <c r="L25" s="33" t="str">
        <f ca="1">IF(B25="","",SUM('Limestone Plant (LP-1)'!R32,'Limestone Plant (LP-2)'!R32,'Limestone Plant (LP-3)'!R32,'Limestone Plant (LP-4)'!R32,'Limestone Plant (LP-5)'!R32,'Limestone Plant (LP-6)'!R32,'Limestone Plant (LP-7)'!R32,'Limestone Plant (LP-8)'!R32,'Limestone Plant (LP-9)'!R32,'Limestone Plant (LP-10)'!R32))</f>
        <v/>
      </c>
      <c r="M25" s="33" t="str">
        <f ca="1">IF(B8="","",SUM('Limestone Plant (LP-1)'!S32,'Limestone Plant (LP-2)'!S32,'Limestone Plant (LP-3)'!S32,'Limestone Plant (LP-4)'!S32,'Limestone Plant (LP-5)'!S32,'Limestone Plant (LP-6)'!S32,'Limestone Plant (LP-7)'!S32,'Limestone Plant (LP-8)'!S32,'Limestone Plant (LP-9)'!S32,'Limestone Plant (LP-10)'!S32))</f>
        <v/>
      </c>
    </row>
    <row r="26" spans="1:13" x14ac:dyDescent="0.25">
      <c r="A26" s="31" t="str">
        <f ca="1">IF(SUM('Limestone Plant (LP-1)'!N24,'Limestone Plant (LP-2)'!N24,'Limestone Plant (LP-3)'!N24,'Limestone Plant (LP-4)'!N24,'Limestone Plant (LP-5)'!N24,'Limestone Plant (LP-6)'!N24,'Limestone Plant (LP-7)'!N24,'Limestone Plant (LP-8)'!N24,'Limestone Plant (LP-9)'!N24,'Limestone Plant (LP-10)'!N24)&gt;0,"ALL","")</f>
        <v/>
      </c>
      <c r="B26" s="114" t="str">
        <f ca="1">IF(SUM('Limestone Plant (LP-1)'!N33,'Limestone Plant (LP-2)'!N33,'Limestone Plant (LP-3)'!N33,'Limestone Plant (LP-4)'!N33,'Limestone Plant (LP-5)'!N33,'Limestone Plant (LP-6)'!N33,'Limestone Plant (LP-7)'!N33,'Limestone Plant (LP-8)'!N33,'Limestone Plant (LP-9)'!N33,'Limestone Plant (LP-10)'!N33)&gt;0,"Fines Crusher","")</f>
        <v/>
      </c>
      <c r="C26" s="114" t="str">
        <f ca="1">IF(SUM('Limestone Plant (LP-1)'!N24,'Limestone Plant (LP-2)'!N24,'Limestone Plant (LP-3)'!N24,'Limestone Plant (LP-4)'!N24,'Limestone Plant (LP-5)'!N24,'Limestone Plant (LP-6)'!N24,'Limestone Plant (LP-7)'!N24,'Limestone Plant (LP-8)'!N24,'Limestone Plant (LP-9)'!N24,'Limestone Plant (LP-10)'!N24)&gt;0,"30502005","")</f>
        <v/>
      </c>
      <c r="D26" s="31" t="str">
        <f ca="1">IF(SUM('Limestone Plant (LP-1)'!N33,'Limestone Plant (LP-2)'!N33,'Limestone Plant (LP-3)'!N33,'Limestone Plant (LP-4)'!N33,'Limestone Plant (LP-5)'!N33,'Limestone Plant (LP-6)'!N33,'Limestone Plant (LP-7)'!N33,'Limestone Plant (LP-8)'!N33,'Limestone Plant (LP-9)'!N33,'Limestone Plant (LP-10)'!N33)&gt;0,SUM('Limestone Plant (LP-1)'!N33,'Limestone Plant (LP-2)'!N33,'Limestone Plant (LP-3)'!N33,'Limestone Plant (LP-4)'!N33,'Limestone Plant (LP-5)'!N33,'Limestone Plant (LP-6)'!N33,'Limestone Plant (LP-7)'!N33,'Limestone Plant (LP-8)'!N33,'Limestone Plant (LP-9)'!N33,'Limestone Plant (LP-10)'!N33),"")</f>
        <v/>
      </c>
      <c r="E26" s="31" t="str">
        <f t="shared" ca="1" si="3"/>
        <v/>
      </c>
      <c r="F26" s="115" t="str">
        <f ca="1">IF(B26="","",MAX('Limestone Plant (LP-1)'!O33,'Limestone Plant (LP-2)'!O33,'Limestone Plant (LP-3)'!O33,'Limestone Plant (LP-4)'!O33,'Limestone Plant (LP-5)'!O33,'Limestone Plant (LP-6)'!O33,'Limestone Plant (LP-7)'!O33,'Limestone Plant (LP-8)'!O33,'Limestone Plant (LP-9)'!O33,'Limestone Plant (LP-10)'!O33))</f>
        <v/>
      </c>
      <c r="G26" s="31" t="str">
        <f t="shared" ca="1" si="4"/>
        <v/>
      </c>
      <c r="H26" s="117" t="str">
        <f t="shared" ca="1" si="5"/>
        <v/>
      </c>
      <c r="I26" s="33" t="str">
        <f>IF(SUM('Limestone Plant (LP-1)'!P33,'Limestone Plant (LP-2)'!P33,'Limestone Plant (LP-3)'!P33,'Limestone Plant (LP-4)'!P33,'Limestone Plant (LP-5)'!P33,'Limestone Plant (LP-6)'!P33,'Limestone Plant (LP-7)'!P33,'Limestone Plant (LP-8)'!P33,'Limestone Plant (LP-9)'!P33,'Limestone Plant (LP-10)'!P33)&gt;0,SUM('Limestone Plant (LP-1)'!P33,'Limestone Plant (LP-2)'!P33,'Limestone Plant (LP-3)'!P33,'Limestone Plant (LP-4)'!P33,'Limestone Plant (LP-5)'!P33,'Limestone Plant (LP-6)'!P33,'Limestone Plant (LP-7)'!P33,'Limestone Plant (LP-8)'!P33,'Limestone Plant (LP-9)'!P33,'Limestone Plant (LP-10)'!P33),"")</f>
        <v/>
      </c>
      <c r="J26" s="31"/>
      <c r="K26" s="33" t="str">
        <f ca="1">IF(D26="","",IF(SUM('Limestone Plant (LP-1)'!Q33,'Limestone Plant (LP-2)'!Q33,'Limestone Plant (LP-3)'!Q33,'Limestone Plant (LP-4)'!Q33,'Limestone Plant (LP-5)'!Q33,'Limestone Plant (LP-6)'!Q33,'Limestone Plant (LP-7)'!Q33,'Limestone Plant (LP-8)'!Q33,'Limestone Plant (LP-9)'!Q33,'Limestone Plant (LP-10)'!Q33)&gt;0,SUM('Limestone Plant (LP-1)'!Q33,'Limestone Plant (LP-2)'!Q33,'Limestone Plant (LP-3)'!Q33,'Limestone Plant (LP-4)'!Q33,'Limestone Plant (LP-5)'!Q33,'Limestone Plant (LP-6)'!Q33,'Limestone Plant (LP-7)'!Q33,'Limestone Plant (LP-8)'!Q33,'Limestone Plant (LP-9)'!Q33,'Limestone Plant (LP-10)'!Q33),""))</f>
        <v/>
      </c>
      <c r="L26" s="33" t="str">
        <f ca="1">IF(B26="","",SUM('Limestone Plant (LP-1)'!R33,'Limestone Plant (LP-2)'!R33,'Limestone Plant (LP-3)'!R33,'Limestone Plant (LP-4)'!R33,'Limestone Plant (LP-5)'!R33,'Limestone Plant (LP-6)'!R33,'Limestone Plant (LP-7)'!R33,'Limestone Plant (LP-8)'!R33,'Limestone Plant (LP-9)'!R33,'Limestone Plant (LP-10)'!R33))</f>
        <v/>
      </c>
      <c r="M26" s="33" t="str">
        <f ca="1">IF(B9="","",SUM('Limestone Plant (LP-1)'!S33,'Limestone Plant (LP-2)'!S33,'Limestone Plant (LP-3)'!S33,'Limestone Plant (LP-4)'!S33,'Limestone Plant (LP-5)'!S33,'Limestone Plant (LP-6)'!S33,'Limestone Plant (LP-7)'!S33,'Limestone Plant (LP-8)'!S33,'Limestone Plant (LP-9)'!S33,'Limestone Plant (LP-10)'!S33))</f>
        <v/>
      </c>
    </row>
    <row r="27" spans="1:13" x14ac:dyDescent="0.25">
      <c r="A27" s="31" t="str">
        <f ca="1">IF(SUM('Limestone Plant (LP-1)'!N25,'Limestone Plant (LP-2)'!N25,'Limestone Plant (LP-3)'!N25,'Limestone Plant (LP-4)'!N25,'Limestone Plant (LP-5)'!N25,'Limestone Plant (LP-6)'!N25,'Limestone Plant (LP-7)'!N25,'Limestone Plant (LP-8)'!N25,'Limestone Plant (LP-9)'!N25,'Limestone Plant (LP-10)'!N25)&gt;0,"ALL","")</f>
        <v/>
      </c>
      <c r="B27" s="114" t="str">
        <f ca="1">IF(SUM('Limestone Plant (LP-1)'!N34,'Limestone Plant (LP-2)'!N34,'Limestone Plant (LP-3)'!N34,'Limestone Plant (LP-4)'!N34,'Limestone Plant (LP-5)'!N34,'Limestone Plant (LP-6)'!N34,'Limestone Plant (LP-7)'!N34,'Limestone Plant (LP-8)'!N34,'Limestone Plant (LP-9)'!N34,'Limestone Plant (LP-10)'!N34)&gt;0,"Fines Screening","")</f>
        <v/>
      </c>
      <c r="C27" s="114" t="str">
        <f ca="1">IF(SUM('Limestone Plant (LP-1)'!N25,'Limestone Plant (LP-2)'!N25,'Limestone Plant (LP-3)'!N25,'Limestone Plant (LP-4)'!N25,'Limestone Plant (LP-5)'!N25,'Limestone Plant (LP-6)'!N25,'Limestone Plant (LP-7)'!N25,'Limestone Plant (LP-8)'!N25,'Limestone Plant (LP-9)'!N25,'Limestone Plant (LP-10)'!N25)&gt;0,"30502021","")</f>
        <v/>
      </c>
      <c r="D27" s="31" t="str">
        <f ca="1">IF(SUM('Limestone Plant (LP-1)'!N34,'Limestone Plant (LP-2)'!N34,'Limestone Plant (LP-3)'!N34,'Limestone Plant (LP-4)'!N34,'Limestone Plant (LP-5)'!N34,'Limestone Plant (LP-6)'!N34,'Limestone Plant (LP-7)'!N34,'Limestone Plant (LP-8)'!N34,'Limestone Plant (LP-9)'!N34,'Limestone Plant (LP-10)'!N34)&gt;0,SUM('Limestone Plant (LP-1)'!N34,'Limestone Plant (LP-2)'!N34,'Limestone Plant (LP-3)'!N34,'Limestone Plant (LP-4)'!N34,'Limestone Plant (LP-5)'!N34,'Limestone Plant (LP-6)'!N34,'Limestone Plant (LP-7)'!N34,'Limestone Plant (LP-8)'!N34,'Limestone Plant (LP-9)'!N34,'Limestone Plant (LP-10)'!N34),"")</f>
        <v/>
      </c>
      <c r="E27" s="31" t="str">
        <f t="shared" ca="1" si="3"/>
        <v/>
      </c>
      <c r="F27" s="115" t="str">
        <f ca="1">IF(B27="","",MAX('Limestone Plant (LP-1)'!O34,'Limestone Plant (LP-2)'!O34,'Limestone Plant (LP-3)'!O34,'Limestone Plant (LP-4)'!O34,'Limestone Plant (LP-5)'!O34,'Limestone Plant (LP-6)'!O34,'Limestone Plant (LP-7)'!O34,'Limestone Plant (LP-8)'!O34,'Limestone Plant (LP-9)'!O34,'Limestone Plant (LP-10)'!O34))</f>
        <v/>
      </c>
      <c r="G27" s="31" t="str">
        <f t="shared" ca="1" si="4"/>
        <v/>
      </c>
      <c r="H27" s="117" t="str">
        <f t="shared" ca="1" si="5"/>
        <v/>
      </c>
      <c r="I27" s="33" t="str">
        <f>IF(SUM('Limestone Plant (LP-1)'!P34,'Limestone Plant (LP-2)'!P34,'Limestone Plant (LP-3)'!P34,'Limestone Plant (LP-4)'!P34,'Limestone Plant (LP-5)'!P34,'Limestone Plant (LP-6)'!P34,'Limestone Plant (LP-7)'!P34,'Limestone Plant (LP-8)'!P34,'Limestone Plant (LP-9)'!P34,'Limestone Plant (LP-10)'!P34)&gt;0,SUM('Limestone Plant (LP-1)'!P34,'Limestone Plant (LP-2)'!P34,'Limestone Plant (LP-3)'!P34,'Limestone Plant (LP-4)'!P34,'Limestone Plant (LP-5)'!P34,'Limestone Plant (LP-6)'!P34,'Limestone Plant (LP-7)'!P34,'Limestone Plant (LP-8)'!P34,'Limestone Plant (LP-9)'!P34,'Limestone Plant (LP-10)'!P34),"")</f>
        <v/>
      </c>
      <c r="J27" s="31"/>
      <c r="K27" s="33" t="str">
        <f ca="1">IF(D27="","",IF(SUM('Limestone Plant (LP-1)'!Q34,'Limestone Plant (LP-2)'!Q34,'Limestone Plant (LP-3)'!Q34,'Limestone Plant (LP-4)'!Q34,'Limestone Plant (LP-5)'!Q34,'Limestone Plant (LP-6)'!Q34,'Limestone Plant (LP-7)'!Q34,'Limestone Plant (LP-8)'!Q34,'Limestone Plant (LP-9)'!Q34,'Limestone Plant (LP-10)'!Q34)&gt;0,SUM('Limestone Plant (LP-1)'!Q34,'Limestone Plant (LP-2)'!Q34,'Limestone Plant (LP-3)'!Q34,'Limestone Plant (LP-4)'!Q34,'Limestone Plant (LP-5)'!Q34,'Limestone Plant (LP-6)'!Q34,'Limestone Plant (LP-7)'!Q34,'Limestone Plant (LP-8)'!Q34,'Limestone Plant (LP-9)'!Q34,'Limestone Plant (LP-10)'!Q34),""))</f>
        <v/>
      </c>
      <c r="L27" s="33" t="str">
        <f ca="1">IF(B27="","",SUM('Limestone Plant (LP-1)'!R34,'Limestone Plant (LP-2)'!R34,'Limestone Plant (LP-3)'!R34,'Limestone Plant (LP-4)'!R34,'Limestone Plant (LP-5)'!R34,'Limestone Plant (LP-6)'!R34,'Limestone Plant (LP-7)'!R34,'Limestone Plant (LP-8)'!R34,'Limestone Plant (LP-9)'!R34,'Limestone Plant (LP-10)'!R34))</f>
        <v/>
      </c>
      <c r="M27" s="33" t="str">
        <f ca="1">IF(B10="","",SUM('Limestone Plant (LP-1)'!S34,'Limestone Plant (LP-2)'!S34,'Limestone Plant (LP-3)'!S34,'Limestone Plant (LP-4)'!S34,'Limestone Plant (LP-5)'!S34,'Limestone Plant (LP-6)'!S34,'Limestone Plant (LP-7)'!S34,'Limestone Plant (LP-8)'!S34,'Limestone Plant (LP-9)'!S34,'Limestone Plant (LP-10)'!S34))</f>
        <v/>
      </c>
    </row>
    <row r="28" spans="1:13" x14ac:dyDescent="0.25">
      <c r="A28" s="31" t="str">
        <f ca="1">IF(SUM('Limestone Plant (LP-1)'!N26,'Limestone Plant (LP-2)'!N26,'Limestone Plant (LP-3)'!N26,'Limestone Plant (LP-4)'!N26,'Limestone Plant (LP-5)'!N26,'Limestone Plant (LP-6)'!N26,'Limestone Plant (LP-7)'!N26,'Limestone Plant (LP-8)'!N26,'Limestone Plant (LP-9)'!N26,'Limestone Plant (LP-10)'!N26)&gt;0,"ALL","")</f>
        <v/>
      </c>
      <c r="B28" s="114" t="str">
        <f ca="1">IF(SUM('Limestone Plant (LP-1)'!N35,'Limestone Plant (LP-2)'!N35,'Limestone Plant (LP-3)'!N35,'Limestone Plant (LP-4)'!N35,'Limestone Plant (LP-5)'!N35,'Limestone Plant (LP-6)'!N35,'Limestone Plant (LP-7)'!N35,'Limestone Plant (LP-8)'!N35,'Limestone Plant (LP-9)'!N35,'Limestone Plant (LP-10)'!N35)&gt;0,"Wet Drilling: Unfragmented Stone","")</f>
        <v/>
      </c>
      <c r="C28" s="114" t="str">
        <f ca="1">IF(SUM('Limestone Plant (LP-1)'!N26,'Limestone Plant (LP-2)'!N26,'Limestone Plant (LP-3)'!N26,'Limestone Plant (LP-4)'!N26,'Limestone Plant (LP-5)'!N26,'Limestone Plant (LP-6)'!N26,'Limestone Plant (LP-7)'!N26,'Limestone Plant (LP-8)'!N26,'Limestone Plant (LP-9)'!N26,'Limestone Plant (LP-10)'!N26)&gt;0,"30502010","")</f>
        <v/>
      </c>
      <c r="D28" s="31" t="str">
        <f ca="1">IF(SUM('Limestone Plant (LP-1)'!N35,'Limestone Plant (LP-2)'!N35,'Limestone Plant (LP-3)'!N35,'Limestone Plant (LP-4)'!N35,'Limestone Plant (LP-5)'!N35,'Limestone Plant (LP-6)'!N35,'Limestone Plant (LP-7)'!N35,'Limestone Plant (LP-8)'!N35,'Limestone Plant (LP-9)'!N35,'Limestone Plant (LP-10)'!N35)&gt;0,SUM('Limestone Plant (LP-1)'!N35,'Limestone Plant (LP-2)'!N35,'Limestone Plant (LP-3)'!N35,'Limestone Plant (LP-4)'!N35,'Limestone Plant (LP-5)'!N35,'Limestone Plant (LP-6)'!N35,'Limestone Plant (LP-7)'!N35,'Limestone Plant (LP-8)'!N35,'Limestone Plant (LP-9)'!N35,'Limestone Plant (LP-10)'!N35),"")</f>
        <v/>
      </c>
      <c r="E28" s="31" t="str">
        <f t="shared" ca="1" si="3"/>
        <v/>
      </c>
      <c r="F28" s="115" t="str">
        <f ca="1">IF(B28="","",MAX('Limestone Plant (LP-1)'!O35,'Limestone Plant (LP-2)'!O35,'Limestone Plant (LP-3)'!O35,'Limestone Plant (LP-4)'!O35,'Limestone Plant (LP-5)'!O35,'Limestone Plant (LP-6)'!O35,'Limestone Plant (LP-7)'!O35,'Limestone Plant (LP-8)'!O35,'Limestone Plant (LP-9)'!O35,'Limestone Plant (LP-10)'!O35))</f>
        <v/>
      </c>
      <c r="G28" s="31" t="str">
        <f t="shared" ca="1" si="4"/>
        <v/>
      </c>
      <c r="H28" s="117" t="str">
        <f t="shared" ca="1" si="5"/>
        <v/>
      </c>
      <c r="I28" s="33" t="str">
        <f>IF(SUM('Limestone Plant (LP-1)'!P35,'Limestone Plant (LP-2)'!P35,'Limestone Plant (LP-3)'!P35,'Limestone Plant (LP-4)'!P35,'Limestone Plant (LP-5)'!P35,'Limestone Plant (LP-6)'!P35,'Limestone Plant (LP-7)'!P35,'Limestone Plant (LP-8)'!P35,'Limestone Plant (LP-9)'!P35,'Limestone Plant (LP-10)'!P35)&gt;0,SUM('Limestone Plant (LP-1)'!P35,'Limestone Plant (LP-2)'!P35,'Limestone Plant (LP-3)'!P35,'Limestone Plant (LP-4)'!P35,'Limestone Plant (LP-5)'!P35,'Limestone Plant (LP-6)'!P35,'Limestone Plant (LP-7)'!P35,'Limestone Plant (LP-8)'!P35,'Limestone Plant (LP-9)'!P35,'Limestone Plant (LP-10)'!P35),"")</f>
        <v/>
      </c>
      <c r="J28" s="31"/>
      <c r="K28" s="33" t="str">
        <f ca="1">IF(D28="","",IF(SUM('Limestone Plant (LP-1)'!Q35,'Limestone Plant (LP-2)'!Q35,'Limestone Plant (LP-3)'!Q35,'Limestone Plant (LP-4)'!Q35,'Limestone Plant (LP-5)'!Q35,'Limestone Plant (LP-6)'!Q35,'Limestone Plant (LP-7)'!Q35,'Limestone Plant (LP-8)'!Q35,'Limestone Plant (LP-9)'!Q35,'Limestone Plant (LP-10)'!Q35)&gt;0,SUM('Limestone Plant (LP-1)'!Q35,'Limestone Plant (LP-2)'!Q35,'Limestone Plant (LP-3)'!Q35,'Limestone Plant (LP-4)'!Q35,'Limestone Plant (LP-5)'!Q35,'Limestone Plant (LP-6)'!Q35,'Limestone Plant (LP-7)'!Q35,'Limestone Plant (LP-8)'!Q35,'Limestone Plant (LP-9)'!Q35,'Limestone Plant (LP-10)'!Q35),""))</f>
        <v/>
      </c>
      <c r="L28" s="33" t="str">
        <f ca="1">IF(B28="","",SUM('Limestone Plant (LP-1)'!R35,'Limestone Plant (LP-2)'!R35,'Limestone Plant (LP-3)'!R35,'Limestone Plant (LP-4)'!R35,'Limestone Plant (LP-5)'!R35,'Limestone Plant (LP-6)'!R35,'Limestone Plant (LP-7)'!R35,'Limestone Plant (LP-8)'!R35,'Limestone Plant (LP-9)'!R35,'Limestone Plant (LP-10)'!R35))</f>
        <v/>
      </c>
      <c r="M28" s="33" t="str">
        <f ca="1">IF(B11="","",SUM('Limestone Plant (LP-1)'!S35,'Limestone Plant (LP-2)'!S35,'Limestone Plant (LP-3)'!S35,'Limestone Plant (LP-4)'!S35,'Limestone Plant (LP-5)'!S35,'Limestone Plant (LP-6)'!S35,'Limestone Plant (LP-7)'!S35,'Limestone Plant (LP-8)'!S35,'Limestone Plant (LP-9)'!S35,'Limestone Plant (LP-10)'!S35))</f>
        <v/>
      </c>
    </row>
    <row r="29" spans="1:13" x14ac:dyDescent="0.25">
      <c r="A29" s="31" t="str">
        <f ca="1">IF(SUM('Limestone Plant (LP-1)'!N27,'Limestone Plant (LP-2)'!N27,'Limestone Plant (LP-3)'!N27,'Limestone Plant (LP-4)'!N27,'Limestone Plant (LP-5)'!N27,'Limestone Plant (LP-6)'!N27,'Limestone Plant (LP-7)'!N27,'Limestone Plant (LP-8)'!N27,'Limestone Plant (LP-9)'!N27,'Limestone Plant (LP-10)'!N27)&gt;0,"ALL","")</f>
        <v/>
      </c>
      <c r="B29" s="114" t="str">
        <f ca="1">IF(SUM('Limestone Plant (LP-1)'!N36,'Limestone Plant (LP-2)'!N36,'Limestone Plant (LP-3)'!N36,'Limestone Plant (LP-4)'!N36,'Limestone Plant (LP-5)'!N36,'Limestone Plant (LP-6)'!N36,'Limestone Plant (LP-7)'!N36,'Limestone Plant (LP-8)'!N36,'Limestone Plant (LP-9)'!N36,'Limestone Plant (LP-10)'!N36)&gt;0,"Conveyor Transfer Points","")</f>
        <v/>
      </c>
      <c r="C29" s="114" t="str">
        <f ca="1">IF(SUM('Limestone Plant (LP-1)'!N27,'Limestone Plant (LP-2)'!N27,'Limestone Plant (LP-3)'!N27,'Limestone Plant (LP-4)'!N27,'Limestone Plant (LP-5)'!N27,'Limestone Plant (LP-6)'!N27,'Limestone Plant (LP-7)'!N27,'Limestone Plant (LP-8)'!N27,'Limestone Plant (LP-9)'!N27,'Limestone Plant (LP-10)'!N27)&gt;0,"30502006","")</f>
        <v/>
      </c>
      <c r="D29" s="31" t="str">
        <f ca="1">IF(SUM('Limestone Plant (LP-1)'!N36,'Limestone Plant (LP-2)'!N36,'Limestone Plant (LP-3)'!N36,'Limestone Plant (LP-4)'!N36,'Limestone Plant (LP-5)'!N36,'Limestone Plant (LP-6)'!N36,'Limestone Plant (LP-7)'!N36,'Limestone Plant (LP-8)'!N36,'Limestone Plant (LP-9)'!N36,'Limestone Plant (LP-10)'!N36)&gt;0,SUM('Limestone Plant (LP-1)'!N36,'Limestone Plant (LP-2)'!N36,'Limestone Plant (LP-3)'!N36,'Limestone Plant (LP-4)'!N36,'Limestone Plant (LP-5)'!N36,'Limestone Plant (LP-6)'!N36,'Limestone Plant (LP-7)'!N36,'Limestone Plant (LP-8)'!N36,'Limestone Plant (LP-9)'!N36,'Limestone Plant (LP-10)'!N36),"")</f>
        <v/>
      </c>
      <c r="E29" s="31" t="str">
        <f t="shared" ca="1" si="3"/>
        <v/>
      </c>
      <c r="F29" s="115" t="str">
        <f ca="1">IF(B29="","",MAX('Limestone Plant (LP-1)'!O36,'Limestone Plant (LP-2)'!O36,'Limestone Plant (LP-3)'!O36,'Limestone Plant (LP-4)'!O36,'Limestone Plant (LP-5)'!O36,'Limestone Plant (LP-6)'!O36,'Limestone Plant (LP-7)'!O36,'Limestone Plant (LP-8)'!O36,'Limestone Plant (LP-9)'!O36,'Limestone Plant (LP-10)'!O36))</f>
        <v/>
      </c>
      <c r="G29" s="31" t="str">
        <f t="shared" ca="1" si="4"/>
        <v/>
      </c>
      <c r="H29" s="117" t="str">
        <f t="shared" ca="1" si="5"/>
        <v/>
      </c>
      <c r="I29" s="33" t="str">
        <f>IF(SUM('Limestone Plant (LP-1)'!P36,'Limestone Plant (LP-2)'!P36,'Limestone Plant (LP-3)'!P36,'Limestone Plant (LP-4)'!P36,'Limestone Plant (LP-5)'!P36,'Limestone Plant (LP-6)'!P36,'Limestone Plant (LP-7)'!P36,'Limestone Plant (LP-8)'!P36,'Limestone Plant (LP-9)'!P36,'Limestone Plant (LP-10)'!P36)&gt;0,SUM('Limestone Plant (LP-1)'!P36,'Limestone Plant (LP-2)'!P36,'Limestone Plant (LP-3)'!P36,'Limestone Plant (LP-4)'!P36,'Limestone Plant (LP-5)'!P36,'Limestone Plant (LP-6)'!P36,'Limestone Plant (LP-7)'!P36,'Limestone Plant (LP-8)'!P36,'Limestone Plant (LP-9)'!P36,'Limestone Plant (LP-10)'!P36),"")</f>
        <v/>
      </c>
      <c r="J29" s="31"/>
      <c r="K29" s="33" t="str">
        <f ca="1">IF(D29="","",IF(SUM('Limestone Plant (LP-1)'!Q36,'Limestone Plant (LP-2)'!Q36,'Limestone Plant (LP-3)'!Q36,'Limestone Plant (LP-4)'!Q36,'Limestone Plant (LP-5)'!Q36,'Limestone Plant (LP-6)'!Q36,'Limestone Plant (LP-7)'!Q36,'Limestone Plant (LP-8)'!Q36,'Limestone Plant (LP-9)'!Q36,'Limestone Plant (LP-10)'!Q36)&gt;0,SUM('Limestone Plant (LP-1)'!Q36,'Limestone Plant (LP-2)'!Q36,'Limestone Plant (LP-3)'!Q36,'Limestone Plant (LP-4)'!Q36,'Limestone Plant (LP-5)'!Q36,'Limestone Plant (LP-6)'!Q36,'Limestone Plant (LP-7)'!Q36,'Limestone Plant (LP-8)'!Q36,'Limestone Plant (LP-9)'!Q36,'Limestone Plant (LP-10)'!Q36),""))</f>
        <v/>
      </c>
      <c r="L29" s="33" t="str">
        <f ca="1">IF(B29="","",SUM('Limestone Plant (LP-1)'!R36,'Limestone Plant (LP-2)'!R36,'Limestone Plant (LP-3)'!R36,'Limestone Plant (LP-4)'!R36,'Limestone Plant (LP-5)'!R36,'Limestone Plant (LP-6)'!R36,'Limestone Plant (LP-7)'!R36,'Limestone Plant (LP-8)'!R36,'Limestone Plant (LP-9)'!R36,'Limestone Plant (LP-10)'!R36))</f>
        <v/>
      </c>
      <c r="M29" s="33" t="str">
        <f ca="1">IF(B12="","",SUM('Limestone Plant (LP-1)'!S36,'Limestone Plant (LP-2)'!S36,'Limestone Plant (LP-3)'!S36,'Limestone Plant (LP-4)'!S36,'Limestone Plant (LP-5)'!S36,'Limestone Plant (LP-6)'!S36,'Limestone Plant (LP-7)'!S36,'Limestone Plant (LP-8)'!S36,'Limestone Plant (LP-9)'!S36,'Limestone Plant (LP-10)'!S36))</f>
        <v/>
      </c>
    </row>
    <row r="30" spans="1:13" x14ac:dyDescent="0.25">
      <c r="A30" s="31" t="str">
        <f>IF(SUM('Limestone Plant (LP-1)'!N40,'Limestone Plant (LP-2)'!N40,'Limestone Plant (LP-3)'!N40,'Limestone Plant (LP-4)'!N40,'Limestone Plant (LP-5)'!N40,'Limestone Plant (LP-6)'!N39,'Limestone Plant (LP-7)'!N39,'Limestone Plant (LP-8)'!N39,'Limestone Plant (LP-9)'!N39,'Limestone Plant (LP-10)'!N39)&gt;0,"ALL","")</f>
        <v/>
      </c>
      <c r="B30" s="114" t="str">
        <f>IF(SUM('Limestone Plant (LP-1)'!N40,'Limestone Plant (LP-2)'!N40,'Limestone Plant (LP-3)'!N40,'Limestone Plant (LP-4)'!N40,'Limestone Plant (LP-5)'!N40,'Limestone Plant (LP-6)'!N39,'Limestone Plant (LP-7)'!N39,'Limestone Plant (LP-8)'!N39,'Limestone Plant (LP-9)'!N39,'Limestone Plant (LP-10)'!N39)&gt;0,"Storage PIles","")</f>
        <v/>
      </c>
      <c r="C30" s="114" t="str">
        <f>IF(B13="","","30502007")</f>
        <v/>
      </c>
      <c r="D30" s="31" t="str">
        <f>IF(B13="","",SUM('Limestone Plant (LP-1)'!N40,'Limestone Plant (LP-2)'!N40,'Limestone Plant (LP-3)'!N40,'Limestone Plant (LP-4)'!N40,'Limestone Plant (LP-5)'!N40,'Limestone Plant (LP-6)'!N39,'Limestone Plant (LP-7)'!N39,'Limestone Plant (LP-8)'!N39,'Limestone Plant (LP-9)'!N39,'Limestone Plant (LP-10)'!N39))</f>
        <v/>
      </c>
      <c r="E30" s="31" t="str">
        <f>IF(B13="","","acre/day")</f>
        <v/>
      </c>
      <c r="F30" s="116" t="str">
        <f>IF('Limestone Plant (LP-1)'!N14=0,"",3.64)</f>
        <v/>
      </c>
      <c r="G30" s="31" t="str">
        <f>IF(B13="","","lb/acre-day")</f>
        <v/>
      </c>
      <c r="H30" s="117" t="str">
        <f>IF(B13="","","WebFIRE")</f>
        <v/>
      </c>
      <c r="I30" s="33" t="str">
        <f>IF(B30="","",SUM('Limestone Plant (LP-1)'!P40,'Limestone Plant (LP-2)'!P40,'Limestone Plant (LP-3)'!P40,'Limestone Plant (LP-4)'!P40,'Limestone Plant (LP-5)'!P40,'Limestone Plant (LP-6)'!P39,'Limestone Plant (LP-7)'!P39,'Limestone Plant (LP-8)'!P39,'Limestone Plant (LP-9)'!P39,'Limestone Plant (LP-10)'!P39))</f>
        <v/>
      </c>
      <c r="J30" s="118"/>
      <c r="K30" s="33"/>
      <c r="L30" s="33" t="str">
        <f>IF(D30="","",SUM('Limestone Plant (LP-1)'!R40,'Limestone Plant (LP-2)'!R40,'Limestone Plant (LP-3)'!R40,'Limestone Plant (LP-4)'!R40,'Limestone Plant (LP-5)'!R40,'Limestone Plant (LP-6)'!R39,'Limestone Plant (LP-7)'!R39,'Limestone Plant (LP-8)'!R39,'Limestone Plant (LP-9)'!R39,'Limestone Plant (LP-10)'!R39))</f>
        <v/>
      </c>
      <c r="M30" s="33" t="str">
        <f>IF(E30="","",SUM('Limestone Plant (LP-1)'!S40,'Limestone Plant (LP-2)'!S40,'Limestone Plant (LP-3)'!S40,'Limestone Plant (LP-4)'!S40,'Limestone Plant (LP-5)'!S40,'Limestone Plant (LP-6)'!S39,'Limestone Plant (LP-7)'!S39,'Limestone Plant (LP-8)'!S39,'Limestone Plant (LP-9)'!S39,'Limestone Plant (LP-10)'!S39))</f>
        <v/>
      </c>
    </row>
    <row r="31" spans="1:13" x14ac:dyDescent="0.25">
      <c r="A31" s="31" t="str">
        <f>IF(SUM('Haul Roads'!AH9:AH18)=0,"","ALL")</f>
        <v/>
      </c>
      <c r="B31" s="113" t="str">
        <f>IF(SUM('Haul Roads'!AH9:AH18)=0,"","Unpaved Haul Roads")</f>
        <v/>
      </c>
      <c r="C31" s="114" t="str">
        <f>IF(SUM('Haul Roads'!AH9:AH18)=0,"","30202054")</f>
        <v/>
      </c>
      <c r="D31" s="33" t="str">
        <f>IF(F31="","",'Haul Roads'!P39*'Haul Roads'!L39/8760)</f>
        <v/>
      </c>
      <c r="E31" s="31" t="str">
        <f>IF(B14="","","vmt/hr")</f>
        <v/>
      </c>
      <c r="F31" s="116" t="str">
        <f>IF(B14="","",'Haul Roads'!Z39)</f>
        <v/>
      </c>
      <c r="G31" s="31" t="str">
        <f>IF(F31="","","lb/vmt")</f>
        <v/>
      </c>
      <c r="H31" s="117" t="str">
        <f>IF(F31="","","AP-42 Ch 13.2.2")</f>
        <v/>
      </c>
      <c r="I31" s="33" t="str">
        <f>IF(F31="","",D31*F31)</f>
        <v/>
      </c>
      <c r="J31" s="31" t="str">
        <f>IF(SUM('Haul Roads'!AB9:AB38)&gt;0,40,"")</f>
        <v/>
      </c>
      <c r="K31" s="33" t="str">
        <f>IF(SUM('Haul Roads'!AB9:AB38)&gt;0,(SUM('Haul Roads'!AB9:AB38)),"")</f>
        <v/>
      </c>
      <c r="L31" s="33" t="str">
        <f>IF(AND((SUM('Haul Roads'!$M$9:$M$38)&gt;0),'Haul Roads'!L44&gt;0),SUM('Haul Roads'!$AN$9:$AN$18),IF(B31="","",'Haul Roads'!L44))</f>
        <v/>
      </c>
      <c r="M31" s="33" t="str">
        <f>IF(AND((SUM('Haul Roads'!$M$9:$M$38)&gt;0),'Haul Roads'!L49&gt;0),SUM('Haul Roads'!$AO$9:$AO$18),IF(B31="","",'Haul Roads'!L49))</f>
        <v/>
      </c>
    </row>
    <row r="32" spans="1:13" x14ac:dyDescent="0.25">
      <c r="A32" s="31" t="str">
        <f>IF(SUM('Haul Roads'!AI9:AI18)=0,"","ALL")</f>
        <v/>
      </c>
      <c r="B32" s="113" t="str">
        <f>IF(SUM('Haul Roads'!AI9:AI18)=0,"","Paved Haul Roads")</f>
        <v/>
      </c>
      <c r="C32" s="114" t="str">
        <f>IF(SUM('Haul Roads'!AI9:AI18)=0,"","30202054")</f>
        <v/>
      </c>
      <c r="D32" s="33" t="str">
        <f>IF(F32="","",'Haul Roads'!P40*'Haul Roads'!L40/8760)</f>
        <v/>
      </c>
      <c r="E32" s="31" t="str">
        <f>IF(B15="","","vmt/hr")</f>
        <v/>
      </c>
      <c r="F32" s="116" t="str">
        <f>IF(B15="","",'Haul Roads'!Z40)</f>
        <v/>
      </c>
      <c r="G32" s="31" t="str">
        <f>IF(F32="","","lb/vmt")</f>
        <v/>
      </c>
      <c r="H32" s="117" t="str">
        <f>IF(F32="","","AP-42 Ch 13.2.1")</f>
        <v/>
      </c>
      <c r="I32" s="33" t="str">
        <f>IF(F32="","",D32*F32)</f>
        <v/>
      </c>
      <c r="J32" s="31"/>
      <c r="K32" s="33"/>
      <c r="L32" s="33" t="str">
        <f>IF(B32="","",IF(AND((SUM('Haul Roads'!$M$9:$M$38)&gt;0),'Haul Roads'!L45&gt;0,'Haul Roads'!L44&gt;0),"",IF(AND((SUM('Haul Roads'!$M$9:$M$38)&gt;0),'Haul Roads'!L45&gt;0),SUM('Haul Roads'!$AN$9:$AN$18),'Haul Roads'!L45)))</f>
        <v/>
      </c>
      <c r="M32" s="33" t="str">
        <f>IF(B32="","",IF(AND((SUM('Haul Roads'!$M$9:$M$38)&gt;0),'Haul Roads'!L50&gt;0,'Haul Roads'!L49&gt;0),"",IF(AND((SUM('Haul Roads'!$M$9:$M$38)&gt;0),'Haul Roads'!L50&gt;0),SUM('Haul Roads'!$AO$9:$AO$18),'Haul Roads'!L50)))</f>
        <v/>
      </c>
    </row>
    <row r="33" spans="1:15" x14ac:dyDescent="0.25">
      <c r="A33" s="31" t="str">
        <f>IF('Permitted Diesel Engines'!R50=0,"","ALL")</f>
        <v/>
      </c>
      <c r="B33" s="113" t="str">
        <f>IF('Permitted Diesel Engines'!R50=0,"","Diesel Generator ≤ 600 bhp")</f>
        <v/>
      </c>
      <c r="C33" s="114" t="str">
        <f>IF('Permitted Diesel Engines'!R50=0,"",LOOKUP(B16,'Emission Factors'!A43:A44,'Emission Factors'!B43:B44))</f>
        <v/>
      </c>
      <c r="D33" s="31" t="str">
        <f>IF('Permitted Diesel Engines'!R50=0,"",'Permitted Diesel Engines'!R50)</f>
        <v/>
      </c>
      <c r="E33" s="31" t="str">
        <f>IF(B33="","","MMBtu/hr")</f>
        <v/>
      </c>
      <c r="F33" s="116" t="str">
        <f>IF(B33="","",LOOKUP(B33,'Emission Factors'!$A$43:$A$44,'Emission Factors'!$F$43:$F$44))</f>
        <v/>
      </c>
      <c r="G33" s="31" t="str">
        <f>IF(B33="","",LOOKUP(B33,'Emission Factors'!$A$43:$A$44,'Emission Factors'!$C$43:$C$44))</f>
        <v/>
      </c>
      <c r="H33" s="117" t="str">
        <f>IF(B33="","",LOOKUP(B33,'Emission Factors'!$A$43:$A$44,'Emission Factors'!$G$43:$G$44))</f>
        <v/>
      </c>
      <c r="I33" s="33" t="str">
        <f>IF(B33="","",'Emission Calculations'!D33*'Emission Calculations'!F33)</f>
        <v/>
      </c>
      <c r="J33" s="31"/>
      <c r="K33" s="33"/>
      <c r="L33" s="33" t="str">
        <f>IF(F33="","",'Permitted Diesel Engines'!AB77)</f>
        <v/>
      </c>
      <c r="M33" s="33" t="str">
        <f>IF(B33="","",'Permitted Diesel Engines'!$T$50*F33/2000)</f>
        <v/>
      </c>
    </row>
    <row r="34" spans="1:15" x14ac:dyDescent="0.25">
      <c r="A34" s="31" t="str">
        <f>IF('Permitted Diesel Engines'!R51=0,"","ALL")</f>
        <v/>
      </c>
      <c r="B34" s="113" t="str">
        <f>IF('Permitted Diesel Engines'!R51=0,"","Diesel Generator&gt; 600 bhp")</f>
        <v/>
      </c>
      <c r="C34" s="114" t="str">
        <f>IF('Permitted Diesel Engines'!R51=0,"",LOOKUP(B17,'Emission Factors'!$A$43:$A$44,'Emission Factors'!$B$43:$B$44))</f>
        <v/>
      </c>
      <c r="D34" s="31" t="str">
        <f>IF('Permitted Diesel Engines'!R51=0,"",'Permitted Diesel Engines'!R51)</f>
        <v/>
      </c>
      <c r="E34" s="31" t="str">
        <f>IF(B34="","","MMBtu/hr")</f>
        <v/>
      </c>
      <c r="F34" s="116" t="str">
        <f>IF(B34="","",LOOKUP(B34,'Emission Factors'!$A$43:$A$44,'Emission Factors'!$F$43:$F$44))</f>
        <v/>
      </c>
      <c r="G34" s="31" t="str">
        <f>IF(B34="","",LOOKUP(B34,'Emission Factors'!$A$43:$A$44,'Emission Factors'!$C$43:$C$44))</f>
        <v/>
      </c>
      <c r="H34" s="201" t="str">
        <f>IF(B34="","",LOOKUP(B34,'Emission Factors'!$A$43:$A$44,'Emission Factors'!$G$43:$G$44))</f>
        <v/>
      </c>
      <c r="I34" s="202" t="str">
        <f>IF(B34="","",'Emission Calculations'!D34*'Emission Calculations'!F34)</f>
        <v/>
      </c>
      <c r="J34" s="200"/>
      <c r="K34" s="33"/>
      <c r="L34" s="33" t="str">
        <f>IF(F34="","",'Permitted Diesel Engines'!AC77)</f>
        <v/>
      </c>
      <c r="M34" s="33" t="str">
        <f>IF(B34="","",'Permitted Diesel Engines'!$T$51*F34/2000)</f>
        <v/>
      </c>
    </row>
    <row r="35" spans="1:15" x14ac:dyDescent="0.25">
      <c r="A35" s="7"/>
      <c r="B35" s="6"/>
      <c r="C35" s="6"/>
      <c r="D35" s="7"/>
      <c r="E35" s="7"/>
      <c r="F35" s="7"/>
      <c r="G35" s="7"/>
      <c r="H35" s="209"/>
      <c r="I35" s="208"/>
      <c r="J35" s="206" t="s">
        <v>24</v>
      </c>
      <c r="L35" s="26">
        <f ca="1">SUM(L22:L34)</f>
        <v>0</v>
      </c>
      <c r="M35" s="33">
        <f ca="1">SUM(M22:M34)</f>
        <v>0</v>
      </c>
    </row>
    <row r="36" spans="1:15" x14ac:dyDescent="0.25">
      <c r="A36" s="7"/>
      <c r="B36" s="6"/>
      <c r="C36" s="6"/>
      <c r="D36" s="7"/>
      <c r="E36" s="7"/>
      <c r="F36" s="7"/>
      <c r="G36" s="7"/>
      <c r="H36" s="7"/>
      <c r="I36" s="10"/>
      <c r="J36" s="7"/>
      <c r="K36" s="11"/>
      <c r="L36" s="9"/>
      <c r="M36" s="152"/>
      <c r="O36" s="197"/>
    </row>
    <row r="37" spans="1:15" ht="18.75" customHeight="1" x14ac:dyDescent="0.3">
      <c r="A37" s="336"/>
      <c r="B37" s="336"/>
      <c r="C37" s="25"/>
      <c r="D37" s="7"/>
      <c r="E37" s="7"/>
      <c r="F37" s="7"/>
      <c r="G37" s="6"/>
      <c r="H37" s="6"/>
      <c r="I37" s="227" t="s">
        <v>290</v>
      </c>
      <c r="J37" s="7"/>
      <c r="K37" s="227" t="s">
        <v>290</v>
      </c>
      <c r="L37" s="227" t="s">
        <v>291</v>
      </c>
      <c r="M37" s="339" t="s">
        <v>231</v>
      </c>
    </row>
    <row r="38" spans="1:15" ht="31.5" customHeight="1" x14ac:dyDescent="0.25">
      <c r="A38" s="242" t="s">
        <v>11</v>
      </c>
      <c r="B38" s="230" t="s">
        <v>12</v>
      </c>
      <c r="C38" s="242" t="s">
        <v>9</v>
      </c>
      <c r="D38" s="230" t="s">
        <v>10</v>
      </c>
      <c r="E38" s="230" t="s">
        <v>26</v>
      </c>
      <c r="F38" s="230" t="s">
        <v>13</v>
      </c>
      <c r="G38" s="230" t="s">
        <v>26</v>
      </c>
      <c r="H38" s="230" t="s">
        <v>77</v>
      </c>
      <c r="I38" s="228" t="s">
        <v>288</v>
      </c>
      <c r="J38" s="243" t="s">
        <v>14</v>
      </c>
      <c r="K38" s="228" t="s">
        <v>259</v>
      </c>
      <c r="L38" s="228" t="s">
        <v>253</v>
      </c>
      <c r="M38" s="228" t="s">
        <v>253</v>
      </c>
    </row>
    <row r="39" spans="1:15" ht="15.75" x14ac:dyDescent="0.25">
      <c r="A39" s="336" t="s">
        <v>3</v>
      </c>
      <c r="B39" s="336"/>
      <c r="C39" s="6"/>
      <c r="D39" s="7"/>
      <c r="E39" s="7"/>
      <c r="F39" s="7"/>
      <c r="G39" s="7"/>
      <c r="H39" s="7"/>
      <c r="I39" s="10"/>
      <c r="J39" s="7"/>
      <c r="K39" s="9"/>
      <c r="L39" s="9"/>
      <c r="M39" s="152"/>
    </row>
    <row r="40" spans="1:15" x14ac:dyDescent="0.25">
      <c r="A40" s="149" t="str">
        <f>IF('Permitted Diesel Engines'!R50=0,"","ALL")</f>
        <v/>
      </c>
      <c r="B40" s="114" t="str">
        <f>IF('Permitted Diesel Engines'!R50=0,"","Diesel Generator ≤ 600 bhp")</f>
        <v/>
      </c>
      <c r="C40" s="31" t="str">
        <f>IF('Permitted Diesel Engines'!R50=0,"",LOOKUP(B40,'Emission Factors'!A43:A44,'Emission Factors'!B43:B44))</f>
        <v/>
      </c>
      <c r="D40" s="31" t="str">
        <f>IF('Permitted Diesel Engines'!R50=0,"",'Permitted Diesel Engines'!R50)</f>
        <v/>
      </c>
      <c r="E40" s="31" t="str">
        <f>IF(B40="","","MMBtu/hr")</f>
        <v/>
      </c>
      <c r="F40" s="31" t="str">
        <f>IF(B40="","",LOOKUP(B40,'Emission Factors'!$A$43:$A$44,'Emission Factors'!$H$43:$H$44))</f>
        <v/>
      </c>
      <c r="G40" s="31" t="str">
        <f>IF(B40="","",LOOKUP(B40,'Emission Factors'!$A$43:$A$44,'Emission Factors'!$C$43:$C$44))</f>
        <v/>
      </c>
      <c r="H40" s="117" t="str">
        <f>IF(B40="","",LOOKUP(B40,'Emission Factors'!$A$43:$A$44,'Emission Factors'!$I$43:$I$44))</f>
        <v/>
      </c>
      <c r="I40" s="150" t="str">
        <f>IF('Permitted Diesel Engines'!R50=0,"",IF(F40='Emission Factors'!$H$43,D40*F40,'Emission Calculations'!D40*'Emission Calculations'!F40*$F$42))</f>
        <v/>
      </c>
      <c r="J40" s="31"/>
      <c r="K40" s="33" t="str">
        <f>IF(SUM('Limestone Plant (LP-1)'!F12,'Limestone Plant (LP-2)'!F12,'Limestone Plant (LP-3)'!F12,'Limestone Plant (LP-4)'!F12,'Limestone Plant (LP-5)'!F12,'Limestone Plant (LP-6)'!F12,'Limestone Plant (LP-7)'!F12,'Limestone Plant (LP-8)'!F12,'Limestone Plant (LP-9)'!F12,'Limestone Plant (LP-10)'!F12)&gt;0,SUM('Limestone Plant (LP-1)'!F12,'Limestone Plant (LP-2)'!F12,'Limestone Plant (LP-3)'!F12,'Limestone Plant (LP-4)'!F12,'Limestone Plant (LP-5)'!F12,'Limestone Plant (LP-6)'!F12,'Limestone Plant (LP-7)'!F12,'Limestone Plant (LP-8)'!F12,'Limestone Plant (LP-9)'!F12,'Limestone Plant (LP-10)'!F12),"")</f>
        <v/>
      </c>
      <c r="L40" s="33" t="str">
        <f>IF(SUM('Limestone Plant (LP-1)'!$G$12,'Limestone Plant (LP-2)'!$G$12,'Limestone Plant (LP-3)'!$G$12,'Limestone Plant (LP-4)'!$G$12,'Limestone Plant (LP-5)'!$G$12,'Limestone Plant (LP-6)'!$G$12,'Limestone Plant (LP-7)'!$G$12,'Limestone Plant (LP-8)'!$G$12,'Limestone Plant (LP-9)'!$G$12,'Limestone Plant (LP-10)'!$G$12)&gt;0,SUM('Limestone Plant (LP-1)'!$G$12,'Limestone Plant (LP-2)'!$G$12,'Limestone Plant (LP-3)'!$G$12,'Limestone Plant (LP-4)'!$G$12,'Limestone Plant (LP-5)'!$G$12,'Limestone Plant (LP-6)'!$G$12,'Limestone Plant (LP-7)'!$G$12,'Limestone Plant (LP-8)'!$G$12,'Limestone Plant (LP-9)'!$G$12,'Limestone Plant (LP-10)'!$G$12&gt;0),IF(F40="","",'Permitted Diesel Engines'!AD77))</f>
        <v/>
      </c>
      <c r="M40" s="33" t="str">
        <f>IF(B40="","",'Permitted Diesel Engines'!$T50*F40/2000)</f>
        <v/>
      </c>
    </row>
    <row r="41" spans="1:15" x14ac:dyDescent="0.25">
      <c r="A41" s="149" t="str">
        <f>IF('Permitted Diesel Engines'!R51=0,"","ALL")</f>
        <v/>
      </c>
      <c r="B41" s="114" t="str">
        <f>IF('Permitted Diesel Engines'!R51=0,"","Diesel Generator&gt; 600 bhp")</f>
        <v/>
      </c>
      <c r="C41" s="31" t="str">
        <f>IF('Permitted Diesel Engines'!R51=0,"",LOOKUP(B41,'Emission Factors'!A44:A45,'Emission Factors'!B44:B45))</f>
        <v/>
      </c>
      <c r="D41" s="31" t="str">
        <f>IF('Permitted Diesel Engines'!R51=0,"",'Permitted Diesel Engines'!R51)</f>
        <v/>
      </c>
      <c r="E41" s="31" t="str">
        <f>IF(B41="","","MMBtu/hr")</f>
        <v/>
      </c>
      <c r="F41" s="31" t="str">
        <f>IF(B41="","",LOOKUP(B41,'Emission Factors'!$A$43:$A$44,'Emission Factors'!$H$43:$H$44))</f>
        <v/>
      </c>
      <c r="G41" s="31" t="str">
        <f>IF(B41="","",LOOKUP(B41,'Emission Factors'!$A$43:$A$44,'Emission Factors'!$C$43:$C$44))</f>
        <v/>
      </c>
      <c r="H41" s="201" t="str">
        <f>IF(B41="","",LOOKUP(B41,'Emission Factors'!$A$43:$A$44,'Emission Factors'!$I$43:$I$44))</f>
        <v/>
      </c>
      <c r="I41" s="203" t="str">
        <f>IF('Permitted Diesel Engines'!R51=0,"",IF(F41='Emission Factors'!$H$43,D41*F41,'Emission Calculations'!D41*'Emission Calculations'!F41*$F$42))</f>
        <v/>
      </c>
      <c r="J41" s="200"/>
      <c r="K41" s="33" t="str">
        <f>IF(SUM('Limestone Plant (LP-1)'!F12,'Limestone Plant (LP-2)'!F12,'Limestone Plant (LP-3)'!F12,'Limestone Plant (LP-4)'!F12,'Limestone Plant (LP-5)'!F12,'Limestone Plant (LP-6)'!F12,'Limestone Plant (LP-7)'!F12,'Limestone Plant (LP-8)'!F12,'Limestone Plant (LP-9)'!F12,'Limestone Plant (LP-10)'!F12)&gt;0,SUM('Limestone Plant (LP-1)'!F12,'Limestone Plant (LP-2)'!F12,'Limestone Plant (LP-3)'!F12,'Limestone Plant (LP-4)'!F12,'Limestone Plant (LP-5)'!F12,'Limestone Plant (LP-6)'!F12,'Limestone Plant (LP-7)'!F12,'Limestone Plant (LP-8)'!F12,'Limestone Plant (LP-9)'!F12,'Limestone Plant (LP-10)'!F12),"")</f>
        <v/>
      </c>
      <c r="L41" s="33" t="str">
        <f>IF(F41="","",IF(SUM('Limestone Plant (LP-1)'!$G$12,'Limestone Plant (LP-2)'!$G$12,'Limestone Plant (LP-3)'!$G$12,'Limestone Plant (LP-4)'!$G$12,'Limestone Plant (LP-5)'!$G$12,'Limestone Plant (LP-6)'!$G$12,'Limestone Plant (LP-7)'!$G$12,'Limestone Plant (LP-8)'!$G$12,'Limestone Plant (LP-9)'!$G$12,'Limestone Plant (LP-10)'!$G$12)&gt;0,"",'Permitted Diesel Engines'!AE77))</f>
        <v/>
      </c>
      <c r="M41" s="33" t="str">
        <f>IF(B41="","",'Permitted Diesel Engines'!$T51*F41*$F$42/2000)</f>
        <v/>
      </c>
    </row>
    <row r="42" spans="1:15" x14ac:dyDescent="0.25">
      <c r="A42" s="32"/>
      <c r="B42" s="12"/>
      <c r="C42" s="13"/>
      <c r="D42" s="366"/>
      <c r="E42" s="234" t="s">
        <v>74</v>
      </c>
      <c r="F42" s="8">
        <f>IF('Permitted Diesel Engines'!G4&gt;0,'Permitted Diesel Engines'!G4,0.5)</f>
        <v>0.5</v>
      </c>
      <c r="H42" s="207"/>
      <c r="I42" s="208"/>
      <c r="J42" s="206" t="s">
        <v>24</v>
      </c>
      <c r="L42" s="26">
        <f>SUM(L40:L41)</f>
        <v>0</v>
      </c>
      <c r="M42" s="33">
        <f>SUM(M40:M41)</f>
        <v>0</v>
      </c>
    </row>
    <row r="43" spans="1:15" ht="15.75" x14ac:dyDescent="0.25">
      <c r="A43" s="336" t="s">
        <v>22</v>
      </c>
      <c r="B43" s="336"/>
      <c r="C43" s="6"/>
      <c r="D43" s="7"/>
      <c r="E43" s="7"/>
      <c r="F43" s="7"/>
      <c r="G43" s="7"/>
      <c r="H43" s="43"/>
      <c r="I43" s="10"/>
      <c r="J43" s="7"/>
      <c r="K43" s="9"/>
      <c r="L43" s="9"/>
      <c r="M43" s="152"/>
    </row>
    <row r="44" spans="1:15" x14ac:dyDescent="0.25">
      <c r="A44" s="149" t="str">
        <f>IF('Permitted Diesel Engines'!R50=0,"","ALL")</f>
        <v/>
      </c>
      <c r="B44" s="114" t="str">
        <f>IF('Permitted Diesel Engines'!R50=0,"","Diesel Generator ≤ 600 bhp")</f>
        <v/>
      </c>
      <c r="C44" s="31" t="str">
        <f>IF('Permitted Diesel Engines'!R50=0,"",LOOKUP(B44,'Emission Factors'!A43:A44,'Emission Factors'!B43:B44))</f>
        <v/>
      </c>
      <c r="D44" s="31" t="str">
        <f>IF('Permitted Diesel Engines'!R50=0,"",'Permitted Diesel Engines'!R50)</f>
        <v/>
      </c>
      <c r="E44" s="31" t="str">
        <f>IF(B44="","","MMBtu/hr")</f>
        <v/>
      </c>
      <c r="F44" s="31" t="str">
        <f>IF(B44="","",LOOKUP(B44,'Emission Factors'!$A$43:$A$44,'Emission Factors'!$J$43:$J$44))</f>
        <v/>
      </c>
      <c r="G44" s="31" t="str">
        <f>IF(B44="","",LOOKUP(B44,'Emission Factors'!$A$43:$A$44,'Emission Factors'!$C$43:$C$44))</f>
        <v/>
      </c>
      <c r="H44" s="117" t="str">
        <f>IF(B44="","",LOOKUP(B44,'Emission Factors'!$A$43:$A$44,'Emission Factors'!$K$43:$K$44))</f>
        <v/>
      </c>
      <c r="I44" s="33" t="str">
        <f>IF(B44="","",'Emission Calculations'!D44*'Emission Calculations'!F44)</f>
        <v/>
      </c>
      <c r="J44" s="31"/>
      <c r="K44" s="33" t="str">
        <f>IF(SUM('Limestone Plant (LP-1)'!F13,'Limestone Plant (LP-2)'!F13,'Limestone Plant (LP-3)'!F13,'Limestone Plant (LP-4)'!F13,'Limestone Plant (LP-5)'!F13,'Limestone Plant (LP-6)'!F13,'Limestone Plant (LP-7)'!F13,'Limestone Plant (LP-8)'!F13,'Limestone Plant (LP-9)'!F13,'Limestone Plant (LP-10)'!F13)&gt;0,SUM('Limestone Plant (LP-1)'!F13,'Limestone Plant (LP-2)'!F13,'Limestone Plant (LP-3)'!F13,'Limestone Plant (LP-4)'!F13,'Limestone Plant (LP-5)'!F13,'Limestone Plant (LP-6)'!F13,'Limestone Plant (LP-7)'!F13,'Limestone Plant (LP-8)'!F13,'Limestone Plant (LP-9)'!F13,'Limestone Plant (LP-10)'!F13),"")</f>
        <v/>
      </c>
      <c r="L44" s="33" t="str">
        <f>IF(SUM('Limestone Plant (LP-1)'!$G$13,'Limestone Plant (LP-2)'!$G$13,'Limestone Plant (LP-3)'!$G$13,'Limestone Plant (LP-4)'!$G$13,'Limestone Plant (LP-5)'!$G$13,'Limestone Plant (LP-6)'!$G$13,'Limestone Plant (LP-7)'!$G$13,'Limestone Plant (LP-8)'!$G$13,'Limestone Plant (LP-9)'!$G$13,'Limestone Plant (LP-10)'!$G$13)&gt;0,SUM('Limestone Plant (LP-1)'!$G$13,'Limestone Plant (LP-2)'!$G$13,'Limestone Plant (LP-3)'!$G$13,'Limestone Plant (LP-4)'!$G$13,'Limestone Plant (LP-5)'!$G$13,'Limestone Plant (LP-6)'!$G$13,'Limestone Plant (LP-7)'!$G$13,'Limestone Plant (LP-8)'!$G$13,'Limestone Plant (LP-9)'!$G$13,'Limestone Plant (LP-10)'!$G$13&gt;0),IF(F44="","",'Permitted Diesel Engines'!AF77))</f>
        <v/>
      </c>
      <c r="M44" s="33" t="str">
        <f>IF(B44="","",'Permitted Diesel Engines'!$T$50*F44/2000)</f>
        <v/>
      </c>
    </row>
    <row r="45" spans="1:15" x14ac:dyDescent="0.25">
      <c r="A45" s="149" t="str">
        <f>IF('Permitted Diesel Engines'!R51=0,"","ALL")</f>
        <v/>
      </c>
      <c r="B45" s="114" t="str">
        <f>IF('Permitted Diesel Engines'!R51=0,"","Diesel Generator&gt; 600 bhp")</f>
        <v/>
      </c>
      <c r="C45" s="31" t="str">
        <f>IF('Permitted Diesel Engines'!R51=0,"",LOOKUP(B45,'Emission Factors'!A44:A45,'Emission Factors'!B44:B45))</f>
        <v/>
      </c>
      <c r="D45" s="31" t="str">
        <f>IF('Permitted Diesel Engines'!R51=0,"",'Permitted Diesel Engines'!R51)</f>
        <v/>
      </c>
      <c r="E45" s="31" t="str">
        <f>IF(B45="","","MMBtu/hr")</f>
        <v/>
      </c>
      <c r="F45" s="31" t="str">
        <f>IF(B45="","",LOOKUP(B45,'Emission Factors'!$A$43:$A$44,'Emission Factors'!$J$43:$J$44))</f>
        <v/>
      </c>
      <c r="G45" s="31" t="str">
        <f>IF(B45="","",LOOKUP(B45,'Emission Factors'!$A$43:$A$44,'Emission Factors'!$C$43:$C$44))</f>
        <v/>
      </c>
      <c r="H45" s="201" t="str">
        <f>IF(B45="","",LOOKUP(B45,'Emission Factors'!$A$43:$A$44,'Emission Factors'!$K$43:$K$44))</f>
        <v/>
      </c>
      <c r="I45" s="202" t="str">
        <f>IF(B45="","",'Emission Calculations'!D45*'Emission Calculations'!F45)</f>
        <v/>
      </c>
      <c r="J45" s="200"/>
      <c r="K45" s="33" t="str">
        <f>IF(SUM('Limestone Plant (LP-1)'!F13,'Limestone Plant (LP-2)'!F13,'Limestone Plant (LP-3)'!F13,'Limestone Plant (LP-4)'!F13,'Limestone Plant (LP-5)'!F13,'Limestone Plant (LP-6)'!F13,'Limestone Plant (LP-7)'!F13,'Limestone Plant (LP-8)'!F13,'Limestone Plant (LP-9)'!F13,'Limestone Plant (LP-10)'!F13)&gt;0,SUM('Limestone Plant (LP-1)'!F13,'Limestone Plant (LP-2)'!F13,'Limestone Plant (LP-3)'!F13,'Limestone Plant (LP-4)'!F13,'Limestone Plant (LP-5)'!F13,'Limestone Plant (LP-6)'!F13,'Limestone Plant (LP-7)'!F13,'Limestone Plant (LP-8)'!F13,'Limestone Plant (LP-9)'!F13,'Limestone Plant (LP-10)'!F13),"")</f>
        <v/>
      </c>
      <c r="L45" s="33" t="str">
        <f>IF(F45="","",IF(SUM('Limestone Plant (LP-1)'!$G$13,'Limestone Plant (LP-2)'!$G$13,'Limestone Plant (LP-3)'!$G$13,'Limestone Plant (LP-4)'!$G$13,'Limestone Plant (LP-5)'!$G$13,'Limestone Plant (LP-6)'!$G$13,'Limestone Plant (LP-7)'!$G$13,'Limestone Plant (LP-8)'!$G$13,'Limestone Plant (LP-9)'!$G$13,'Limestone Plant (LP-10)'!$G$13)&gt;0,"",'Permitted Diesel Engines'!AG77))</f>
        <v/>
      </c>
      <c r="M45" s="33" t="str">
        <f>IF(B45="","",'Permitted Diesel Engines'!$T$51*F45/2000)</f>
        <v/>
      </c>
    </row>
    <row r="46" spans="1:15" x14ac:dyDescent="0.25">
      <c r="A46" s="32"/>
      <c r="B46" s="12"/>
      <c r="C46" s="13"/>
      <c r="D46" s="13"/>
      <c r="E46" s="13"/>
      <c r="F46" s="13"/>
      <c r="G46" s="13"/>
      <c r="H46" s="207"/>
      <c r="I46" s="208"/>
      <c r="J46" s="206" t="s">
        <v>24</v>
      </c>
      <c r="L46" s="26">
        <f>SUM(L44:L45)</f>
        <v>0</v>
      </c>
      <c r="M46" s="33">
        <f>SUM(M44:M45)</f>
        <v>0</v>
      </c>
    </row>
    <row r="47" spans="1:15" ht="15.75" x14ac:dyDescent="0.25">
      <c r="A47" s="336" t="s">
        <v>5</v>
      </c>
      <c r="B47" s="336"/>
      <c r="C47" s="6"/>
      <c r="D47" s="7"/>
      <c r="E47" s="7"/>
      <c r="F47" s="7"/>
      <c r="G47" s="7"/>
      <c r="H47" s="43"/>
      <c r="I47" s="10"/>
      <c r="J47" s="7"/>
      <c r="K47" s="9"/>
      <c r="L47" s="9"/>
      <c r="M47" s="152"/>
    </row>
    <row r="48" spans="1:15" x14ac:dyDescent="0.25">
      <c r="A48" s="149" t="str">
        <f>IF('Permitted Diesel Engines'!R50=0,"","ALL")</f>
        <v/>
      </c>
      <c r="B48" s="114" t="str">
        <f>IF('Permitted Diesel Engines'!R50=0,"","Diesel Generator ≤ 600 bhp")</f>
        <v/>
      </c>
      <c r="C48" s="31" t="str">
        <f>IF('Permitted Diesel Engines'!R50=0,"",LOOKUP(B48,'Emission Factors'!A43:A44,'Emission Factors'!B43:B44))</f>
        <v/>
      </c>
      <c r="D48" s="31" t="str">
        <f>IF('Permitted Diesel Engines'!R50=0,"",'Permitted Diesel Engines'!R50)</f>
        <v/>
      </c>
      <c r="E48" s="31" t="str">
        <f>IF(B48="","","MMBtu/hr")</f>
        <v/>
      </c>
      <c r="F48" s="31" t="str">
        <f>IF(B48="","",LOOKUP(B48,'Emission Factors'!$A$43:$A$44,'Emission Factors'!$L$43:$L$44))</f>
        <v/>
      </c>
      <c r="G48" s="31" t="str">
        <f>IF(B48="","",LOOKUP(B48,'Emission Factors'!$A$43:$A$44,'Emission Factors'!$C$43:$C$44))</f>
        <v/>
      </c>
      <c r="H48" s="117" t="str">
        <f>IF(B48="","",LOOKUP(B48,'Emission Factors'!$A$43:$A$44,'Emission Factors'!$M$43:$M$44))</f>
        <v/>
      </c>
      <c r="I48" s="33" t="str">
        <f>IF(B48="","",'Emission Calculations'!D48*'Emission Calculations'!F48)</f>
        <v/>
      </c>
      <c r="J48" s="31"/>
      <c r="K48" s="33" t="str">
        <f>IF(SUM('Limestone Plant (LP-1)'!F14,'Limestone Plant (LP-2)'!F14,'Limestone Plant (LP-3)'!F14,'Limestone Plant (LP-4)'!F14,'Limestone Plant (LP-5)'!F14,'Limestone Plant (LP-6)'!F14,'Limestone Plant (LP-7)'!F14,'Limestone Plant (LP-8)'!F14,'Limestone Plant (LP-9)'!F14,'Limestone Plant (LP-10)'!F14)&gt;0,SUM('Limestone Plant (LP-1)'!F14,'Limestone Plant (LP-2)'!F14,'Limestone Plant (LP-3)'!F14,'Limestone Plant (LP-4)'!F14,'Limestone Plant (LP-5)'!F14,'Limestone Plant (LP-6)'!F14,'Limestone Plant (LP-7)'!F14,'Limestone Plant (LP-8)'!F14,'Limestone Plant (LP-9)'!F14,'Limestone Plant (LP-10)'!F14),"")</f>
        <v/>
      </c>
      <c r="L48" s="33" t="str">
        <f>IF(SUM('Limestone Plant (LP-1)'!$G$14,'Limestone Plant (LP-2)'!$G$14,'Limestone Plant (LP-3)'!$G$14,'Limestone Plant (LP-4)'!$G$13,'Limestone Plant (LP-5)'!$G$14,'Limestone Plant (LP-6)'!$G$14,'Limestone Plant (LP-7)'!$G$14,'Limestone Plant (LP-8)'!$G$14,'Limestone Plant (LP-9)'!$G$14,'Limestone Plant (LP-10)'!$G$14)&gt;0,SUM('Limestone Plant (LP-1)'!$G$14,'Limestone Plant (LP-2)'!$G$14,'Limestone Plant (LP-3)'!$G$14,'Limestone Plant (LP-4)'!$G$14,'Limestone Plant (LP-5)'!$G$14,'Limestone Plant (LP-6)'!$G$14,'Limestone Plant (LP-7)'!$G$14,'Limestone Plant (LP-8)'!$G$14,'Limestone Plant (LP-9)'!$G$14,'Limestone Plant (LP-10)'!$G$14&gt;0),IF(F48="","",'Permitted Diesel Engines'!AH77))</f>
        <v/>
      </c>
      <c r="M48" s="33" t="str">
        <f>IF(B48="","",'Permitted Diesel Engines'!$T$50*F48/2000)</f>
        <v/>
      </c>
    </row>
    <row r="49" spans="1:13" x14ac:dyDescent="0.25">
      <c r="A49" s="149" t="str">
        <f>IF('Permitted Diesel Engines'!R51=0,"","ALL")</f>
        <v/>
      </c>
      <c r="B49" s="114" t="str">
        <f>IF('Permitted Diesel Engines'!R51=0,"","Diesel Generator&gt; 600 bhp")</f>
        <v/>
      </c>
      <c r="C49" s="31" t="str">
        <f>IF('Permitted Diesel Engines'!R51=0,"",LOOKUP(B49,'Emission Factors'!A44:A45,'Emission Factors'!B44:B45))</f>
        <v/>
      </c>
      <c r="D49" s="31" t="str">
        <f>IF('Permitted Diesel Engines'!R51=0,"",'Permitted Diesel Engines'!R51)</f>
        <v/>
      </c>
      <c r="E49" s="31" t="str">
        <f>IF(B49="","","MMBtu/hr")</f>
        <v/>
      </c>
      <c r="F49" s="31" t="str">
        <f>IF(B49="","",LOOKUP(B49,'Emission Factors'!$A$43:$A$44,'Emission Factors'!$L$43:$L$44))</f>
        <v/>
      </c>
      <c r="G49" s="31" t="str">
        <f>IF(B49="","",LOOKUP(B49,'Emission Factors'!$A$43:$A$44,'Emission Factors'!$C$43:$C$44))</f>
        <v/>
      </c>
      <c r="H49" s="201" t="str">
        <f>IF(B49="","",LOOKUP(B49,'Emission Factors'!$A$43:$A$44,'Emission Factors'!$M$43:$M$44))</f>
        <v/>
      </c>
      <c r="I49" s="202" t="str">
        <f>IF(B49="","",'Emission Calculations'!D49*'Emission Calculations'!F49)</f>
        <v/>
      </c>
      <c r="J49" s="200"/>
      <c r="K49" s="33" t="str">
        <f>IF(SUM('Limestone Plant (LP-1)'!F14,'Limestone Plant (LP-2)'!F14,'Limestone Plant (LP-3)'!F14,'Limestone Plant (LP-4)'!F14,'Limestone Plant (LP-5)'!F14,'Limestone Plant (LP-6)'!F14,'Limestone Plant (LP-7)'!F14,'Limestone Plant (LP-8)'!F14,'Limestone Plant (LP-9)'!F14,'Limestone Plant (LP-10)'!F14)&gt;0,SUM('Limestone Plant (LP-1)'!F14,'Limestone Plant (LP-2)'!F14,'Limestone Plant (LP-3)'!F14,'Limestone Plant (LP-4)'!F14,'Limestone Plant (LP-5)'!F14,'Limestone Plant (LP-6)'!F14,'Limestone Plant (LP-7)'!F14,'Limestone Plant (LP-8)'!F14,'Limestone Plant (LP-9)'!F14,'Limestone Plant (LP-10)'!F14),"")</f>
        <v/>
      </c>
      <c r="L49" s="33" t="str">
        <f>IF(F49="","",IF(SUM('Limestone Plant (LP-1)'!$G$14,'Limestone Plant (LP-2)'!$G$14,'Limestone Plant (LP-3)'!$G$14,'Limestone Plant (LP-4)'!$G$13,'Limestone Plant (LP-5)'!$G$14,'Limestone Plant (LP-6)'!$G$14,'Limestone Plant (LP-7)'!$G$14,'Limestone Plant (LP-8)'!$G$14,'Limestone Plant (LP-9)'!$G$14,'Limestone Plant (LP-10)'!$G$14)&gt;0,"",'Permitted Diesel Engines'!AI77))</f>
        <v/>
      </c>
      <c r="M49" s="33" t="str">
        <f>IF(B49="","",'Permitted Diesel Engines'!$T$51*F49/2000)</f>
        <v/>
      </c>
    </row>
    <row r="50" spans="1:13" x14ac:dyDescent="0.25">
      <c r="A50" s="32"/>
      <c r="B50" s="12"/>
      <c r="C50" s="13"/>
      <c r="D50" s="13"/>
      <c r="E50" s="13"/>
      <c r="F50" s="13"/>
      <c r="G50" s="13"/>
      <c r="H50" s="207"/>
      <c r="I50" s="208"/>
      <c r="J50" s="206" t="s">
        <v>24</v>
      </c>
      <c r="L50" s="26">
        <f>SUM(L48:L49)</f>
        <v>0</v>
      </c>
      <c r="M50" s="33">
        <f>SUM(M48:M49)</f>
        <v>0</v>
      </c>
    </row>
    <row r="51" spans="1:13" ht="15.75" x14ac:dyDescent="0.25">
      <c r="A51" s="336" t="s">
        <v>6</v>
      </c>
      <c r="B51" s="336"/>
      <c r="C51" s="6"/>
      <c r="D51" s="7"/>
      <c r="E51" s="7"/>
      <c r="F51" s="7"/>
      <c r="G51" s="7"/>
      <c r="H51" s="43"/>
      <c r="I51" s="10"/>
      <c r="J51" s="7"/>
      <c r="K51" s="9"/>
      <c r="L51" s="9"/>
      <c r="M51" s="152"/>
    </row>
    <row r="52" spans="1:13" x14ac:dyDescent="0.25">
      <c r="A52" s="149" t="str">
        <f>IF('Permitted Diesel Engines'!R50=0,"","ALL")</f>
        <v/>
      </c>
      <c r="B52" s="114" t="str">
        <f>IF('Permitted Diesel Engines'!R50=0,"","Diesel Generator ≤ 600 bhp")</f>
        <v/>
      </c>
      <c r="C52" s="31" t="str">
        <f>IF('Permitted Diesel Engines'!R50=0,"",LOOKUP(B52,'Emission Factors'!A43:A44,'Emission Factors'!B43:B44))</f>
        <v/>
      </c>
      <c r="D52" s="31" t="str">
        <f>IF('Permitted Diesel Engines'!R50=0,"",'Permitted Diesel Engines'!R50)</f>
        <v/>
      </c>
      <c r="E52" s="31" t="str">
        <f>IF(B52="","","MMBtu/hr")</f>
        <v/>
      </c>
      <c r="F52" s="31" t="str">
        <f>IF(B52="","",LOOKUP(B52,'Emission Factors'!$A$43:$A$44,'Emission Factors'!$N$43:$N$44))</f>
        <v/>
      </c>
      <c r="G52" s="31" t="str">
        <f>IF(B52="","",LOOKUP(B52,'Emission Factors'!$A$43:$A$44,'Emission Factors'!$C$43:$C$44))</f>
        <v/>
      </c>
      <c r="H52" s="117" t="str">
        <f>IF(B52="","",LOOKUP(B52,'Emission Factors'!$A$43:$A$44,'Emission Factors'!$O$43:$O$44))</f>
        <v/>
      </c>
      <c r="I52" s="33" t="str">
        <f>IF(B52="","",'Emission Calculations'!D52*'Emission Calculations'!F52)</f>
        <v/>
      </c>
      <c r="J52" s="31"/>
      <c r="K52" s="33" t="str">
        <f>IF(SUM('Limestone Plant (LP-1)'!F15,'Limestone Plant (LP-2)'!F15,'Limestone Plant (LP-3)'!F15,'Limestone Plant (LP-4)'!F15,'Limestone Plant (LP-5)'!F15,'Limestone Plant (LP-6)'!F15,'Limestone Plant (LP-7)'!F15,'Limestone Plant (LP-8)'!F15,'Limestone Plant (LP-9)'!F15,'Limestone Plant (LP-10)'!F15)&gt;0,SUM('Limestone Plant (LP-1)'!F15,'Limestone Plant (LP-2)'!F15,'Limestone Plant (LP-3)'!F15,'Limestone Plant (LP-4)'!F15,'Limestone Plant (LP-5)'!F15,'Limestone Plant (LP-6)'!F15,'Limestone Plant (LP-7)'!F15,'Limestone Plant (LP-8)'!F15,'Limestone Plant (LP-9)'!F15,'Limestone Plant (LP-10)'!F15),"")</f>
        <v/>
      </c>
      <c r="L52" s="33" t="str">
        <f>IF(SUM('Limestone Plant (LP-1)'!$G$15,'Limestone Plant (LP-2)'!$G$15,'Limestone Plant (LP-3)'!$G$15,'Limestone Plant (LP-4)'!$G$15,'Limestone Plant (LP-5)'!$G$15,'Limestone Plant (LP-6)'!$G$15,'Limestone Plant (LP-7)'!$G$15,'Limestone Plant (LP-8)'!$G$15,'Limestone Plant (LP-9)'!$G$15,'Limestone Plant (LP-10)'!$G$15)&gt;0,SUM('Limestone Plant (LP-1)'!$G$15,'Limestone Plant (LP-2)'!$G$15,'Limestone Plant (LP-3)'!$G$15,'Limestone Plant (LP-4)'!$G$15,'Limestone Plant (LP-5)'!$G$15,'Limestone Plant (LP-6)'!$G$15,'Limestone Plant (LP-7)'!$G$15,'Limestone Plant (LP-8)'!$G$15,'Limestone Plant (LP-9)'!$G$15,'Limestone Plant (LP-10)'!$G$15&gt;0),IF(F52="","",'Permitted Diesel Engines'!AJ77))</f>
        <v/>
      </c>
      <c r="M52" s="33" t="str">
        <f>IF(B52="","",'Permitted Diesel Engines'!$T$50*F52/2000)</f>
        <v/>
      </c>
    </row>
    <row r="53" spans="1:13" x14ac:dyDescent="0.25">
      <c r="A53" s="149" t="str">
        <f>IF('Permitted Diesel Engines'!R51=0,"","ALL")</f>
        <v/>
      </c>
      <c r="B53" s="114" t="str">
        <f>IF('Permitted Diesel Engines'!R51=0,"","Diesel Generator&gt; 600 bhp")</f>
        <v/>
      </c>
      <c r="C53" s="31" t="str">
        <f>IF('Permitted Diesel Engines'!R51=0,"",LOOKUP(B53,'Emission Factors'!A44:A45,'Emission Factors'!B44:B45))</f>
        <v/>
      </c>
      <c r="D53" s="31" t="str">
        <f>IF('Permitted Diesel Engines'!R51=0,"",'Permitted Diesel Engines'!R51)</f>
        <v/>
      </c>
      <c r="E53" s="31" t="str">
        <f>IF(B53="","","MMBtu/hr")</f>
        <v/>
      </c>
      <c r="F53" s="31" t="str">
        <f>IF(B53="","",LOOKUP(B53,'Emission Factors'!$A$43:$A$44,'Emission Factors'!$N$43:$N$44))</f>
        <v/>
      </c>
      <c r="G53" s="31" t="str">
        <f>IF(B53="","",LOOKUP(B53,'Emission Factors'!$A$43:$A$44,'Emission Factors'!$C$43:$C$44))</f>
        <v/>
      </c>
      <c r="H53" s="201" t="str">
        <f>IF(B53="","",LOOKUP(B53,'Emission Factors'!$A$43:$A$44,'Emission Factors'!$O$43:$O$44))</f>
        <v/>
      </c>
      <c r="I53" s="202" t="str">
        <f>IF(B53="","",'Emission Calculations'!D53*'Emission Calculations'!F53)</f>
        <v/>
      </c>
      <c r="J53" s="200"/>
      <c r="K53" s="33" t="str">
        <f>IF(SUM('Limestone Plant (LP-1)'!F15,'Limestone Plant (LP-2)'!F15,'Limestone Plant (LP-3)'!F15,'Limestone Plant (LP-4)'!F15,'Limestone Plant (LP-5)'!F15,'Limestone Plant (LP-6)'!F15,'Limestone Plant (LP-7)'!F15,'Limestone Plant (LP-8)'!F15,'Limestone Plant (LP-9)'!F15,'Limestone Plant (LP-10)'!F15)&gt;0,SUM('Limestone Plant (LP-1)'!F15,'Limestone Plant (LP-2)'!F15,'Limestone Plant (LP-3)'!F15,'Limestone Plant (LP-4)'!F15,'Limestone Plant (LP-5)'!F15,'Limestone Plant (LP-6)'!F15,'Limestone Plant (LP-7)'!F15,'Limestone Plant (LP-8)'!F15,'Limestone Plant (LP-9)'!F15,'Limestone Plant (LP-10)'!F15),"")</f>
        <v/>
      </c>
      <c r="L53" s="33" t="str">
        <f>IF(F53="","",IF(SUM('Limestone Plant (LP-1)'!$G$15,'Limestone Plant (LP-2)'!$G$15,'Limestone Plant (LP-3)'!$G$15,'Limestone Plant (LP-4)'!$G$15,'Limestone Plant (LP-5)'!$G$15,'Limestone Plant (LP-6)'!$G$15,'Limestone Plant (LP-7)'!$G$15,'Limestone Plant (LP-8)'!$G$15,'Limestone Plant (LP-9)'!$G$15,'Limestone Plant (LP-10)'!$G$15)&gt;0,"",'Permitted Diesel Engines'!AK77))</f>
        <v/>
      </c>
      <c r="M53" s="33" t="str">
        <f>IF(B53="","",'Permitted Diesel Engines'!$T$51*F53/2000)</f>
        <v/>
      </c>
    </row>
    <row r="54" spans="1:13" x14ac:dyDescent="0.25">
      <c r="A54" s="32"/>
      <c r="B54" s="12"/>
      <c r="C54" s="13"/>
      <c r="D54" s="13"/>
      <c r="E54" s="13"/>
      <c r="F54" s="13"/>
      <c r="G54" s="13"/>
      <c r="H54" s="207"/>
      <c r="I54" s="208"/>
      <c r="J54" s="206" t="s">
        <v>24</v>
      </c>
      <c r="L54" s="26">
        <f>SUM(L52:L53)</f>
        <v>0</v>
      </c>
      <c r="M54" s="33">
        <f>SUM(M52:M53)</f>
        <v>0</v>
      </c>
    </row>
    <row r="55" spans="1:13" ht="15.75" x14ac:dyDescent="0.25">
      <c r="A55" s="336" t="s">
        <v>8</v>
      </c>
      <c r="B55" s="336"/>
      <c r="C55" s="6"/>
      <c r="D55" s="7"/>
      <c r="E55" s="7"/>
      <c r="F55" s="7"/>
      <c r="G55" s="7"/>
      <c r="H55" s="43"/>
      <c r="I55" s="10"/>
      <c r="J55" s="7"/>
      <c r="K55" s="9"/>
      <c r="L55" s="9"/>
      <c r="M55" s="152"/>
    </row>
    <row r="56" spans="1:13" x14ac:dyDescent="0.25">
      <c r="A56" s="149" t="str">
        <f>IF('Permitted Diesel Engines'!R50=0,"","ALL")</f>
        <v/>
      </c>
      <c r="B56" s="114" t="str">
        <f>IF('Permitted Diesel Engines'!R50=0,"","Diesel Generator ≤ 600 bhp")</f>
        <v/>
      </c>
      <c r="C56" s="31" t="str">
        <f>IF('Permitted Diesel Engines'!R50=0,"",LOOKUP(B56,'Emission Factors'!A43:A44,'Emission Factors'!B43:B44))</f>
        <v/>
      </c>
      <c r="D56" s="31" t="str">
        <f>IF('Permitted Diesel Engines'!R50=0,"",'Permitted Diesel Engines'!R50)</f>
        <v/>
      </c>
      <c r="E56" s="31" t="str">
        <f>IF(B56="","","MMBtu/hr")</f>
        <v/>
      </c>
      <c r="F56" s="31" t="str">
        <f>IF(B56="","",LOOKUP(B56,'Emission Factors'!$A$43:$A$44,'Emission Factors'!$P$43:$P$44))</f>
        <v/>
      </c>
      <c r="G56" s="31" t="str">
        <f>IF(B56="","",LOOKUP(B56,'Emission Factors'!$A$43:$A$44,'Emission Factors'!$C$43:$C$44))</f>
        <v/>
      </c>
      <c r="H56" s="117" t="str">
        <f>IF(B56="","",LOOKUP(B56,'Emission Factors'!$A$43:$A$44,'Emission Factors'!$Q$43:$Q$44))</f>
        <v/>
      </c>
      <c r="I56" s="33" t="str">
        <f>IF(B56="","",'Emission Calculations'!D56*'Emission Calculations'!F56)</f>
        <v/>
      </c>
      <c r="J56" s="31"/>
      <c r="K56" s="33"/>
      <c r="L56" s="33" t="str">
        <f>IF(F56="","",'Permitted Diesel Engines'!AL77)</f>
        <v/>
      </c>
      <c r="M56" s="33" t="str">
        <f>IF(B56="","",'Permitted Diesel Engines'!$T$50*F56/2000)</f>
        <v/>
      </c>
    </row>
    <row r="57" spans="1:13" x14ac:dyDescent="0.25">
      <c r="A57" s="149" t="str">
        <f>IF('Permitted Diesel Engines'!R51=0,"","ALL")</f>
        <v/>
      </c>
      <c r="B57" s="114" t="str">
        <f>IF('Permitted Diesel Engines'!R51=0,"","Diesel Generator&gt; 600 bhp")</f>
        <v/>
      </c>
      <c r="C57" s="31" t="str">
        <f>IF('Permitted Diesel Engines'!R51=0,"",LOOKUP(B57,'Emission Factors'!A44:A45,'Emission Factors'!B44:B45))</f>
        <v/>
      </c>
      <c r="D57" s="31" t="str">
        <f>IF('Permitted Diesel Engines'!R51=0,"",'Permitted Diesel Engines'!R51)</f>
        <v/>
      </c>
      <c r="E57" s="31" t="str">
        <f>IF(B57="","","MMBtu/hr")</f>
        <v/>
      </c>
      <c r="F57" s="31" t="str">
        <f>IF(B57="","",LOOKUP(B57,'Emission Factors'!$A$43:$A$44,'Emission Factors'!$P$43:$P$44))</f>
        <v/>
      </c>
      <c r="G57" s="31" t="str">
        <f>IF(B57="","",LOOKUP(B57,'Emission Factors'!$A$43:$A$44,'Emission Factors'!$C$43:$C$44))</f>
        <v/>
      </c>
      <c r="H57" s="201" t="str">
        <f>IF(B57="","",LOOKUP(B57,'Emission Factors'!$A$43:$A$44,'Emission Factors'!$Q$43:$Q$44))</f>
        <v/>
      </c>
      <c r="I57" s="202" t="str">
        <f>IF(B57="","",'Emission Calculations'!D57*'Emission Calculations'!F57)</f>
        <v/>
      </c>
      <c r="J57" s="200"/>
      <c r="K57" s="33"/>
      <c r="L57" s="33" t="str">
        <f>IF(F57="","",'Permitted Diesel Engines'!AM77)</f>
        <v/>
      </c>
      <c r="M57" s="33" t="str">
        <f>IF(B57="","",'Permitted Diesel Engines'!$T$51*F57/2000)</f>
        <v/>
      </c>
    </row>
    <row r="58" spans="1:13" x14ac:dyDescent="0.25">
      <c r="A58" s="32"/>
      <c r="B58" s="12"/>
      <c r="C58" s="13"/>
      <c r="D58" s="13"/>
      <c r="E58" s="13"/>
      <c r="F58" s="13"/>
      <c r="G58" s="13"/>
      <c r="H58" s="207"/>
      <c r="I58" s="208"/>
      <c r="J58" s="206" t="s">
        <v>24</v>
      </c>
      <c r="L58" s="26">
        <f>SUM(L56:L57)</f>
        <v>0</v>
      </c>
      <c r="M58" s="33">
        <f>SUM(M56:M57)</f>
        <v>0</v>
      </c>
    </row>
    <row r="59" spans="1:13" ht="15.75" x14ac:dyDescent="0.25">
      <c r="A59" s="336" t="s">
        <v>60</v>
      </c>
      <c r="B59" s="336"/>
      <c r="C59" s="6"/>
      <c r="D59" s="7"/>
      <c r="E59" s="7"/>
      <c r="F59" s="7"/>
      <c r="G59" s="7"/>
      <c r="H59" s="43"/>
      <c r="I59" s="10"/>
      <c r="J59" s="7"/>
      <c r="K59" s="9"/>
      <c r="L59" s="9"/>
      <c r="M59" s="152"/>
    </row>
    <row r="60" spans="1:13" x14ac:dyDescent="0.25">
      <c r="A60" s="149" t="str">
        <f>IF('Permitted Diesel Engines'!R50=0,"","ALL")</f>
        <v/>
      </c>
      <c r="B60" s="114" t="str">
        <f>IF('Permitted Diesel Engines'!R50=0,"","Diesel Generator ≤ 600 bhp")</f>
        <v/>
      </c>
      <c r="C60" s="31" t="str">
        <f>IF('Permitted Diesel Engines'!R50=0,"",LOOKUP(B60,'Emission Factors'!A43:A44,'Emission Factors'!B43:B44))</f>
        <v/>
      </c>
      <c r="D60" s="31" t="str">
        <f>IF('Permitted Diesel Engines'!R50=0,"",'Permitted Diesel Engines'!R50)</f>
        <v/>
      </c>
      <c r="E60" s="31" t="str">
        <f>IF(B60="","","MMBtu/hr")</f>
        <v/>
      </c>
      <c r="F60" s="31" t="str">
        <f>IF(B60="","",LOOKUP(B60,'Emission Factors'!$A$43:$A$44,'Emission Factors'!$R$43:$R$44))</f>
        <v/>
      </c>
      <c r="G60" s="31" t="str">
        <f>IF(B60="","",LOOKUP(B60,'Emission Factors'!$A$43:$A$44,'Emission Factors'!$C$43:$C$44))</f>
        <v/>
      </c>
      <c r="H60" s="117" t="str">
        <f>IF(B60="","",LOOKUP(B60,'Emission Factors'!$A$43:$A$44,'Emission Factors'!$S$43:$S$44))</f>
        <v/>
      </c>
      <c r="I60" s="33" t="str">
        <f>IF(B60="","",'Emission Calculations'!D60*'Emission Calculations'!F60)</f>
        <v/>
      </c>
      <c r="J60" s="31"/>
      <c r="K60" s="33"/>
      <c r="L60" s="33" t="str">
        <f>IF(F60="","",'Permitted Diesel Engines'!AN77)</f>
        <v/>
      </c>
      <c r="M60" s="33" t="str">
        <f>IF(B60="","",'Permitted Diesel Engines'!$T$50*F60/2000)</f>
        <v/>
      </c>
    </row>
    <row r="61" spans="1:13" x14ac:dyDescent="0.25">
      <c r="A61" s="149" t="str">
        <f>IF('Permitted Diesel Engines'!R51=0,"","ALL")</f>
        <v/>
      </c>
      <c r="B61" s="114" t="str">
        <f>IF('Permitted Diesel Engines'!R51=0,"","Diesel Generator&gt; 600 bhp")</f>
        <v/>
      </c>
      <c r="C61" s="31" t="str">
        <f>IF('Permitted Diesel Engines'!R51=0,"",LOOKUP(B61,'Emission Factors'!A44:A45,'Emission Factors'!B44:B45))</f>
        <v/>
      </c>
      <c r="D61" s="31" t="str">
        <f>IF('Permitted Diesel Engines'!R51=0,"",'Permitted Diesel Engines'!R51)</f>
        <v/>
      </c>
      <c r="E61" s="31" t="str">
        <f>IF(B61="","","MMBtu/hr")</f>
        <v/>
      </c>
      <c r="F61" s="31" t="str">
        <f>IF(B61="","",LOOKUP(B61,'Emission Factors'!$A$43:$A$44,'Emission Factors'!$R$43:$R$44))</f>
        <v/>
      </c>
      <c r="G61" s="31" t="str">
        <f>IF(B61="","",LOOKUP(B61,'Emission Factors'!$A$43:$A$44,'Emission Factors'!$C$43:$C$44))</f>
        <v/>
      </c>
      <c r="H61" s="201" t="str">
        <f>IF(B61="","",LOOKUP(B61,'Emission Factors'!$A$43:$A$44,'Emission Factors'!$S$43:$S$44))</f>
        <v/>
      </c>
      <c r="I61" s="202" t="str">
        <f>IF(B61="","",'Emission Calculations'!D61*'Emission Calculations'!F61)</f>
        <v/>
      </c>
      <c r="J61" s="200"/>
      <c r="K61" s="33"/>
      <c r="L61" s="33" t="str">
        <f>IF(F61="","",'Permitted Diesel Engines'!AO77)</f>
        <v/>
      </c>
      <c r="M61" s="33" t="str">
        <f>IF(B61="","",'Permitted Diesel Engines'!$T$51*F61/2000)</f>
        <v/>
      </c>
    </row>
    <row r="62" spans="1:13" x14ac:dyDescent="0.25">
      <c r="D62" s="129"/>
      <c r="E62" s="129"/>
      <c r="G62" s="129"/>
      <c r="H62" s="204"/>
      <c r="I62" s="205"/>
      <c r="J62" s="206" t="s">
        <v>24</v>
      </c>
      <c r="L62" s="26">
        <f>SUM(L60:L61)</f>
        <v>0</v>
      </c>
      <c r="M62" s="33">
        <f>SUM(M60:M61)</f>
        <v>0</v>
      </c>
    </row>
    <row r="63" spans="1:13" x14ac:dyDescent="0.25">
      <c r="D63" s="129"/>
      <c r="E63" s="129"/>
      <c r="G63" s="129"/>
      <c r="H63" s="129"/>
      <c r="I63" s="129"/>
      <c r="J63" s="129"/>
      <c r="K63" s="129"/>
      <c r="L63" s="129"/>
      <c r="M63" s="118"/>
    </row>
    <row r="64" spans="1:13" x14ac:dyDescent="0.25">
      <c r="D64" s="129"/>
      <c r="E64" s="129"/>
      <c r="G64" s="129"/>
      <c r="H64" s="129"/>
      <c r="I64" s="129"/>
      <c r="J64" s="129"/>
      <c r="K64" s="129"/>
      <c r="L64" s="129"/>
      <c r="M64" s="118"/>
    </row>
    <row r="65" spans="4:13" x14ac:dyDescent="0.25">
      <c r="D65" s="129"/>
      <c r="E65" s="129"/>
      <c r="G65" s="129"/>
      <c r="H65" s="129"/>
      <c r="I65" s="129"/>
      <c r="J65" s="129"/>
      <c r="K65" s="129"/>
      <c r="L65" s="129"/>
      <c r="M65" s="118"/>
    </row>
    <row r="66" spans="4:13" x14ac:dyDescent="0.25">
      <c r="D66" s="129"/>
      <c r="E66" s="129"/>
      <c r="G66" s="129"/>
      <c r="H66" s="129"/>
      <c r="I66" s="129"/>
      <c r="J66" s="129"/>
      <c r="K66" s="129"/>
      <c r="L66" s="129"/>
      <c r="M66" s="118"/>
    </row>
    <row r="67" spans="4:13" x14ac:dyDescent="0.25">
      <c r="D67" s="129"/>
      <c r="E67" s="129"/>
      <c r="G67" s="129"/>
      <c r="H67" s="129"/>
      <c r="I67" s="129"/>
      <c r="J67" s="129"/>
      <c r="K67" s="129"/>
      <c r="L67" s="129"/>
      <c r="M67" s="118"/>
    </row>
    <row r="68" spans="4:13" x14ac:dyDescent="0.25">
      <c r="D68" s="129"/>
      <c r="E68" s="129"/>
      <c r="G68" s="129"/>
      <c r="H68" s="129"/>
      <c r="I68" s="129"/>
      <c r="J68" s="129"/>
      <c r="K68" s="129"/>
      <c r="L68" s="129"/>
      <c r="M68" s="118"/>
    </row>
    <row r="69" spans="4:13" x14ac:dyDescent="0.25">
      <c r="D69" s="129"/>
      <c r="E69" s="129"/>
      <c r="G69" s="129"/>
      <c r="H69" s="129"/>
      <c r="I69" s="129"/>
      <c r="J69" s="129"/>
      <c r="K69" s="129"/>
      <c r="L69" s="129"/>
      <c r="M69" s="118"/>
    </row>
    <row r="70" spans="4:13" x14ac:dyDescent="0.25">
      <c r="D70" s="129"/>
      <c r="E70" s="129"/>
      <c r="G70" s="129"/>
      <c r="H70" s="129"/>
      <c r="I70" s="129"/>
      <c r="J70" s="129"/>
      <c r="K70" s="129"/>
      <c r="L70" s="129"/>
      <c r="M70" s="118"/>
    </row>
    <row r="71" spans="4:13" x14ac:dyDescent="0.25">
      <c r="D71" s="129"/>
      <c r="E71" s="129"/>
      <c r="G71" s="129"/>
      <c r="H71" s="129"/>
      <c r="I71" s="129"/>
      <c r="J71" s="129"/>
      <c r="K71" s="129"/>
      <c r="L71" s="129"/>
    </row>
    <row r="72" spans="4:13" x14ac:dyDescent="0.25">
      <c r="D72" s="129"/>
      <c r="E72" s="129"/>
      <c r="G72" s="129"/>
      <c r="H72" s="129"/>
      <c r="I72" s="129"/>
      <c r="J72" s="129"/>
      <c r="K72" s="129"/>
      <c r="L72" s="129"/>
    </row>
    <row r="73" spans="4:13" x14ac:dyDescent="0.25">
      <c r="D73" s="129"/>
      <c r="E73" s="129"/>
      <c r="G73" s="129"/>
      <c r="H73" s="129"/>
      <c r="I73" s="129"/>
      <c r="J73" s="129"/>
      <c r="K73" s="129"/>
      <c r="L73" s="129"/>
    </row>
    <row r="74" spans="4:13" x14ac:dyDescent="0.25">
      <c r="D74" s="129"/>
      <c r="E74" s="129"/>
      <c r="G74" s="129"/>
      <c r="H74" s="129"/>
      <c r="I74" s="129"/>
      <c r="J74" s="129"/>
      <c r="K74" s="129"/>
      <c r="L74" s="129"/>
    </row>
    <row r="75" spans="4:13" x14ac:dyDescent="0.25">
      <c r="D75" s="129"/>
      <c r="E75" s="129"/>
    </row>
    <row r="76" spans="4:13" x14ac:dyDescent="0.25">
      <c r="D76" s="129"/>
      <c r="E76" s="129"/>
    </row>
    <row r="77" spans="4:13" x14ac:dyDescent="0.25">
      <c r="D77" s="129"/>
      <c r="E77" s="129"/>
    </row>
    <row r="78" spans="4:13" x14ac:dyDescent="0.25">
      <c r="D78" s="129"/>
      <c r="E78" s="129"/>
    </row>
    <row r="79" spans="4:13" x14ac:dyDescent="0.25">
      <c r="D79" s="129"/>
      <c r="E79" s="129"/>
    </row>
    <row r="80" spans="4:13" x14ac:dyDescent="0.25">
      <c r="D80" s="129"/>
      <c r="E80" s="129"/>
    </row>
    <row r="81" spans="4:5" x14ac:dyDescent="0.25">
      <c r="D81" s="129"/>
      <c r="E81" s="129"/>
    </row>
    <row r="82" spans="4:5" x14ac:dyDescent="0.25">
      <c r="D82" s="129"/>
      <c r="E82" s="129"/>
    </row>
    <row r="83" spans="4:5" x14ac:dyDescent="0.25">
      <c r="D83" s="129"/>
      <c r="E83" s="129"/>
    </row>
    <row r="84" spans="4:5" x14ac:dyDescent="0.25">
      <c r="D84" s="129"/>
      <c r="E84" s="129"/>
    </row>
    <row r="85" spans="4:5" x14ac:dyDescent="0.25">
      <c r="D85" s="129"/>
      <c r="E85" s="129"/>
    </row>
    <row r="86" spans="4:5" x14ac:dyDescent="0.25">
      <c r="D86" s="129"/>
      <c r="E86" s="129"/>
    </row>
    <row r="87" spans="4:5" x14ac:dyDescent="0.25">
      <c r="D87" s="129"/>
      <c r="E87" s="129"/>
    </row>
    <row r="88" spans="4:5" x14ac:dyDescent="0.25">
      <c r="D88" s="129"/>
      <c r="E88" s="129"/>
    </row>
    <row r="89" spans="4:5" x14ac:dyDescent="0.25">
      <c r="D89" s="129"/>
      <c r="E89" s="129"/>
    </row>
    <row r="90" spans="4:5" x14ac:dyDescent="0.25">
      <c r="D90" s="129"/>
      <c r="E90" s="129"/>
    </row>
    <row r="91" spans="4:5" x14ac:dyDescent="0.25">
      <c r="D91" s="129"/>
      <c r="E91" s="129"/>
    </row>
    <row r="92" spans="4:5" x14ac:dyDescent="0.25">
      <c r="D92" s="129"/>
      <c r="E92" s="129"/>
    </row>
    <row r="93" spans="4:5" x14ac:dyDescent="0.25">
      <c r="D93" s="129"/>
      <c r="E93" s="129"/>
    </row>
    <row r="94" spans="4:5" x14ac:dyDescent="0.25">
      <c r="D94" s="129"/>
      <c r="E94" s="129"/>
    </row>
    <row r="95" spans="4:5" x14ac:dyDescent="0.25">
      <c r="D95" s="129"/>
      <c r="E95" s="129"/>
    </row>
    <row r="96" spans="4:5" x14ac:dyDescent="0.25">
      <c r="D96" s="129"/>
      <c r="E96" s="129"/>
    </row>
  </sheetData>
  <sheetProtection algorithmName="SHA-512" hashValue="yN5LrQvIlx3uSLbTywtjo8wp3ff2iNEDsWTDUxhuwHc6s2OxK7vJkbg3qLXAsyykpWZSaFs3gNPwyinQYF3H/w==" saltValue="vzubX1/WN0rnvueChtMn7A==" spinCount="100000" sheet="1" objects="1" scenarios="1"/>
  <pageMargins left="0.7" right="0.7" top="0.75" bottom="0.75" header="0.3" footer="0.3"/>
  <pageSetup scale="94" orientation="landscape" verticalDpi="300"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P147"/>
  <sheetViews>
    <sheetView workbookViewId="0">
      <selection activeCell="A2" sqref="A2:XFD2"/>
    </sheetView>
  </sheetViews>
  <sheetFormatPr defaultColWidth="8.85546875" defaultRowHeight="15" x14ac:dyDescent="0.25"/>
  <cols>
    <col min="1" max="1" width="8.85546875" style="18"/>
    <col min="2" max="2" width="13.7109375" style="18" customWidth="1"/>
    <col min="3" max="4" width="8.85546875" style="18"/>
    <col min="5" max="5" width="10.42578125" style="18" customWidth="1"/>
    <col min="6" max="6" width="10" style="18" customWidth="1"/>
    <col min="7" max="7" width="14" style="18" bestFit="1" customWidth="1"/>
    <col min="8" max="8" width="10.42578125" style="18" customWidth="1"/>
    <col min="9" max="9" width="13.42578125" style="18" customWidth="1"/>
    <col min="10" max="10" width="9.85546875" style="18" customWidth="1"/>
    <col min="11" max="12" width="8.85546875" style="18"/>
    <col min="13" max="16" width="8.85546875" style="18" hidden="1" customWidth="1"/>
    <col min="17" max="16384" width="8.85546875" style="18"/>
  </cols>
  <sheetData>
    <row r="1" spans="1:16" ht="20.25" customHeight="1" x14ac:dyDescent="0.25">
      <c r="A1" s="340" t="s">
        <v>75</v>
      </c>
      <c r="B1" s="340"/>
      <c r="C1" s="340"/>
      <c r="D1" s="340"/>
      <c r="E1" s="340"/>
    </row>
    <row r="2" spans="1:16" ht="14.25" hidden="1" customHeight="1" x14ac:dyDescent="0.25">
      <c r="A2" s="193" t="s">
        <v>188</v>
      </c>
      <c r="B2" s="189"/>
      <c r="C2" s="189"/>
      <c r="D2" s="189"/>
      <c r="E2" s="189"/>
    </row>
    <row r="3" spans="1:16" ht="14.25" customHeight="1" thickBot="1" x14ac:dyDescent="0.3">
      <c r="A3" s="193"/>
      <c r="B3" s="196"/>
      <c r="C3" s="196"/>
      <c r="D3" s="196"/>
      <c r="E3" s="196"/>
    </row>
    <row r="4" spans="1:16" ht="15.75" thickBot="1" x14ac:dyDescent="0.3">
      <c r="B4" s="341" t="s">
        <v>292</v>
      </c>
      <c r="C4" s="342"/>
      <c r="D4" s="342"/>
      <c r="E4" s="343"/>
      <c r="M4" s="341" t="s">
        <v>17</v>
      </c>
      <c r="N4" s="342"/>
      <c r="O4" s="342"/>
      <c r="P4" s="343"/>
    </row>
    <row r="5" spans="1:16" x14ac:dyDescent="0.25">
      <c r="B5" s="4" t="s">
        <v>18</v>
      </c>
      <c r="C5" s="364" t="s">
        <v>313</v>
      </c>
      <c r="D5" s="358"/>
      <c r="E5" s="5" t="s">
        <v>19</v>
      </c>
      <c r="M5" s="4" t="s">
        <v>18</v>
      </c>
      <c r="N5" s="364" t="s">
        <v>313</v>
      </c>
      <c r="O5" s="358"/>
      <c r="P5" s="5" t="s">
        <v>19</v>
      </c>
    </row>
    <row r="6" spans="1:16" x14ac:dyDescent="0.25">
      <c r="B6" s="2" t="s">
        <v>20</v>
      </c>
      <c r="C6" s="346" t="s">
        <v>305</v>
      </c>
      <c r="D6" s="347"/>
      <c r="E6" s="119">
        <f ca="1">'Emission Calculations'!M18</f>
        <v>0</v>
      </c>
      <c r="M6" s="360" t="s">
        <v>20</v>
      </c>
      <c r="N6" s="346" t="s">
        <v>305</v>
      </c>
      <c r="O6" s="347"/>
      <c r="P6" s="119">
        <f ca="1">'Emission Calculations'!L18</f>
        <v>0</v>
      </c>
    </row>
    <row r="7" spans="1:16" x14ac:dyDescent="0.25">
      <c r="B7" s="2" t="s">
        <v>21</v>
      </c>
      <c r="C7" s="348" t="s">
        <v>306</v>
      </c>
      <c r="D7" s="349"/>
      <c r="E7" s="119">
        <f ca="1">'Emission Calculations'!M35</f>
        <v>0</v>
      </c>
      <c r="M7" s="361" t="s">
        <v>21</v>
      </c>
      <c r="N7" s="348" t="s">
        <v>306</v>
      </c>
      <c r="O7" s="349"/>
      <c r="P7" s="119">
        <f ca="1">'Emission Calculations'!L35</f>
        <v>0</v>
      </c>
    </row>
    <row r="8" spans="1:16" x14ac:dyDescent="0.25">
      <c r="B8" s="2" t="s">
        <v>3</v>
      </c>
      <c r="C8" s="350" t="s">
        <v>307</v>
      </c>
      <c r="D8" s="351"/>
      <c r="E8" s="119">
        <f>'Emission Calculations'!M42</f>
        <v>0</v>
      </c>
      <c r="M8" s="361" t="s">
        <v>3</v>
      </c>
      <c r="N8" s="350" t="s">
        <v>307</v>
      </c>
      <c r="O8" s="351"/>
      <c r="P8" s="119">
        <f>'Emission Calculations'!L42</f>
        <v>0</v>
      </c>
    </row>
    <row r="9" spans="1:16" x14ac:dyDescent="0.25">
      <c r="B9" s="2" t="s">
        <v>22</v>
      </c>
      <c r="C9" s="350" t="s">
        <v>308</v>
      </c>
      <c r="D9" s="351"/>
      <c r="E9" s="119">
        <f>'Emission Calculations'!M46</f>
        <v>0</v>
      </c>
      <c r="M9" s="361" t="s">
        <v>22</v>
      </c>
      <c r="N9" s="350" t="s">
        <v>308</v>
      </c>
      <c r="O9" s="351"/>
      <c r="P9" s="119">
        <f>'Emission Calculations'!L46</f>
        <v>0</v>
      </c>
    </row>
    <row r="10" spans="1:16" x14ac:dyDescent="0.25">
      <c r="B10" s="2" t="s">
        <v>5</v>
      </c>
      <c r="C10" s="350" t="s">
        <v>309</v>
      </c>
      <c r="D10" s="351"/>
      <c r="E10" s="119">
        <f>'Emission Calculations'!M50</f>
        <v>0</v>
      </c>
      <c r="M10" s="361" t="s">
        <v>5</v>
      </c>
      <c r="N10" s="350" t="s">
        <v>309</v>
      </c>
      <c r="O10" s="351"/>
      <c r="P10" s="119">
        <f>'Emission Calculations'!L50</f>
        <v>0</v>
      </c>
    </row>
    <row r="11" spans="1:16" x14ac:dyDescent="0.25">
      <c r="B11" s="2" t="s">
        <v>6</v>
      </c>
      <c r="C11" s="350" t="s">
        <v>310</v>
      </c>
      <c r="D11" s="351"/>
      <c r="E11" s="119">
        <f>'Emission Calculations'!M54</f>
        <v>0</v>
      </c>
      <c r="M11" s="361" t="s">
        <v>6</v>
      </c>
      <c r="N11" s="350" t="s">
        <v>310</v>
      </c>
      <c r="O11" s="351"/>
      <c r="P11" s="119">
        <f>'Emission Calculations'!L54</f>
        <v>0</v>
      </c>
    </row>
    <row r="12" spans="1:16" x14ac:dyDescent="0.25">
      <c r="B12" s="2" t="s">
        <v>7</v>
      </c>
      <c r="C12" s="350"/>
      <c r="D12" s="352"/>
      <c r="E12" s="119"/>
      <c r="M12" s="361" t="s">
        <v>7</v>
      </c>
      <c r="N12" s="350"/>
      <c r="O12" s="352"/>
      <c r="P12" s="119"/>
    </row>
    <row r="13" spans="1:16" x14ac:dyDescent="0.25">
      <c r="B13" s="2" t="s">
        <v>8</v>
      </c>
      <c r="C13" s="350" t="s">
        <v>311</v>
      </c>
      <c r="D13" s="351"/>
      <c r="E13" s="119">
        <f>'Emission Calculations'!M58</f>
        <v>0</v>
      </c>
      <c r="M13" s="361" t="s">
        <v>8</v>
      </c>
      <c r="N13" s="350" t="s">
        <v>311</v>
      </c>
      <c r="O13" s="351"/>
      <c r="P13" s="119">
        <f>'Emission Calculations'!L58</f>
        <v>0</v>
      </c>
    </row>
    <row r="14" spans="1:16" x14ac:dyDescent="0.25">
      <c r="B14" s="34" t="s">
        <v>60</v>
      </c>
      <c r="C14" s="353" t="s">
        <v>312</v>
      </c>
      <c r="D14" s="354"/>
      <c r="E14" s="120">
        <f>'Emission Calculations'!M62</f>
        <v>0</v>
      </c>
      <c r="M14" s="362" t="s">
        <v>60</v>
      </c>
      <c r="N14" s="353" t="s">
        <v>312</v>
      </c>
      <c r="O14" s="354"/>
      <c r="P14" s="120">
        <f>'Emission Calculations'!L62</f>
        <v>0</v>
      </c>
    </row>
    <row r="15" spans="1:16" ht="15.75" thickBot="1" x14ac:dyDescent="0.3">
      <c r="B15" s="3" t="s">
        <v>23</v>
      </c>
      <c r="C15" s="355"/>
      <c r="D15" s="356"/>
      <c r="E15" s="121">
        <f>SUM(E13:E14)</f>
        <v>0</v>
      </c>
      <c r="M15" s="363" t="s">
        <v>23</v>
      </c>
      <c r="N15" s="355"/>
      <c r="O15" s="356"/>
      <c r="P15" s="121">
        <f>SUM(P13:P14)</f>
        <v>0</v>
      </c>
    </row>
    <row r="17" spans="1:13" ht="18.75" x14ac:dyDescent="0.25">
      <c r="A17" s="340" t="s">
        <v>173</v>
      </c>
      <c r="B17" s="340"/>
      <c r="C17" s="340"/>
      <c r="D17" s="340"/>
      <c r="E17" s="340"/>
    </row>
    <row r="18" spans="1:13" ht="15.75" hidden="1" thickBot="1" x14ac:dyDescent="0.3"/>
    <row r="19" spans="1:13" ht="16.5" hidden="1" thickBot="1" x14ac:dyDescent="0.3">
      <c r="A19" s="122" t="s">
        <v>157</v>
      </c>
      <c r="B19" s="341" t="s">
        <v>294</v>
      </c>
      <c r="C19" s="342"/>
      <c r="D19" s="342"/>
      <c r="E19" s="343"/>
      <c r="H19" s="122" t="s">
        <v>160</v>
      </c>
      <c r="I19" s="341" t="s">
        <v>294</v>
      </c>
      <c r="J19" s="342"/>
      <c r="K19" s="342"/>
      <c r="L19" s="343"/>
    </row>
    <row r="20" spans="1:13" hidden="1" x14ac:dyDescent="0.25">
      <c r="B20" s="4" t="s">
        <v>18</v>
      </c>
      <c r="C20" s="357" t="s">
        <v>313</v>
      </c>
      <c r="D20" s="358"/>
      <c r="E20" s="5" t="s">
        <v>19</v>
      </c>
      <c r="I20" s="4" t="s">
        <v>18</v>
      </c>
      <c r="J20" s="357" t="s">
        <v>313</v>
      </c>
      <c r="K20" s="358"/>
      <c r="L20" s="5" t="s">
        <v>19</v>
      </c>
    </row>
    <row r="21" spans="1:13" hidden="1" x14ac:dyDescent="0.25">
      <c r="B21" s="1" t="s">
        <v>20</v>
      </c>
      <c r="C21" s="346" t="s">
        <v>305</v>
      </c>
      <c r="D21" s="347"/>
      <c r="E21" s="119">
        <f ca="1">IF('Limestone Plant (LP-1)'!G10&gt;0,SUM('Limestone Plant (LP-1)'!G10,'Limestone Plant (LP-1)'!R40,'Haul Roads'!AL9,'Permitted Diesel Engines'!Z54),SUM('Limestone Plant (LP-1)'!R20:R27,'Limestone Plant (LP-1)'!R40,'Haul Roads'!AL9,'Permitted Diesel Engines'!Z54))</f>
        <v>0</v>
      </c>
      <c r="F21" s="123"/>
      <c r="I21" s="1" t="s">
        <v>20</v>
      </c>
      <c r="J21" s="346" t="s">
        <v>305</v>
      </c>
      <c r="K21" s="347"/>
      <c r="L21" s="119">
        <f ca="1">IF('Limestone Plant (LP-2)'!G10&gt;0,SUM('Limestone Plant (LP-2)'!G10,'Limestone Plant (LP-2)'!R40,'Haul Roads'!AL10,'Permitted Diesel Engines'!Z55),SUM('Limestone Plant (LP-2)'!R21:R27,'Limestone Plant (LP-2)'!R40,'Haul Roads'!AL10,'Permitted Diesel Engines'!Z55))</f>
        <v>0</v>
      </c>
      <c r="M21" s="123"/>
    </row>
    <row r="22" spans="1:13" hidden="1" x14ac:dyDescent="0.25">
      <c r="B22" s="2" t="s">
        <v>21</v>
      </c>
      <c r="C22" s="348" t="s">
        <v>306</v>
      </c>
      <c r="D22" s="349"/>
      <c r="E22" s="119">
        <f ca="1">IF('Limestone Plant (LP-1)'!G11&gt;0,SUM('Limestone Plant (LP-1)'!G11,'Limestone Plant (LP-1)'!R40,'Haul Roads'!AN9,'Permitted Diesel Engines'!AC54),SUM('Limestone Plant (LP-1)'!R29:R36,'Limestone Plant (LP-1)'!R40,'Haul Roads'!AN9,'Permitted Diesel Engines'!AC54))</f>
        <v>0</v>
      </c>
      <c r="F22" s="123"/>
      <c r="I22" s="2" t="s">
        <v>21</v>
      </c>
      <c r="J22" s="348" t="s">
        <v>306</v>
      </c>
      <c r="K22" s="349"/>
      <c r="L22" s="119">
        <f ca="1">IF('Limestone Plant (LP-2)'!G11&gt;0,SUM('Limestone Plant (LP-2)'!G11,'Limestone Plant (LP-2)'!R40,'Haul Roads'!AN10,'Permitted Diesel Engines'!AC55),SUM('Limestone Plant (LP-2)'!R29:R36,'Limestone Plant (LP-2)'!R40,'Haul Roads'!AN10,'Permitted Diesel Engines'!AC55))</f>
        <v>0</v>
      </c>
      <c r="M22" s="123"/>
    </row>
    <row r="23" spans="1:13" hidden="1" x14ac:dyDescent="0.25">
      <c r="B23" s="2" t="s">
        <v>3</v>
      </c>
      <c r="C23" s="350" t="s">
        <v>307</v>
      </c>
      <c r="D23" s="351"/>
      <c r="E23" s="119">
        <f>IF('Limestone Plant (LP-1)'!G12&gt;0,'Limestone Plant (LP-1)'!G12,'Permitted Diesel Engines'!AD54)</f>
        <v>0</v>
      </c>
      <c r="F23" s="123" t="str">
        <f>IF(E23&gt;100,"Thresholds exceeded, contact DNR for assistance.","")</f>
        <v/>
      </c>
      <c r="I23" s="2" t="s">
        <v>3</v>
      </c>
      <c r="J23" s="350" t="s">
        <v>307</v>
      </c>
      <c r="K23" s="351"/>
      <c r="L23" s="119">
        <f>IF('Limestone Plant (LP-2)'!G12&gt;0,'Limestone Plant (LP-2)'!G12,'Permitted Diesel Engines'!AD55)</f>
        <v>0</v>
      </c>
      <c r="M23" s="123" t="str">
        <f>IF(L23&gt;100,"Thresholds exceeded, contact DNR for assistance.","")</f>
        <v/>
      </c>
    </row>
    <row r="24" spans="1:13" hidden="1" x14ac:dyDescent="0.25">
      <c r="B24" s="2" t="s">
        <v>22</v>
      </c>
      <c r="C24" s="350" t="s">
        <v>308</v>
      </c>
      <c r="D24" s="351"/>
      <c r="E24" s="119">
        <f>IF('Limestone Plant (LP-1)'!G13&gt;0,'Limestone Plant (LP-1)'!G13,'Permitted Diesel Engines'!AG54)</f>
        <v>0</v>
      </c>
      <c r="F24" s="123" t="str">
        <f>IF(E24&gt;100,"Thresholds exceeded, contact DNR for assistance.","")</f>
        <v/>
      </c>
      <c r="I24" s="2" t="s">
        <v>22</v>
      </c>
      <c r="J24" s="350" t="s">
        <v>308</v>
      </c>
      <c r="K24" s="351"/>
      <c r="L24" s="119">
        <f>IF('Limestone Plant (LP-2)'!G13&gt;0,'Limestone Plant (LP-2)'!G13,'Permitted Diesel Engines'!AG55)</f>
        <v>0</v>
      </c>
      <c r="M24" s="123" t="str">
        <f>IF(L24&gt;100,"Thresholds exceeded, contact DNR for assistance.","")</f>
        <v/>
      </c>
    </row>
    <row r="25" spans="1:13" hidden="1" x14ac:dyDescent="0.25">
      <c r="B25" s="2" t="s">
        <v>5</v>
      </c>
      <c r="C25" s="350" t="s">
        <v>309</v>
      </c>
      <c r="D25" s="351"/>
      <c r="E25" s="119">
        <f>IF('Limestone Plant (LP-1)'!G14&gt;0,'Limestone Plant (LP-1)'!G14,'Permitted Diesel Engines'!AH54)</f>
        <v>0</v>
      </c>
      <c r="F25" s="123" t="str">
        <f>IF(E25&gt;100,"Thresholds exceeded, contact DNR for assistance.","")</f>
        <v/>
      </c>
      <c r="I25" s="2" t="s">
        <v>5</v>
      </c>
      <c r="J25" s="350" t="s">
        <v>309</v>
      </c>
      <c r="K25" s="351"/>
      <c r="L25" s="119">
        <f>IF('Limestone Plant (LP-2)'!G14&gt;0,'Limestone Plant (LP-2)'!G14,'Permitted Diesel Engines'!AH55)</f>
        <v>0</v>
      </c>
      <c r="M25" s="123" t="str">
        <f>IF(L25&gt;100,"Thresholds exceeded, contact DNR for assistance.","")</f>
        <v/>
      </c>
    </row>
    <row r="26" spans="1:13" hidden="1" x14ac:dyDescent="0.25">
      <c r="B26" s="2" t="s">
        <v>6</v>
      </c>
      <c r="C26" s="350" t="s">
        <v>310</v>
      </c>
      <c r="D26" s="351"/>
      <c r="E26" s="119">
        <f>IF('Limestone Plant (LP-1)'!G15&gt;0,'Limestone Plant (LP-1)'!G15,'Permitted Diesel Engines'!AK54)</f>
        <v>0</v>
      </c>
      <c r="F26" s="123" t="str">
        <f>IF(E26&gt;100,"Thresholds exceeded, contact DNR for assistance.","")</f>
        <v/>
      </c>
      <c r="I26" s="2" t="s">
        <v>6</v>
      </c>
      <c r="J26" s="350" t="s">
        <v>310</v>
      </c>
      <c r="K26" s="351"/>
      <c r="L26" s="119">
        <f>IF('Limestone Plant (LP-2)'!G15&gt;0,'Limestone Plant (LP-2)'!G15,'Permitted Diesel Engines'!AK55)</f>
        <v>0</v>
      </c>
      <c r="M26" s="123" t="str">
        <f>IF(L26&gt;100,"Thresholds exceeded, contact DNR for assistance.","")</f>
        <v/>
      </c>
    </row>
    <row r="27" spans="1:13" hidden="1" x14ac:dyDescent="0.25">
      <c r="B27" s="2" t="s">
        <v>7</v>
      </c>
      <c r="C27" s="350"/>
      <c r="D27" s="352"/>
      <c r="E27" s="119"/>
      <c r="F27" s="123" t="str">
        <f>IF(E27&gt;100,"Thresholds exceeded, contact DNR for assistance.","")</f>
        <v/>
      </c>
      <c r="I27" s="2" t="s">
        <v>7</v>
      </c>
      <c r="J27" s="350"/>
      <c r="K27" s="352"/>
      <c r="L27" s="119"/>
      <c r="M27" s="123" t="str">
        <f>IF(L27&gt;100,"Thresholds exceeded, contact DNR for assistance.","")</f>
        <v/>
      </c>
    </row>
    <row r="28" spans="1:13" hidden="1" x14ac:dyDescent="0.25">
      <c r="B28" s="2" t="s">
        <v>8</v>
      </c>
      <c r="C28" s="350" t="s">
        <v>311</v>
      </c>
      <c r="D28" s="351"/>
      <c r="E28" s="119">
        <f>'Permitted Diesel Engines'!AL54</f>
        <v>0</v>
      </c>
      <c r="F28" s="123" t="str">
        <f>IF(E28&gt;10,"Thresholds exceeded, contact DNR for assistance.","")</f>
        <v/>
      </c>
      <c r="I28" s="2" t="s">
        <v>8</v>
      </c>
      <c r="J28" s="350" t="s">
        <v>311</v>
      </c>
      <c r="K28" s="351"/>
      <c r="L28" s="119">
        <f>'Permitted Diesel Engines'!AL55</f>
        <v>0</v>
      </c>
      <c r="M28" s="123" t="str">
        <f>IF(L28&gt;10,"Thresholds exceeded, contact DNR for assistance.","")</f>
        <v/>
      </c>
    </row>
    <row r="29" spans="1:13" hidden="1" x14ac:dyDescent="0.25">
      <c r="B29" s="34" t="s">
        <v>60</v>
      </c>
      <c r="C29" s="353" t="s">
        <v>312</v>
      </c>
      <c r="D29" s="354"/>
      <c r="E29" s="119">
        <f>'Permitted Diesel Engines'!AO54</f>
        <v>0</v>
      </c>
      <c r="F29" s="123" t="str">
        <f>IF(E29&gt;10,"Thresholds exceeded, contact DNR for assistance.","")</f>
        <v/>
      </c>
      <c r="I29" s="34" t="s">
        <v>60</v>
      </c>
      <c r="J29" s="353" t="s">
        <v>312</v>
      </c>
      <c r="K29" s="354"/>
      <c r="L29" s="119">
        <f>'Permitted Diesel Engines'!AO55</f>
        <v>0</v>
      </c>
      <c r="M29" s="123" t="str">
        <f>IF(L29&gt;10,"Thresholds exceeded, contact DNR for assistance.","")</f>
        <v/>
      </c>
    </row>
    <row r="30" spans="1:13" ht="15.75" hidden="1" thickBot="1" x14ac:dyDescent="0.3">
      <c r="B30" s="3" t="s">
        <v>23</v>
      </c>
      <c r="C30" s="355"/>
      <c r="D30" s="356"/>
      <c r="E30" s="121">
        <f>SUM(E28:E29)</f>
        <v>0</v>
      </c>
      <c r="F30" s="123" t="str">
        <f>IF(E30&gt;25,"Thresholds exceeded, contact DNR for assistance.","")</f>
        <v/>
      </c>
      <c r="I30" s="3" t="s">
        <v>23</v>
      </c>
      <c r="J30" s="355"/>
      <c r="K30" s="356"/>
      <c r="L30" s="121">
        <f>SUM(L28:L29)</f>
        <v>0</v>
      </c>
      <c r="M30" s="123" t="str">
        <f>IF(L30&gt;25,"Thresholds exceeded, contact DNR for assistance.","")</f>
        <v/>
      </c>
    </row>
    <row r="31" spans="1:13" ht="15.75" thickBot="1" x14ac:dyDescent="0.3"/>
    <row r="32" spans="1:13" ht="16.5" thickBot="1" x14ac:dyDescent="0.3">
      <c r="A32" s="122" t="s">
        <v>157</v>
      </c>
      <c r="B32" s="341" t="s">
        <v>293</v>
      </c>
      <c r="C32" s="342"/>
      <c r="D32" s="342"/>
      <c r="E32" s="343"/>
      <c r="H32" s="122" t="s">
        <v>160</v>
      </c>
      <c r="I32" s="341" t="s">
        <v>293</v>
      </c>
      <c r="J32" s="342"/>
      <c r="K32" s="342"/>
      <c r="L32" s="343"/>
    </row>
    <row r="33" spans="1:13" x14ac:dyDescent="0.25">
      <c r="B33" s="4" t="s">
        <v>18</v>
      </c>
      <c r="C33" s="357" t="s">
        <v>313</v>
      </c>
      <c r="D33" s="358"/>
      <c r="E33" s="5" t="s">
        <v>19</v>
      </c>
      <c r="I33" s="4" t="s">
        <v>18</v>
      </c>
      <c r="J33" s="357" t="s">
        <v>313</v>
      </c>
      <c r="K33" s="358"/>
      <c r="L33" s="5" t="s">
        <v>19</v>
      </c>
    </row>
    <row r="34" spans="1:13" x14ac:dyDescent="0.25">
      <c r="B34" s="2" t="s">
        <v>20</v>
      </c>
      <c r="C34" s="346" t="s">
        <v>305</v>
      </c>
      <c r="D34" s="347"/>
      <c r="E34" s="119">
        <f ca="1">SUM('Limestone Plant (LP-1)'!S20:S27,'Limestone Plant (LP-1)'!S40,'Haul Roads'!AM9,'Permitted Diesel Engines'!AA54)</f>
        <v>0</v>
      </c>
      <c r="F34" s="123"/>
      <c r="I34" s="2" t="s">
        <v>20</v>
      </c>
      <c r="J34" s="346" t="s">
        <v>305</v>
      </c>
      <c r="K34" s="347"/>
      <c r="L34" s="119">
        <f ca="1">SUM('Limestone Plant (LP-2)'!S21:S27,'Limestone Plant (LP-2)'!S40,'Haul Roads'!AM10,'Permitted Diesel Engines'!AA55)</f>
        <v>0</v>
      </c>
    </row>
    <row r="35" spans="1:13" x14ac:dyDescent="0.25">
      <c r="B35" s="2" t="s">
        <v>21</v>
      </c>
      <c r="C35" s="348" t="s">
        <v>306</v>
      </c>
      <c r="D35" s="349"/>
      <c r="E35" s="119">
        <f ca="1">SUM('Limestone Plant (LP-1)'!S29:S36,'Limestone Plant (LP-1)'!S40,'Haul Roads'!AO9,'Permitted Diesel Engines'!AB54)</f>
        <v>0</v>
      </c>
      <c r="F35" s="123"/>
      <c r="I35" s="2" t="s">
        <v>21</v>
      </c>
      <c r="J35" s="348" t="s">
        <v>306</v>
      </c>
      <c r="K35" s="349"/>
      <c r="L35" s="119">
        <f ca="1">SUM('Limestone Plant (LP-2)'!S29:S36,'Limestone Plant (LP-2)'!S40,'Haul Roads'!AO10,'Permitted Diesel Engines'!AB55)</f>
        <v>0</v>
      </c>
    </row>
    <row r="36" spans="1:13" x14ac:dyDescent="0.25">
      <c r="B36" s="2" t="s">
        <v>3</v>
      </c>
      <c r="C36" s="350" t="s">
        <v>307</v>
      </c>
      <c r="D36" s="351"/>
      <c r="E36" s="119">
        <f>'Permitted Diesel Engines'!AE54</f>
        <v>0</v>
      </c>
      <c r="F36" s="123"/>
      <c r="I36" s="2" t="s">
        <v>3</v>
      </c>
      <c r="J36" s="350" t="s">
        <v>307</v>
      </c>
      <c r="K36" s="351"/>
      <c r="L36" s="119">
        <f>'Permitted Diesel Engines'!AE55</f>
        <v>0</v>
      </c>
    </row>
    <row r="37" spans="1:13" x14ac:dyDescent="0.25">
      <c r="B37" s="2" t="s">
        <v>22</v>
      </c>
      <c r="C37" s="350" t="s">
        <v>308</v>
      </c>
      <c r="D37" s="351"/>
      <c r="E37" s="119">
        <f>'Permitted Diesel Engines'!AF54</f>
        <v>0</v>
      </c>
      <c r="F37" s="123"/>
      <c r="I37" s="2" t="s">
        <v>22</v>
      </c>
      <c r="J37" s="350" t="s">
        <v>308</v>
      </c>
      <c r="K37" s="351"/>
      <c r="L37" s="119">
        <f>'Permitted Diesel Engines'!AF55</f>
        <v>0</v>
      </c>
    </row>
    <row r="38" spans="1:13" x14ac:dyDescent="0.25">
      <c r="B38" s="2" t="s">
        <v>5</v>
      </c>
      <c r="C38" s="350" t="s">
        <v>309</v>
      </c>
      <c r="D38" s="351"/>
      <c r="E38" s="119">
        <f>'Permitted Diesel Engines'!AI54</f>
        <v>0</v>
      </c>
      <c r="F38" s="123"/>
      <c r="I38" s="2" t="s">
        <v>5</v>
      </c>
      <c r="J38" s="350" t="s">
        <v>309</v>
      </c>
      <c r="K38" s="351"/>
      <c r="L38" s="119">
        <f>'Permitted Diesel Engines'!AI55</f>
        <v>0</v>
      </c>
    </row>
    <row r="39" spans="1:13" x14ac:dyDescent="0.25">
      <c r="B39" s="2" t="s">
        <v>6</v>
      </c>
      <c r="C39" s="350" t="s">
        <v>310</v>
      </c>
      <c r="D39" s="351"/>
      <c r="E39" s="119">
        <f>'Permitted Diesel Engines'!AJ54</f>
        <v>0</v>
      </c>
      <c r="F39" s="123"/>
      <c r="I39" s="2" t="s">
        <v>6</v>
      </c>
      <c r="J39" s="350" t="s">
        <v>310</v>
      </c>
      <c r="K39" s="351"/>
      <c r="L39" s="119">
        <f>'Permitted Diesel Engines'!AJ55</f>
        <v>0</v>
      </c>
    </row>
    <row r="40" spans="1:13" x14ac:dyDescent="0.25">
      <c r="B40" s="2" t="s">
        <v>7</v>
      </c>
      <c r="C40" s="350"/>
      <c r="D40" s="352"/>
      <c r="E40" s="119"/>
      <c r="F40" s="123"/>
      <c r="I40" s="2" t="s">
        <v>7</v>
      </c>
      <c r="J40" s="350"/>
      <c r="K40" s="352"/>
      <c r="L40" s="119"/>
    </row>
    <row r="41" spans="1:13" x14ac:dyDescent="0.25">
      <c r="B41" s="2" t="s">
        <v>8</v>
      </c>
      <c r="C41" s="350" t="s">
        <v>311</v>
      </c>
      <c r="D41" s="351"/>
      <c r="E41" s="119">
        <f>'Permitted Diesel Engines'!AM54</f>
        <v>0</v>
      </c>
      <c r="F41" s="123"/>
      <c r="I41" s="2" t="s">
        <v>8</v>
      </c>
      <c r="J41" s="350" t="s">
        <v>311</v>
      </c>
      <c r="K41" s="351"/>
      <c r="L41" s="119">
        <f>'Permitted Diesel Engines'!AM55</f>
        <v>0</v>
      </c>
    </row>
    <row r="42" spans="1:13" x14ac:dyDescent="0.25">
      <c r="B42" s="34" t="s">
        <v>60</v>
      </c>
      <c r="C42" s="353" t="s">
        <v>312</v>
      </c>
      <c r="D42" s="354"/>
      <c r="E42" s="120">
        <f>'Permitted Diesel Engines'!AN54</f>
        <v>0</v>
      </c>
      <c r="F42" s="123"/>
      <c r="I42" s="34" t="s">
        <v>60</v>
      </c>
      <c r="J42" s="353" t="s">
        <v>312</v>
      </c>
      <c r="K42" s="354"/>
      <c r="L42" s="120">
        <f>'Permitted Diesel Engines'!AN55</f>
        <v>0</v>
      </c>
    </row>
    <row r="43" spans="1:13" ht="15.75" thickBot="1" x14ac:dyDescent="0.3">
      <c r="B43" s="3" t="s">
        <v>23</v>
      </c>
      <c r="C43" s="355"/>
      <c r="D43" s="356"/>
      <c r="E43" s="121">
        <f>SUM(E41:E42)</f>
        <v>0</v>
      </c>
      <c r="F43" s="123"/>
      <c r="I43" s="3" t="s">
        <v>23</v>
      </c>
      <c r="J43" s="355"/>
      <c r="K43" s="356"/>
      <c r="L43" s="121">
        <f>SUM(L41:L42)</f>
        <v>0</v>
      </c>
    </row>
    <row r="44" spans="1:13" ht="15.75" hidden="1" thickBot="1" x14ac:dyDescent="0.3"/>
    <row r="45" spans="1:13" ht="16.5" hidden="1" thickBot="1" x14ac:dyDescent="0.3">
      <c r="A45" s="122" t="s">
        <v>161</v>
      </c>
      <c r="B45" s="341" t="s">
        <v>294</v>
      </c>
      <c r="C45" s="342"/>
      <c r="D45" s="342"/>
      <c r="E45" s="343"/>
      <c r="H45" s="122" t="s">
        <v>162</v>
      </c>
      <c r="I45" s="341" t="s">
        <v>294</v>
      </c>
      <c r="J45" s="342"/>
      <c r="K45" s="342"/>
      <c r="L45" s="343"/>
    </row>
    <row r="46" spans="1:13" hidden="1" x14ac:dyDescent="0.25">
      <c r="B46" s="4" t="s">
        <v>18</v>
      </c>
      <c r="C46" s="357" t="s">
        <v>313</v>
      </c>
      <c r="D46" s="358"/>
      <c r="E46" s="5" t="s">
        <v>19</v>
      </c>
      <c r="I46" s="4" t="s">
        <v>18</v>
      </c>
      <c r="J46" s="357" t="s">
        <v>313</v>
      </c>
      <c r="K46" s="358"/>
      <c r="L46" s="5" t="s">
        <v>19</v>
      </c>
    </row>
    <row r="47" spans="1:13" hidden="1" x14ac:dyDescent="0.25">
      <c r="B47" s="1" t="s">
        <v>20</v>
      </c>
      <c r="C47" s="346" t="s">
        <v>305</v>
      </c>
      <c r="D47" s="347"/>
      <c r="E47" s="119">
        <f ca="1">IF('Limestone Plant (LP-3)'!G10&gt;0,SUM('Limestone Plant (LP-3)'!G10,'Limestone Plant (LP-3)'!R40,'Haul Roads'!AL11,'Permitted Diesel Engines'!Z56),SUM('Limestone Plant (LP-3)'!R20:R27,'Limestone Plant (LP-3)'!R40,'Haul Roads'!AL11,'Permitted Diesel Engines'!Z56))</f>
        <v>0</v>
      </c>
      <c r="F47" s="123"/>
      <c r="I47" s="1" t="s">
        <v>20</v>
      </c>
      <c r="J47" s="346" t="s">
        <v>305</v>
      </c>
      <c r="K47" s="347"/>
      <c r="L47" s="119">
        <f ca="1">IF('Limestone Plant (LP-4)'!G10&gt;0,SUM('Limestone Plant (LP-4)'!G10,'Limestone Plant (LP-4)'!R40,'Haul Roads'!AL12,'Permitted Diesel Engines'!Z57),SUM('Limestone Plant (LP-4)'!R20:R27,'Limestone Plant (LP-4)'!R40,'Haul Roads'!AL12,'Permitted Diesel Engines'!Z57))</f>
        <v>0</v>
      </c>
      <c r="M47" s="123"/>
    </row>
    <row r="48" spans="1:13" hidden="1" x14ac:dyDescent="0.25">
      <c r="B48" s="2" t="s">
        <v>21</v>
      </c>
      <c r="C48" s="348" t="s">
        <v>306</v>
      </c>
      <c r="D48" s="349"/>
      <c r="E48" s="119">
        <f ca="1">IF('Limestone Plant (LP-3)'!G11&gt;0,SUM('Limestone Plant (LP-3)'!G11,'Limestone Plant (LP-3)'!R40,'Haul Roads'!AN11,'Permitted Diesel Engines'!AC56),SUM('Limestone Plant (LP-3)'!R29:R36,'Limestone Plant (LP-3)'!R40,'Haul Roads'!AN11,'Permitted Diesel Engines'!AC56))</f>
        <v>0</v>
      </c>
      <c r="F48" s="123"/>
      <c r="I48" s="2" t="s">
        <v>21</v>
      </c>
      <c r="J48" s="348" t="s">
        <v>306</v>
      </c>
      <c r="K48" s="349"/>
      <c r="L48" s="119">
        <f ca="1">IF('Limestone Plant (LP-4)'!G11&gt;0,SUM('Limestone Plant (LP-4)'!G11,'Limestone Plant (LP-4)'!R40,'Haul Roads'!AN12,'Permitted Diesel Engines'!AC57),SUM('Limestone Plant (LP-4)'!R29:R36,'Limestone Plant (LP-4)'!R40,'Haul Roads'!AN12,'Permitted Diesel Engines'!AC57))</f>
        <v>0</v>
      </c>
      <c r="M48" s="123"/>
    </row>
    <row r="49" spans="1:13" hidden="1" x14ac:dyDescent="0.25">
      <c r="B49" s="2" t="s">
        <v>3</v>
      </c>
      <c r="C49" s="350" t="s">
        <v>307</v>
      </c>
      <c r="D49" s="351"/>
      <c r="E49" s="119">
        <f>IF('Limestone Plant (LP-3)'!G12&gt;0,'Limestone Plant (LP-3)'!G12,'Permitted Diesel Engines'!AD56)</f>
        <v>0</v>
      </c>
      <c r="F49" s="123" t="str">
        <f>IF(E49&gt;100,"Thresholds exceeded, contact DNR for assistance.","")</f>
        <v/>
      </c>
      <c r="I49" s="2" t="s">
        <v>3</v>
      </c>
      <c r="J49" s="350" t="s">
        <v>307</v>
      </c>
      <c r="K49" s="351"/>
      <c r="L49" s="119">
        <f>IF('Limestone Plant (LP-4)'!G12&gt;0,'Limestone Plant (LP-4)'!G12,'Permitted Diesel Engines'!AD57)</f>
        <v>0</v>
      </c>
      <c r="M49" s="123" t="str">
        <f>IF(L49&gt;100,"Thresholds exceeded, contact DNR for assistance.","")</f>
        <v/>
      </c>
    </row>
    <row r="50" spans="1:13" hidden="1" x14ac:dyDescent="0.25">
      <c r="B50" s="2" t="s">
        <v>22</v>
      </c>
      <c r="C50" s="350" t="s">
        <v>308</v>
      </c>
      <c r="D50" s="351"/>
      <c r="E50" s="119">
        <f>IF('Limestone Plant (LP-3)'!G13&gt;0,'Limestone Plant (LP-3)'!G13,'Permitted Diesel Engines'!AG56)</f>
        <v>0</v>
      </c>
      <c r="F50" s="123" t="str">
        <f>IF(E50&gt;100,"Thresholds exceeded, contact DNR for assistance.","")</f>
        <v/>
      </c>
      <c r="I50" s="2" t="s">
        <v>22</v>
      </c>
      <c r="J50" s="350" t="s">
        <v>308</v>
      </c>
      <c r="K50" s="351"/>
      <c r="L50" s="119">
        <f>IF('Limestone Plant (LP-4)'!G13&gt;0,'Limestone Plant (LP-4)'!G13,'Permitted Diesel Engines'!AG57)</f>
        <v>0</v>
      </c>
      <c r="M50" s="123" t="str">
        <f>IF(L50&gt;100,"Thresholds exceeded, contact DNR for assistance.","")</f>
        <v/>
      </c>
    </row>
    <row r="51" spans="1:13" hidden="1" x14ac:dyDescent="0.25">
      <c r="B51" s="2" t="s">
        <v>5</v>
      </c>
      <c r="C51" s="350" t="s">
        <v>309</v>
      </c>
      <c r="D51" s="351"/>
      <c r="E51" s="119">
        <f>IF('Limestone Plant (LP-3)'!G14&gt;0,'Limestone Plant (LP-3)'!G14,'Permitted Diesel Engines'!AH56)</f>
        <v>0</v>
      </c>
      <c r="F51" s="123" t="str">
        <f>IF(E51&gt;100,"Thresholds exceeded, contact DNR for assistance.","")</f>
        <v/>
      </c>
      <c r="I51" s="2" t="s">
        <v>5</v>
      </c>
      <c r="J51" s="350" t="s">
        <v>309</v>
      </c>
      <c r="K51" s="351"/>
      <c r="L51" s="119">
        <f>IF('Limestone Plant (LP-4)'!G14&gt;0,'Limestone Plant (LP-4)'!G14,'Permitted Diesel Engines'!AH57)</f>
        <v>0</v>
      </c>
      <c r="M51" s="123" t="str">
        <f>IF(L51&gt;100,"Thresholds exceeded, contact DNR for assistance.","")</f>
        <v/>
      </c>
    </row>
    <row r="52" spans="1:13" hidden="1" x14ac:dyDescent="0.25">
      <c r="B52" s="2" t="s">
        <v>6</v>
      </c>
      <c r="C52" s="350" t="s">
        <v>310</v>
      </c>
      <c r="D52" s="351"/>
      <c r="E52" s="119">
        <f>IF('Limestone Plant (LP-3)'!G15&gt;0,'Limestone Plant (LP-3)'!G15,'Permitted Diesel Engines'!AK56)</f>
        <v>0</v>
      </c>
      <c r="F52" s="123" t="str">
        <f>IF(E52&gt;100,"Thresholds exceeded, contact DNR for assistance.","")</f>
        <v/>
      </c>
      <c r="I52" s="2" t="s">
        <v>6</v>
      </c>
      <c r="J52" s="350" t="s">
        <v>310</v>
      </c>
      <c r="K52" s="351"/>
      <c r="L52" s="119">
        <f>IF('Limestone Plant (LP-4)'!G15&gt;0,'Limestone Plant (LP-4)'!G15,'Permitted Diesel Engines'!AK57)</f>
        <v>0</v>
      </c>
      <c r="M52" s="123" t="str">
        <f>IF(L52&gt;100,"Thresholds exceeded, contact DNR for assistance.","")</f>
        <v/>
      </c>
    </row>
    <row r="53" spans="1:13" hidden="1" x14ac:dyDescent="0.25">
      <c r="B53" s="2" t="s">
        <v>7</v>
      </c>
      <c r="C53" s="350"/>
      <c r="D53" s="352"/>
      <c r="E53" s="119"/>
      <c r="F53" s="123" t="str">
        <f>IF(E53&gt;100,"Thresholds exceeded, contact DNR for assistance.","")</f>
        <v/>
      </c>
      <c r="I53" s="2" t="s">
        <v>7</v>
      </c>
      <c r="J53" s="350"/>
      <c r="K53" s="352"/>
      <c r="L53" s="119"/>
      <c r="M53" s="123" t="str">
        <f>IF(L53&gt;100,"Thresholds exceeded, contact DNR for assistance.","")</f>
        <v/>
      </c>
    </row>
    <row r="54" spans="1:13" hidden="1" x14ac:dyDescent="0.25">
      <c r="B54" s="2" t="s">
        <v>8</v>
      </c>
      <c r="C54" s="350" t="s">
        <v>311</v>
      </c>
      <c r="D54" s="351"/>
      <c r="E54" s="119">
        <f>'Permitted Diesel Engines'!AL56</f>
        <v>0</v>
      </c>
      <c r="F54" s="123" t="str">
        <f>IF(E54&gt;10,"Thresholds exceeded, contact DNR for assistance.","")</f>
        <v/>
      </c>
      <c r="I54" s="2" t="s">
        <v>8</v>
      </c>
      <c r="J54" s="350" t="s">
        <v>311</v>
      </c>
      <c r="K54" s="351"/>
      <c r="L54" s="119">
        <f>'Permitted Diesel Engines'!AL57</f>
        <v>0</v>
      </c>
      <c r="M54" s="123" t="str">
        <f>IF(L54&gt;10,"Thresholds exceeded, contact DNR for assistance.","")</f>
        <v/>
      </c>
    </row>
    <row r="55" spans="1:13" hidden="1" x14ac:dyDescent="0.25">
      <c r="B55" s="34" t="s">
        <v>60</v>
      </c>
      <c r="C55" s="353" t="s">
        <v>312</v>
      </c>
      <c r="D55" s="354"/>
      <c r="E55" s="119">
        <f>'Permitted Diesel Engines'!AO56</f>
        <v>0</v>
      </c>
      <c r="F55" s="123" t="str">
        <f>IF(E55&gt;10,"Thresholds exceeded, contact DNR for assistance.","")</f>
        <v/>
      </c>
      <c r="I55" s="34" t="s">
        <v>60</v>
      </c>
      <c r="J55" s="353" t="s">
        <v>312</v>
      </c>
      <c r="K55" s="354"/>
      <c r="L55" s="119">
        <f>'Permitted Diesel Engines'!AO57</f>
        <v>0</v>
      </c>
      <c r="M55" s="123" t="str">
        <f>IF(L55&gt;10,"Thresholds exceeded, contact DNR for assistance.","")</f>
        <v/>
      </c>
    </row>
    <row r="56" spans="1:13" ht="15.75" hidden="1" thickBot="1" x14ac:dyDescent="0.3">
      <c r="B56" s="3" t="s">
        <v>23</v>
      </c>
      <c r="C56" s="355"/>
      <c r="D56" s="356"/>
      <c r="E56" s="121">
        <f>SUM(E54:E55)</f>
        <v>0</v>
      </c>
      <c r="F56" s="123" t="str">
        <f>IF(E56&gt;25,"Thresholds exceeded, contact DNR for assistance.","")</f>
        <v/>
      </c>
      <c r="I56" s="3" t="s">
        <v>23</v>
      </c>
      <c r="J56" s="355"/>
      <c r="K56" s="356"/>
      <c r="L56" s="121">
        <f>SUM(L54:L55)</f>
        <v>0</v>
      </c>
      <c r="M56" s="123" t="str">
        <f>IF(L56&gt;25,"Thresholds exceeded, contact DNR for assistance.","")</f>
        <v/>
      </c>
    </row>
    <row r="57" spans="1:13" ht="15.75" thickBot="1" x14ac:dyDescent="0.3"/>
    <row r="58" spans="1:13" ht="16.5" thickBot="1" x14ac:dyDescent="0.3">
      <c r="A58" s="122" t="s">
        <v>161</v>
      </c>
      <c r="B58" s="341" t="s">
        <v>293</v>
      </c>
      <c r="C58" s="342"/>
      <c r="D58" s="342"/>
      <c r="E58" s="343"/>
      <c r="H58" s="122" t="s">
        <v>162</v>
      </c>
      <c r="I58" s="341" t="s">
        <v>293</v>
      </c>
      <c r="J58" s="342"/>
      <c r="K58" s="342"/>
      <c r="L58" s="343"/>
    </row>
    <row r="59" spans="1:13" x14ac:dyDescent="0.25">
      <c r="B59" s="4" t="s">
        <v>18</v>
      </c>
      <c r="C59" s="357" t="s">
        <v>313</v>
      </c>
      <c r="D59" s="358"/>
      <c r="E59" s="5" t="s">
        <v>19</v>
      </c>
      <c r="I59" s="4" t="s">
        <v>18</v>
      </c>
      <c r="J59" s="357" t="s">
        <v>313</v>
      </c>
      <c r="K59" s="358"/>
      <c r="L59" s="5" t="s">
        <v>19</v>
      </c>
    </row>
    <row r="60" spans="1:13" x14ac:dyDescent="0.25">
      <c r="B60" s="2" t="s">
        <v>20</v>
      </c>
      <c r="C60" s="346" t="s">
        <v>305</v>
      </c>
      <c r="D60" s="347"/>
      <c r="E60" s="119">
        <f ca="1">SUM('Limestone Plant (LP-3)'!S20:S27,'Limestone Plant (LP-3)'!S40,'Haul Roads'!AM11,'Permitted Diesel Engines'!AA56)</f>
        <v>0</v>
      </c>
      <c r="F60" s="123"/>
      <c r="I60" s="2" t="s">
        <v>20</v>
      </c>
      <c r="J60" s="346" t="s">
        <v>305</v>
      </c>
      <c r="K60" s="347"/>
      <c r="L60" s="119">
        <f ca="1">SUM('Limestone Plant (LP-4)'!S20:S27,'Limestone Plant (LP-4)'!S40,'Haul Roads'!AM12,'Permitted Diesel Engines'!AA57)</f>
        <v>0</v>
      </c>
    </row>
    <row r="61" spans="1:13" x14ac:dyDescent="0.25">
      <c r="B61" s="2" t="s">
        <v>21</v>
      </c>
      <c r="C61" s="348" t="s">
        <v>306</v>
      </c>
      <c r="D61" s="349"/>
      <c r="E61" s="119">
        <f ca="1">SUM('Limestone Plant (LP-3)'!S29:S36,'Limestone Plant (LP-3)'!S40,'Haul Roads'!AO11,'Permitted Diesel Engines'!AB56)</f>
        <v>0</v>
      </c>
      <c r="I61" s="2" t="s">
        <v>21</v>
      </c>
      <c r="J61" s="348" t="s">
        <v>306</v>
      </c>
      <c r="K61" s="349"/>
      <c r="L61" s="119">
        <f ca="1">SUM('Limestone Plant (LP-4)'!S29:S36,'Limestone Plant (LP-4)'!S40,'Haul Roads'!AO12,'Permitted Diesel Engines'!AB57)</f>
        <v>0</v>
      </c>
    </row>
    <row r="62" spans="1:13" x14ac:dyDescent="0.25">
      <c r="B62" s="2" t="s">
        <v>3</v>
      </c>
      <c r="C62" s="350" t="s">
        <v>307</v>
      </c>
      <c r="D62" s="351"/>
      <c r="E62" s="119">
        <f>'Permitted Diesel Engines'!AE56</f>
        <v>0</v>
      </c>
      <c r="I62" s="2" t="s">
        <v>3</v>
      </c>
      <c r="J62" s="350" t="s">
        <v>307</v>
      </c>
      <c r="K62" s="351"/>
      <c r="L62" s="119">
        <f>'Permitted Diesel Engines'!AE57</f>
        <v>0</v>
      </c>
    </row>
    <row r="63" spans="1:13" x14ac:dyDescent="0.25">
      <c r="B63" s="2" t="s">
        <v>22</v>
      </c>
      <c r="C63" s="350" t="s">
        <v>308</v>
      </c>
      <c r="D63" s="351"/>
      <c r="E63" s="119">
        <f>'Permitted Diesel Engines'!AF56</f>
        <v>0</v>
      </c>
      <c r="I63" s="2" t="s">
        <v>22</v>
      </c>
      <c r="J63" s="350" t="s">
        <v>308</v>
      </c>
      <c r="K63" s="351"/>
      <c r="L63" s="119">
        <f>'Permitted Diesel Engines'!AF57</f>
        <v>0</v>
      </c>
    </row>
    <row r="64" spans="1:13" x14ac:dyDescent="0.25">
      <c r="B64" s="2" t="s">
        <v>5</v>
      </c>
      <c r="C64" s="350" t="s">
        <v>309</v>
      </c>
      <c r="D64" s="351"/>
      <c r="E64" s="119">
        <f>'Permitted Diesel Engines'!AI56</f>
        <v>0</v>
      </c>
      <c r="I64" s="2" t="s">
        <v>5</v>
      </c>
      <c r="J64" s="350" t="s">
        <v>309</v>
      </c>
      <c r="K64" s="351"/>
      <c r="L64" s="119">
        <f>'Permitted Diesel Engines'!AI57</f>
        <v>0</v>
      </c>
    </row>
    <row r="65" spans="1:13" x14ac:dyDescent="0.25">
      <c r="B65" s="2" t="s">
        <v>6</v>
      </c>
      <c r="C65" s="350" t="s">
        <v>310</v>
      </c>
      <c r="D65" s="351"/>
      <c r="E65" s="119">
        <f>'Permitted Diesel Engines'!AJ56</f>
        <v>0</v>
      </c>
      <c r="I65" s="2" t="s">
        <v>6</v>
      </c>
      <c r="J65" s="350" t="s">
        <v>310</v>
      </c>
      <c r="K65" s="351"/>
      <c r="L65" s="119">
        <f>'Permitted Diesel Engines'!AJ57</f>
        <v>0</v>
      </c>
    </row>
    <row r="66" spans="1:13" x14ac:dyDescent="0.25">
      <c r="B66" s="2" t="s">
        <v>7</v>
      </c>
      <c r="C66" s="350"/>
      <c r="D66" s="352"/>
      <c r="E66" s="119"/>
      <c r="I66" s="2" t="s">
        <v>7</v>
      </c>
      <c r="J66" s="350"/>
      <c r="K66" s="352"/>
      <c r="L66" s="119"/>
    </row>
    <row r="67" spans="1:13" x14ac:dyDescent="0.25">
      <c r="B67" s="2" t="s">
        <v>8</v>
      </c>
      <c r="C67" s="350" t="s">
        <v>311</v>
      </c>
      <c r="D67" s="351"/>
      <c r="E67" s="119">
        <f>'Permitted Diesel Engines'!AM56</f>
        <v>0</v>
      </c>
      <c r="I67" s="2" t="s">
        <v>8</v>
      </c>
      <c r="J67" s="350" t="s">
        <v>311</v>
      </c>
      <c r="K67" s="351"/>
      <c r="L67" s="119">
        <f>'Permitted Diesel Engines'!AM57</f>
        <v>0</v>
      </c>
    </row>
    <row r="68" spans="1:13" x14ac:dyDescent="0.25">
      <c r="B68" s="34" t="s">
        <v>60</v>
      </c>
      <c r="C68" s="353" t="s">
        <v>312</v>
      </c>
      <c r="D68" s="354"/>
      <c r="E68" s="120">
        <f>'Permitted Diesel Engines'!AN56</f>
        <v>0</v>
      </c>
      <c r="I68" s="34" t="s">
        <v>60</v>
      </c>
      <c r="J68" s="353" t="s">
        <v>312</v>
      </c>
      <c r="K68" s="354"/>
      <c r="L68" s="120">
        <f>'Permitted Diesel Engines'!AN57</f>
        <v>0</v>
      </c>
    </row>
    <row r="69" spans="1:13" ht="15.75" thickBot="1" x14ac:dyDescent="0.3">
      <c r="B69" s="3" t="s">
        <v>23</v>
      </c>
      <c r="C69" s="355"/>
      <c r="D69" s="356"/>
      <c r="E69" s="121">
        <f>SUM(E67:E68)</f>
        <v>0</v>
      </c>
      <c r="I69" s="3" t="s">
        <v>23</v>
      </c>
      <c r="J69" s="355"/>
      <c r="K69" s="356"/>
      <c r="L69" s="121">
        <f>SUM(L67:L68)</f>
        <v>0</v>
      </c>
    </row>
    <row r="70" spans="1:13" ht="12.75" hidden="1" customHeight="1" thickBot="1" x14ac:dyDescent="0.3"/>
    <row r="71" spans="1:13" ht="14.25" hidden="1" customHeight="1" thickBot="1" x14ac:dyDescent="0.3">
      <c r="A71" s="122" t="s">
        <v>163</v>
      </c>
      <c r="B71" s="341" t="s">
        <v>294</v>
      </c>
      <c r="C71" s="342"/>
      <c r="D71" s="342"/>
      <c r="E71" s="343"/>
      <c r="H71" s="122" t="s">
        <v>164</v>
      </c>
      <c r="I71" s="341" t="s">
        <v>294</v>
      </c>
      <c r="J71" s="342"/>
      <c r="K71" s="342"/>
      <c r="L71" s="343"/>
    </row>
    <row r="72" spans="1:13" ht="14.25" hidden="1" customHeight="1" x14ac:dyDescent="0.25">
      <c r="B72" s="4" t="s">
        <v>18</v>
      </c>
      <c r="C72" s="357" t="s">
        <v>313</v>
      </c>
      <c r="D72" s="358"/>
      <c r="E72" s="5" t="s">
        <v>19</v>
      </c>
      <c r="I72" s="4" t="s">
        <v>18</v>
      </c>
      <c r="J72" s="357" t="s">
        <v>313</v>
      </c>
      <c r="K72" s="358"/>
      <c r="L72" s="5" t="s">
        <v>19</v>
      </c>
    </row>
    <row r="73" spans="1:13" ht="14.25" hidden="1" customHeight="1" x14ac:dyDescent="0.25">
      <c r="B73" s="1" t="s">
        <v>20</v>
      </c>
      <c r="C73" s="346" t="s">
        <v>305</v>
      </c>
      <c r="D73" s="347"/>
      <c r="E73" s="119">
        <f ca="1">IF('Limestone Plant (LP-5)'!G10&gt;0,SUM('Limestone Plant (LP-5)'!G10,'Limestone Plant (LP-5)'!R40,'Haul Roads'!AL13,'Permitted Diesel Engines'!Z58),SUM('Limestone Plant (LP-5)'!R20:R27,'Limestone Plant (LP-5)'!R40,'Haul Roads'!AL13,'Permitted Diesel Engines'!Z58))</f>
        <v>0</v>
      </c>
      <c r="F73" s="123"/>
      <c r="I73" s="1" t="s">
        <v>20</v>
      </c>
      <c r="J73" s="346" t="s">
        <v>305</v>
      </c>
      <c r="K73" s="347"/>
      <c r="L73" s="119">
        <f ca="1">IF('Limestone Plant (LP-6)'!G10&gt;0,SUM('Limestone Plant (LP-6)'!G10,'Limestone Plant (LP-6)'!R39,'Haul Roads'!AL14,'Permitted Diesel Engines'!Z59),SUM('Limestone Plant (LP-6)'!R20:R27,'Limestone Plant (LP-6)'!R39,'Haul Roads'!AL14,'Permitted Diesel Engines'!Z59))</f>
        <v>0</v>
      </c>
      <c r="M73" s="123"/>
    </row>
    <row r="74" spans="1:13" ht="14.25" hidden="1" customHeight="1" x14ac:dyDescent="0.25">
      <c r="B74" s="2" t="s">
        <v>21</v>
      </c>
      <c r="C74" s="348" t="s">
        <v>306</v>
      </c>
      <c r="D74" s="349"/>
      <c r="E74" s="119">
        <f ca="1">IF('Limestone Plant (LP-5)'!G11&gt;0,SUM('Limestone Plant (LP-5)'!G11,'Limestone Plant (LP-5)'!R40,'Haul Roads'!AN13,'Permitted Diesel Engines'!AC58),SUM('Limestone Plant (LP-5)'!R29:R36,'Limestone Plant (LP-5)'!R40,'Haul Roads'!AN13,'Permitted Diesel Engines'!AC58))</f>
        <v>0</v>
      </c>
      <c r="F74" s="123"/>
      <c r="I74" s="2" t="s">
        <v>21</v>
      </c>
      <c r="J74" s="348" t="s">
        <v>306</v>
      </c>
      <c r="K74" s="349"/>
      <c r="L74" s="119">
        <f ca="1">IF('Limestone Plant (LP-6)'!G11&gt;0,SUM('Limestone Plant (LP-6)'!G11,'Limestone Plant (LP-6)'!R39,'Haul Roads'!AN14,'Permitted Diesel Engines'!AC59),SUM('Limestone Plant (LP-6)'!R29:R36,'Limestone Plant (LP-6)'!R39,'Haul Roads'!AN14,'Permitted Diesel Engines'!AC59))</f>
        <v>0</v>
      </c>
      <c r="M74" s="123"/>
    </row>
    <row r="75" spans="1:13" ht="14.25" hidden="1" customHeight="1" x14ac:dyDescent="0.25">
      <c r="B75" s="2" t="s">
        <v>3</v>
      </c>
      <c r="C75" s="350" t="s">
        <v>307</v>
      </c>
      <c r="D75" s="351"/>
      <c r="E75" s="119">
        <f>IF('Limestone Plant (LP-5)'!G12&gt;0,'Limestone Plant (LP-5)'!G12,'Permitted Diesel Engines'!AD58)</f>
        <v>0</v>
      </c>
      <c r="F75" s="123" t="str">
        <f>IF(E75&gt;100,"Thresholds exceeded, contact DNR for assistance.","")</f>
        <v/>
      </c>
      <c r="I75" s="2" t="s">
        <v>3</v>
      </c>
      <c r="J75" s="350" t="s">
        <v>307</v>
      </c>
      <c r="K75" s="351"/>
      <c r="L75" s="119">
        <f>IF('Limestone Plant (LP-6)'!G12&gt;0,'Limestone Plant (LP-6)'!G12,'Permitted Diesel Engines'!AD59)</f>
        <v>0</v>
      </c>
      <c r="M75" s="123" t="str">
        <f>IF(L75&gt;100,"Thresholds exceeded, contact DNR for assistance.","")</f>
        <v/>
      </c>
    </row>
    <row r="76" spans="1:13" ht="14.25" hidden="1" customHeight="1" x14ac:dyDescent="0.25">
      <c r="B76" s="2" t="s">
        <v>22</v>
      </c>
      <c r="C76" s="350" t="s">
        <v>308</v>
      </c>
      <c r="D76" s="351"/>
      <c r="E76" s="119">
        <f>IF('Limestone Plant (LP-5)'!G13&gt;0,'Limestone Plant (LP-5)'!G13,'Permitted Diesel Engines'!AG58)</f>
        <v>0</v>
      </c>
      <c r="F76" s="123" t="str">
        <f>IF(E76&gt;100,"Thresholds exceeded, contact DNR for assistance.","")</f>
        <v/>
      </c>
      <c r="I76" s="2" t="s">
        <v>22</v>
      </c>
      <c r="J76" s="350" t="s">
        <v>308</v>
      </c>
      <c r="K76" s="351"/>
      <c r="L76" s="119">
        <f>IF('Limestone Plant (LP-6)'!G13&gt;0,'Limestone Plant (LP-6)'!G13,'Permitted Diesel Engines'!AG59)</f>
        <v>0</v>
      </c>
      <c r="M76" s="123" t="str">
        <f>IF(L76&gt;100,"Thresholds exceeded, contact DNR for assistance.","")</f>
        <v/>
      </c>
    </row>
    <row r="77" spans="1:13" ht="14.25" hidden="1" customHeight="1" x14ac:dyDescent="0.25">
      <c r="B77" s="2" t="s">
        <v>5</v>
      </c>
      <c r="C77" s="350" t="s">
        <v>309</v>
      </c>
      <c r="D77" s="351"/>
      <c r="E77" s="119">
        <f>IF('Limestone Plant (LP-5)'!G14&gt;0,'Limestone Plant (LP-5)'!G14,'Permitted Diesel Engines'!AH58)</f>
        <v>0</v>
      </c>
      <c r="F77" s="123" t="str">
        <f>IF(E77&gt;100,"Thresholds exceeded, contact DNR for assistance.","")</f>
        <v/>
      </c>
      <c r="I77" s="2" t="s">
        <v>5</v>
      </c>
      <c r="J77" s="350" t="s">
        <v>309</v>
      </c>
      <c r="K77" s="351"/>
      <c r="L77" s="119">
        <f>IF('Limestone Plant (LP-6)'!G14&gt;0,'Limestone Plant (LP-6)'!G14,'Permitted Diesel Engines'!AH59)</f>
        <v>0</v>
      </c>
      <c r="M77" s="123" t="str">
        <f>IF(L77&gt;100,"Thresholds exceeded, contact DNR for assistance.","")</f>
        <v/>
      </c>
    </row>
    <row r="78" spans="1:13" ht="14.25" hidden="1" customHeight="1" x14ac:dyDescent="0.25">
      <c r="B78" s="2" t="s">
        <v>6</v>
      </c>
      <c r="C78" s="350" t="s">
        <v>310</v>
      </c>
      <c r="D78" s="351"/>
      <c r="E78" s="119">
        <f>IF('Limestone Plant (LP-5)'!G15&gt;0,'Limestone Plant (LP-5)'!G15,'Permitted Diesel Engines'!AK58)</f>
        <v>0</v>
      </c>
      <c r="F78" s="123" t="str">
        <f>IF(E78&gt;100,"Thresholds exceeded, contact DNR for assistance.","")</f>
        <v/>
      </c>
      <c r="I78" s="2" t="s">
        <v>6</v>
      </c>
      <c r="J78" s="350" t="s">
        <v>310</v>
      </c>
      <c r="K78" s="351"/>
      <c r="L78" s="119">
        <f>IF('Limestone Plant (LP-6)'!G15&gt;0,'Limestone Plant (LP-6)'!G15,'Permitted Diesel Engines'!AK59)</f>
        <v>0</v>
      </c>
      <c r="M78" s="123" t="str">
        <f>IF(L78&gt;100,"Thresholds exceeded, contact DNR for assistance.","")</f>
        <v/>
      </c>
    </row>
    <row r="79" spans="1:13" ht="14.25" hidden="1" customHeight="1" x14ac:dyDescent="0.25">
      <c r="B79" s="2" t="s">
        <v>7</v>
      </c>
      <c r="C79" s="350"/>
      <c r="D79" s="352"/>
      <c r="E79" s="119"/>
      <c r="F79" s="123" t="str">
        <f>IF(E79&gt;100,"Thresholds exceeded, contact DNR for assistance.","")</f>
        <v/>
      </c>
      <c r="I79" s="2" t="s">
        <v>7</v>
      </c>
      <c r="J79" s="350"/>
      <c r="K79" s="352"/>
      <c r="L79" s="119"/>
      <c r="M79" s="123" t="str">
        <f>IF(L79&gt;100,"Thresholds exceeded, contact DNR for assistance.","")</f>
        <v/>
      </c>
    </row>
    <row r="80" spans="1:13" ht="14.25" hidden="1" customHeight="1" x14ac:dyDescent="0.25">
      <c r="B80" s="2" t="s">
        <v>8</v>
      </c>
      <c r="C80" s="350" t="s">
        <v>311</v>
      </c>
      <c r="D80" s="351"/>
      <c r="E80" s="119">
        <f>'Permitted Diesel Engines'!AL58</f>
        <v>0</v>
      </c>
      <c r="F80" s="123" t="str">
        <f>IF(E80&gt;10,"Thresholds exceeded, contact DNR for assistance.","")</f>
        <v/>
      </c>
      <c r="I80" s="2" t="s">
        <v>8</v>
      </c>
      <c r="J80" s="350" t="s">
        <v>311</v>
      </c>
      <c r="K80" s="351"/>
      <c r="L80" s="119">
        <f>'Permitted Diesel Engines'!AL59</f>
        <v>0</v>
      </c>
      <c r="M80" s="123" t="str">
        <f>IF(L80&gt;10,"Thresholds exceeded, contact DNR for assistance.","")</f>
        <v/>
      </c>
    </row>
    <row r="81" spans="1:13" ht="14.25" hidden="1" customHeight="1" x14ac:dyDescent="0.25">
      <c r="B81" s="34" t="s">
        <v>60</v>
      </c>
      <c r="C81" s="353" t="s">
        <v>312</v>
      </c>
      <c r="D81" s="354"/>
      <c r="E81" s="120">
        <f>'Permitted Diesel Engines'!AO58</f>
        <v>0</v>
      </c>
      <c r="F81" s="123" t="str">
        <f>IF(E81&gt;10,"Thresholds exceeded, contact DNR for assistance.","")</f>
        <v/>
      </c>
      <c r="I81" s="34" t="s">
        <v>60</v>
      </c>
      <c r="J81" s="353" t="s">
        <v>312</v>
      </c>
      <c r="K81" s="354"/>
      <c r="L81" s="120">
        <f>'Permitted Diesel Engines'!AO59</f>
        <v>0</v>
      </c>
      <c r="M81" s="123" t="str">
        <f>IF(L81&gt;10,"Thresholds exceeded, contact DNR for assistance.","")</f>
        <v/>
      </c>
    </row>
    <row r="82" spans="1:13" ht="14.25" hidden="1" customHeight="1" thickBot="1" x14ac:dyDescent="0.3">
      <c r="B82" s="3" t="s">
        <v>23</v>
      </c>
      <c r="C82" s="355"/>
      <c r="D82" s="356"/>
      <c r="E82" s="121">
        <f>SUM(E80:E81)</f>
        <v>0</v>
      </c>
      <c r="F82" s="123" t="str">
        <f>IF(E82&gt;25,"Thresholds exceeded, contact DNR for assistance.","")</f>
        <v/>
      </c>
      <c r="I82" s="3" t="s">
        <v>23</v>
      </c>
      <c r="J82" s="355"/>
      <c r="K82" s="356"/>
      <c r="L82" s="121">
        <f>SUM(L80:L81)</f>
        <v>0</v>
      </c>
      <c r="M82" s="123" t="str">
        <f>IF(L82&gt;25,"Thresholds exceeded, contact DNR for assistance.","")</f>
        <v/>
      </c>
    </row>
    <row r="83" spans="1:13" ht="7.5" customHeight="1" thickBot="1" x14ac:dyDescent="0.3"/>
    <row r="84" spans="1:13" ht="14.25" customHeight="1" thickBot="1" x14ac:dyDescent="0.3">
      <c r="A84" s="122" t="s">
        <v>163</v>
      </c>
      <c r="B84" s="341" t="s">
        <v>293</v>
      </c>
      <c r="C84" s="342"/>
      <c r="D84" s="342"/>
      <c r="E84" s="343"/>
      <c r="H84" s="122" t="s">
        <v>164</v>
      </c>
      <c r="I84" s="341" t="s">
        <v>293</v>
      </c>
      <c r="J84" s="342"/>
      <c r="K84" s="342"/>
      <c r="L84" s="343"/>
    </row>
    <row r="85" spans="1:13" ht="14.25" customHeight="1" x14ac:dyDescent="0.25">
      <c r="B85" s="4" t="s">
        <v>18</v>
      </c>
      <c r="C85" s="357" t="s">
        <v>313</v>
      </c>
      <c r="D85" s="358"/>
      <c r="E85" s="5" t="s">
        <v>19</v>
      </c>
      <c r="I85" s="4" t="s">
        <v>18</v>
      </c>
      <c r="J85" s="357" t="s">
        <v>313</v>
      </c>
      <c r="K85" s="358"/>
      <c r="L85" s="5" t="s">
        <v>19</v>
      </c>
    </row>
    <row r="86" spans="1:13" ht="14.25" customHeight="1" x14ac:dyDescent="0.25">
      <c r="B86" s="2" t="s">
        <v>20</v>
      </c>
      <c r="C86" s="346" t="s">
        <v>305</v>
      </c>
      <c r="D86" s="347"/>
      <c r="E86" s="119">
        <f ca="1">SUM('Limestone Plant (LP-5)'!S20:S27,'Limestone Plant (LP-5)'!S40,'Haul Roads'!AM13,'Permitted Diesel Engines'!AA58)</f>
        <v>0</v>
      </c>
      <c r="F86" s="123"/>
      <c r="I86" s="2" t="s">
        <v>20</v>
      </c>
      <c r="J86" s="346" t="s">
        <v>305</v>
      </c>
      <c r="K86" s="347"/>
      <c r="L86" s="119">
        <f ca="1">SUM('Limestone Plant (LP-6)'!S20:S27,'Limestone Plant (LP-6)'!S39,'Haul Roads'!AM14,'Permitted Diesel Engines'!AA59)</f>
        <v>0</v>
      </c>
    </row>
    <row r="87" spans="1:13" ht="14.25" customHeight="1" x14ac:dyDescent="0.25">
      <c r="B87" s="2" t="s">
        <v>21</v>
      </c>
      <c r="C87" s="348" t="s">
        <v>306</v>
      </c>
      <c r="D87" s="349"/>
      <c r="E87" s="119">
        <f ca="1">SUM('Limestone Plant (LP-5)'!S29:S36,'Limestone Plant (LP-5)'!S40,'Haul Roads'!AO13,'Permitted Diesel Engines'!AB58)</f>
        <v>0</v>
      </c>
      <c r="I87" s="2" t="s">
        <v>21</v>
      </c>
      <c r="J87" s="348" t="s">
        <v>306</v>
      </c>
      <c r="K87" s="349"/>
      <c r="L87" s="119">
        <f ca="1">SUM('Limestone Plant (LP-6)'!S29:S36,'Limestone Plant (LP-6)'!S39,'Haul Roads'!AO14,'Permitted Diesel Engines'!AB59)</f>
        <v>0</v>
      </c>
    </row>
    <row r="88" spans="1:13" ht="14.25" customHeight="1" x14ac:dyDescent="0.25">
      <c r="B88" s="2" t="s">
        <v>3</v>
      </c>
      <c r="C88" s="350" t="s">
        <v>307</v>
      </c>
      <c r="D88" s="351"/>
      <c r="E88" s="119">
        <f>'Permitted Diesel Engines'!AE58</f>
        <v>0</v>
      </c>
      <c r="I88" s="2" t="s">
        <v>3</v>
      </c>
      <c r="J88" s="350" t="s">
        <v>307</v>
      </c>
      <c r="K88" s="351"/>
      <c r="L88" s="119">
        <f>'Permitted Diesel Engines'!AE59</f>
        <v>0</v>
      </c>
    </row>
    <row r="89" spans="1:13" ht="14.25" customHeight="1" x14ac:dyDescent="0.25">
      <c r="B89" s="2" t="s">
        <v>22</v>
      </c>
      <c r="C89" s="350" t="s">
        <v>308</v>
      </c>
      <c r="D89" s="351"/>
      <c r="E89" s="119">
        <f>'Permitted Diesel Engines'!AF58</f>
        <v>0</v>
      </c>
      <c r="I89" s="2" t="s">
        <v>22</v>
      </c>
      <c r="J89" s="350" t="s">
        <v>308</v>
      </c>
      <c r="K89" s="351"/>
      <c r="L89" s="119">
        <f>'Permitted Diesel Engines'!AF59</f>
        <v>0</v>
      </c>
    </row>
    <row r="90" spans="1:13" ht="14.25" customHeight="1" x14ac:dyDescent="0.25">
      <c r="B90" s="2" t="s">
        <v>5</v>
      </c>
      <c r="C90" s="350" t="s">
        <v>309</v>
      </c>
      <c r="D90" s="351"/>
      <c r="E90" s="119">
        <f>'Permitted Diesel Engines'!AI58</f>
        <v>0</v>
      </c>
      <c r="I90" s="2" t="s">
        <v>5</v>
      </c>
      <c r="J90" s="350" t="s">
        <v>309</v>
      </c>
      <c r="K90" s="351"/>
      <c r="L90" s="119">
        <f>'Permitted Diesel Engines'!AI59</f>
        <v>0</v>
      </c>
    </row>
    <row r="91" spans="1:13" ht="14.25" customHeight="1" x14ac:dyDescent="0.25">
      <c r="B91" s="2" t="s">
        <v>6</v>
      </c>
      <c r="C91" s="350" t="s">
        <v>310</v>
      </c>
      <c r="D91" s="351"/>
      <c r="E91" s="119">
        <f>'Permitted Diesel Engines'!AJ58</f>
        <v>0</v>
      </c>
      <c r="I91" s="2" t="s">
        <v>6</v>
      </c>
      <c r="J91" s="350" t="s">
        <v>310</v>
      </c>
      <c r="K91" s="351"/>
      <c r="L91" s="119">
        <f>'Permitted Diesel Engines'!AJ59</f>
        <v>0</v>
      </c>
    </row>
    <row r="92" spans="1:13" ht="14.25" customHeight="1" x14ac:dyDescent="0.25">
      <c r="B92" s="2" t="s">
        <v>7</v>
      </c>
      <c r="C92" s="350"/>
      <c r="D92" s="352"/>
      <c r="E92" s="119"/>
      <c r="I92" s="2" t="s">
        <v>7</v>
      </c>
      <c r="J92" s="350"/>
      <c r="K92" s="352"/>
      <c r="L92" s="119"/>
    </row>
    <row r="93" spans="1:13" ht="14.25" customHeight="1" x14ac:dyDescent="0.25">
      <c r="B93" s="2" t="s">
        <v>8</v>
      </c>
      <c r="C93" s="350" t="s">
        <v>311</v>
      </c>
      <c r="D93" s="351"/>
      <c r="E93" s="119">
        <f>'Permitted Diesel Engines'!AM58</f>
        <v>0</v>
      </c>
      <c r="I93" s="2" t="s">
        <v>8</v>
      </c>
      <c r="J93" s="350" t="s">
        <v>311</v>
      </c>
      <c r="K93" s="351"/>
      <c r="L93" s="119">
        <f>'Permitted Diesel Engines'!AM59</f>
        <v>0</v>
      </c>
    </row>
    <row r="94" spans="1:13" ht="14.25" customHeight="1" x14ac:dyDescent="0.25">
      <c r="B94" s="34" t="s">
        <v>60</v>
      </c>
      <c r="C94" s="353" t="s">
        <v>312</v>
      </c>
      <c r="D94" s="354"/>
      <c r="E94" s="120">
        <f>'Permitted Diesel Engines'!AN58</f>
        <v>0</v>
      </c>
      <c r="I94" s="34" t="s">
        <v>60</v>
      </c>
      <c r="J94" s="353" t="s">
        <v>312</v>
      </c>
      <c r="K94" s="354"/>
      <c r="L94" s="120">
        <f>'Permitted Diesel Engines'!AN59</f>
        <v>0</v>
      </c>
    </row>
    <row r="95" spans="1:13" ht="15" customHeight="1" thickBot="1" x14ac:dyDescent="0.3">
      <c r="B95" s="3" t="s">
        <v>23</v>
      </c>
      <c r="C95" s="355"/>
      <c r="D95" s="356"/>
      <c r="E95" s="121">
        <f>SUM(E93:E94)</f>
        <v>0</v>
      </c>
      <c r="I95" s="3" t="s">
        <v>23</v>
      </c>
      <c r="J95" s="355"/>
      <c r="K95" s="356"/>
      <c r="L95" s="121">
        <f>SUM(L93:L94)</f>
        <v>0</v>
      </c>
    </row>
    <row r="96" spans="1:13" ht="9.75" customHeight="1" thickBot="1" x14ac:dyDescent="0.3"/>
    <row r="97" spans="1:13" ht="14.25" hidden="1" customHeight="1" thickBot="1" x14ac:dyDescent="0.3">
      <c r="A97" s="122" t="s">
        <v>165</v>
      </c>
      <c r="B97" s="341" t="s">
        <v>294</v>
      </c>
      <c r="C97" s="342"/>
      <c r="D97" s="342"/>
      <c r="E97" s="343"/>
      <c r="H97" s="122" t="s">
        <v>166</v>
      </c>
      <c r="I97" s="341" t="s">
        <v>294</v>
      </c>
      <c r="J97" s="342"/>
      <c r="K97" s="342"/>
      <c r="L97" s="343"/>
    </row>
    <row r="98" spans="1:13" ht="14.25" hidden="1" customHeight="1" x14ac:dyDescent="0.25">
      <c r="B98" s="4" t="s">
        <v>18</v>
      </c>
      <c r="C98" s="357" t="s">
        <v>313</v>
      </c>
      <c r="D98" s="358"/>
      <c r="E98" s="5" t="s">
        <v>19</v>
      </c>
      <c r="I98" s="4" t="s">
        <v>18</v>
      </c>
      <c r="J98" s="357" t="s">
        <v>313</v>
      </c>
      <c r="K98" s="358"/>
      <c r="L98" s="5" t="s">
        <v>19</v>
      </c>
    </row>
    <row r="99" spans="1:13" ht="14.25" hidden="1" customHeight="1" x14ac:dyDescent="0.25">
      <c r="B99" s="1" t="s">
        <v>20</v>
      </c>
      <c r="C99" s="346" t="s">
        <v>305</v>
      </c>
      <c r="D99" s="347"/>
      <c r="E99" s="119">
        <f ca="1">IF('Limestone Plant (LP-7)'!G10&gt;0,SUM('Limestone Plant (LP-7)'!G10,'Limestone Plant (LP-7)'!R39,'Haul Roads'!AL15,'Permitted Diesel Engines'!Z60),SUM('Limestone Plant (LP-7)'!R20:R27,'Limestone Plant (LP-7)'!R39,'Haul Roads'!AL15,'Permitted Diesel Engines'!Z60))</f>
        <v>0</v>
      </c>
      <c r="F99" s="123"/>
      <c r="I99" s="1" t="s">
        <v>20</v>
      </c>
      <c r="J99" s="346" t="s">
        <v>305</v>
      </c>
      <c r="K99" s="347"/>
      <c r="L99" s="119">
        <f ca="1">IF('Limestone Plant (LP-8)'!G10&gt;0,SUM('Limestone Plant (LP-8)'!G10,'Limestone Plant (LP-8)'!R39,'Haul Roads'!AL16,'Permitted Diesel Engines'!Z61),SUM('Limestone Plant (LP-8)'!R20:R27,'Limestone Plant (LP-8)'!R39,'Haul Roads'!AL16,'Permitted Diesel Engines'!Z61))</f>
        <v>0</v>
      </c>
      <c r="M99" s="123"/>
    </row>
    <row r="100" spans="1:13" ht="14.25" hidden="1" customHeight="1" x14ac:dyDescent="0.25">
      <c r="B100" s="2" t="s">
        <v>21</v>
      </c>
      <c r="C100" s="348" t="s">
        <v>306</v>
      </c>
      <c r="D100" s="349"/>
      <c r="E100" s="119">
        <f ca="1">IF('Limestone Plant (LP-7)'!G11&gt;0,SUM('Limestone Plant (LP-7)'!G11,'Limestone Plant (LP-7)'!R39,'Haul Roads'!AN15,'Permitted Diesel Engines'!AC60),SUM('Limestone Plant (LP-7)'!R29:R36,'Limestone Plant (LP-7)'!R39,'Haul Roads'!AN15,'Permitted Diesel Engines'!AC60))</f>
        <v>0</v>
      </c>
      <c r="F100" s="123"/>
      <c r="I100" s="2" t="s">
        <v>21</v>
      </c>
      <c r="J100" s="348" t="s">
        <v>306</v>
      </c>
      <c r="K100" s="349"/>
      <c r="L100" s="119">
        <f ca="1">IF('Limestone Plant (LP-8)'!G11&gt;0,SUM('Limestone Plant (LP-8)'!G11,'Limestone Plant (LP-8)'!R39,'Haul Roads'!AN16,'Permitted Diesel Engines'!AC61),SUM('Limestone Plant (LP-8)'!R29:R36,'Limestone Plant (LP-8)'!R39,'Haul Roads'!AN16,'Permitted Diesel Engines'!AC61))</f>
        <v>0</v>
      </c>
      <c r="M100" s="123"/>
    </row>
    <row r="101" spans="1:13" ht="14.25" hidden="1" customHeight="1" x14ac:dyDescent="0.25">
      <c r="B101" s="2" t="s">
        <v>3</v>
      </c>
      <c r="C101" s="350" t="s">
        <v>307</v>
      </c>
      <c r="D101" s="351"/>
      <c r="E101" s="119">
        <f>IF('Limestone Plant (LP-7)'!G12&gt;0,'Limestone Plant (LP-7)'!G12,'Permitted Diesel Engines'!AD60)</f>
        <v>0</v>
      </c>
      <c r="F101" s="123" t="str">
        <f>IF(E101&gt;100,"Thresholds exceeded, contact DNR for assistance.","")</f>
        <v/>
      </c>
      <c r="I101" s="2" t="s">
        <v>3</v>
      </c>
      <c r="J101" s="350" t="s">
        <v>307</v>
      </c>
      <c r="K101" s="351"/>
      <c r="L101" s="119">
        <f>IF('Limestone Plant (LP-8)'!G12&gt;0,'Limestone Plant (LP-8)'!G12,'Permitted Diesel Engines'!AD61)</f>
        <v>0</v>
      </c>
      <c r="M101" s="123" t="str">
        <f>IF(L101&gt;100,"Thresholds exceeded, contact DNR for assistance.","")</f>
        <v/>
      </c>
    </row>
    <row r="102" spans="1:13" ht="14.25" hidden="1" customHeight="1" x14ac:dyDescent="0.25">
      <c r="B102" s="2" t="s">
        <v>22</v>
      </c>
      <c r="C102" s="350" t="s">
        <v>308</v>
      </c>
      <c r="D102" s="351"/>
      <c r="E102" s="119">
        <f>IF('Limestone Plant (LP-7)'!G13&gt;0,'Limestone Plant (LP-7)'!G13,'Permitted Diesel Engines'!AG60)</f>
        <v>0</v>
      </c>
      <c r="F102" s="123" t="str">
        <f>IF(E102&gt;100,"Thresholds exceeded, contact DNR for assistance.","")</f>
        <v/>
      </c>
      <c r="I102" s="2" t="s">
        <v>22</v>
      </c>
      <c r="J102" s="350" t="s">
        <v>308</v>
      </c>
      <c r="K102" s="351"/>
      <c r="L102" s="119">
        <f>IF('Limestone Plant (LP-8)'!G13&gt;0,'Limestone Plant (LP-8)'!G13,'Permitted Diesel Engines'!AG61)</f>
        <v>0</v>
      </c>
      <c r="M102" s="123" t="str">
        <f>IF(L102&gt;100,"Thresholds exceeded, contact DNR for assistance.","")</f>
        <v/>
      </c>
    </row>
    <row r="103" spans="1:13" ht="14.25" hidden="1" customHeight="1" x14ac:dyDescent="0.25">
      <c r="B103" s="2" t="s">
        <v>5</v>
      </c>
      <c r="C103" s="350" t="s">
        <v>309</v>
      </c>
      <c r="D103" s="351"/>
      <c r="E103" s="119">
        <f>IF('Limestone Plant (LP-7)'!G14&gt;0,'Limestone Plant (LP-7)'!G14,'Permitted Diesel Engines'!AH60)</f>
        <v>0</v>
      </c>
      <c r="F103" s="123" t="str">
        <f>IF(E103&gt;100,"Thresholds exceeded, contact DNR for assistance.","")</f>
        <v/>
      </c>
      <c r="I103" s="2" t="s">
        <v>5</v>
      </c>
      <c r="J103" s="350" t="s">
        <v>309</v>
      </c>
      <c r="K103" s="351"/>
      <c r="L103" s="119">
        <f>IF('Limestone Plant (LP-8)'!G14&gt;0,'Limestone Plant (LP-8)'!G14,'Permitted Diesel Engines'!AH61)</f>
        <v>0</v>
      </c>
      <c r="M103" s="123" t="str">
        <f>IF(L103&gt;100,"Thresholds exceeded, contact DNR for assistance.","")</f>
        <v/>
      </c>
    </row>
    <row r="104" spans="1:13" ht="14.25" hidden="1" customHeight="1" x14ac:dyDescent="0.25">
      <c r="B104" s="2" t="s">
        <v>6</v>
      </c>
      <c r="C104" s="350" t="s">
        <v>310</v>
      </c>
      <c r="D104" s="351"/>
      <c r="E104" s="119">
        <f>IF('Limestone Plant (LP-7)'!G15&gt;0,'Limestone Plant (LP-7)'!G15,'Permitted Diesel Engines'!AK60)</f>
        <v>0</v>
      </c>
      <c r="F104" s="123" t="str">
        <f>IF(E104&gt;100,"Thresholds exceeded, contact DNR for assistance.","")</f>
        <v/>
      </c>
      <c r="I104" s="2" t="s">
        <v>6</v>
      </c>
      <c r="J104" s="350" t="s">
        <v>310</v>
      </c>
      <c r="K104" s="351"/>
      <c r="L104" s="119">
        <f>IF('Limestone Plant (LP-8)'!G15&gt;0,'Limestone Plant (LP-8)'!G15,'Permitted Diesel Engines'!AK61)</f>
        <v>0</v>
      </c>
      <c r="M104" s="123" t="str">
        <f>IF(L104&gt;100,"Thresholds exceeded, contact DNR for assistance.","")</f>
        <v/>
      </c>
    </row>
    <row r="105" spans="1:13" ht="14.25" hidden="1" customHeight="1" x14ac:dyDescent="0.25">
      <c r="B105" s="2" t="s">
        <v>7</v>
      </c>
      <c r="C105" s="350"/>
      <c r="D105" s="352"/>
      <c r="E105" s="119"/>
      <c r="F105" s="123" t="str">
        <f>IF(E105&gt;100,"Thresholds exceeded, contact DNR for assistance.","")</f>
        <v/>
      </c>
      <c r="I105" s="2" t="s">
        <v>7</v>
      </c>
      <c r="J105" s="350"/>
      <c r="K105" s="352"/>
      <c r="L105" s="119"/>
      <c r="M105" s="123" t="str">
        <f>IF(L105&gt;100,"Thresholds exceeded, contact DNR for assistance.","")</f>
        <v/>
      </c>
    </row>
    <row r="106" spans="1:13" ht="14.25" hidden="1" customHeight="1" x14ac:dyDescent="0.25">
      <c r="B106" s="2" t="s">
        <v>8</v>
      </c>
      <c r="C106" s="350" t="s">
        <v>311</v>
      </c>
      <c r="D106" s="351"/>
      <c r="E106" s="119">
        <f>'Permitted Diesel Engines'!AL60</f>
        <v>0</v>
      </c>
      <c r="F106" s="123" t="str">
        <f>IF(E106&gt;10,"Thresholds exceeded, contact DNR for assistance.","")</f>
        <v/>
      </c>
      <c r="I106" s="2" t="s">
        <v>8</v>
      </c>
      <c r="J106" s="350" t="s">
        <v>311</v>
      </c>
      <c r="K106" s="351"/>
      <c r="L106" s="119">
        <f>'Permitted Diesel Engines'!AL61</f>
        <v>0</v>
      </c>
      <c r="M106" s="123" t="str">
        <f>IF(L106&gt;10,"Thresholds exceeded, contact DNR for assistance.","")</f>
        <v/>
      </c>
    </row>
    <row r="107" spans="1:13" ht="14.25" hidden="1" customHeight="1" x14ac:dyDescent="0.25">
      <c r="B107" s="34" t="s">
        <v>60</v>
      </c>
      <c r="C107" s="353" t="s">
        <v>312</v>
      </c>
      <c r="D107" s="354"/>
      <c r="E107" s="120">
        <f>'Permitted Diesel Engines'!AO60</f>
        <v>0</v>
      </c>
      <c r="F107" s="123" t="str">
        <f>IF(E107&gt;10,"Thresholds exceeded, contact DNR for assistance.","")</f>
        <v/>
      </c>
      <c r="I107" s="34" t="s">
        <v>60</v>
      </c>
      <c r="J107" s="353" t="s">
        <v>312</v>
      </c>
      <c r="K107" s="354"/>
      <c r="L107" s="120">
        <f>'Permitted Diesel Engines'!AO61</f>
        <v>0</v>
      </c>
      <c r="M107" s="123" t="str">
        <f>IF(L107&gt;10,"Thresholds exceeded, contact DNR for assistance.","")</f>
        <v/>
      </c>
    </row>
    <row r="108" spans="1:13" ht="14.25" hidden="1" customHeight="1" thickBot="1" x14ac:dyDescent="0.3">
      <c r="B108" s="3" t="s">
        <v>23</v>
      </c>
      <c r="C108" s="355"/>
      <c r="D108" s="356"/>
      <c r="E108" s="121">
        <f>SUM(E106:E107)</f>
        <v>0</v>
      </c>
      <c r="F108" s="123" t="str">
        <f>IF(E108&gt;25,"Thresholds exceeded, contact DNR for assistance.","")</f>
        <v/>
      </c>
      <c r="I108" s="3" t="s">
        <v>23</v>
      </c>
      <c r="J108" s="355"/>
      <c r="K108" s="356"/>
      <c r="L108" s="121">
        <f>SUM(L106:L107)</f>
        <v>0</v>
      </c>
      <c r="M108" s="123" t="str">
        <f>IF(L108&gt;25,"Thresholds exceeded, contact DNR for assistance.","")</f>
        <v/>
      </c>
    </row>
    <row r="109" spans="1:13" ht="7.5" hidden="1" customHeight="1" thickBot="1" x14ac:dyDescent="0.3"/>
    <row r="110" spans="1:13" ht="14.25" customHeight="1" thickBot="1" x14ac:dyDescent="0.3">
      <c r="A110" s="122" t="s">
        <v>165</v>
      </c>
      <c r="B110" s="341" t="s">
        <v>293</v>
      </c>
      <c r="C110" s="342"/>
      <c r="D110" s="342"/>
      <c r="E110" s="343"/>
      <c r="H110" s="122" t="s">
        <v>166</v>
      </c>
      <c r="I110" s="341" t="s">
        <v>293</v>
      </c>
      <c r="J110" s="342"/>
      <c r="K110" s="342"/>
      <c r="L110" s="343"/>
    </row>
    <row r="111" spans="1:13" ht="14.25" customHeight="1" x14ac:dyDescent="0.25">
      <c r="B111" s="4" t="s">
        <v>18</v>
      </c>
      <c r="C111" s="357" t="s">
        <v>313</v>
      </c>
      <c r="D111" s="358"/>
      <c r="E111" s="5" t="s">
        <v>19</v>
      </c>
      <c r="I111" s="4" t="s">
        <v>18</v>
      </c>
      <c r="J111" s="357" t="s">
        <v>313</v>
      </c>
      <c r="K111" s="358"/>
      <c r="L111" s="5" t="s">
        <v>19</v>
      </c>
    </row>
    <row r="112" spans="1:13" ht="14.25" customHeight="1" x14ac:dyDescent="0.25">
      <c r="B112" s="2" t="s">
        <v>20</v>
      </c>
      <c r="C112" s="346" t="s">
        <v>305</v>
      </c>
      <c r="D112" s="347"/>
      <c r="E112" s="119">
        <f ca="1">SUM('Limestone Plant (LP-7)'!S20:S27,'Limestone Plant (LP-7)'!S39,'Haul Roads'!AM15,'Permitted Diesel Engines'!AA60)</f>
        <v>0</v>
      </c>
      <c r="F112" s="123"/>
      <c r="I112" s="2" t="s">
        <v>20</v>
      </c>
      <c r="J112" s="346" t="s">
        <v>305</v>
      </c>
      <c r="K112" s="347"/>
      <c r="L112" s="119">
        <f ca="1">SUM('Limestone Plant (LP-8)'!S20:S27,'Limestone Plant (LP-8)'!S39,'Haul Roads'!AM16,'Permitted Diesel Engines'!AA61)</f>
        <v>0</v>
      </c>
    </row>
    <row r="113" spans="1:13" ht="14.25" customHeight="1" x14ac:dyDescent="0.25">
      <c r="B113" s="2" t="s">
        <v>21</v>
      </c>
      <c r="C113" s="348" t="s">
        <v>306</v>
      </c>
      <c r="D113" s="349"/>
      <c r="E113" s="119">
        <f ca="1">SUM('Limestone Plant (LP-7)'!S29:S36,'Limestone Plant (LP-7)'!S39,'Haul Roads'!AO15,'Permitted Diesel Engines'!AB60)</f>
        <v>0</v>
      </c>
      <c r="I113" s="2" t="s">
        <v>21</v>
      </c>
      <c r="J113" s="348" t="s">
        <v>306</v>
      </c>
      <c r="K113" s="349"/>
      <c r="L113" s="119">
        <f ca="1">SUM('Limestone Plant (LP-8)'!S29:S36,'Limestone Plant (LP-8)'!S39,'Haul Roads'!AO16,'Permitted Diesel Engines'!AB61)</f>
        <v>0</v>
      </c>
    </row>
    <row r="114" spans="1:13" ht="14.25" customHeight="1" x14ac:dyDescent="0.25">
      <c r="B114" s="2" t="s">
        <v>3</v>
      </c>
      <c r="C114" s="350" t="s">
        <v>307</v>
      </c>
      <c r="D114" s="351"/>
      <c r="E114" s="119">
        <f>'Permitted Diesel Engines'!AE60</f>
        <v>0</v>
      </c>
      <c r="I114" s="2" t="s">
        <v>3</v>
      </c>
      <c r="J114" s="350" t="s">
        <v>307</v>
      </c>
      <c r="K114" s="351"/>
      <c r="L114" s="119">
        <f>'Permitted Diesel Engines'!AE61</f>
        <v>0</v>
      </c>
    </row>
    <row r="115" spans="1:13" ht="14.25" customHeight="1" x14ac:dyDescent="0.25">
      <c r="B115" s="2" t="s">
        <v>22</v>
      </c>
      <c r="C115" s="350" t="s">
        <v>308</v>
      </c>
      <c r="D115" s="351"/>
      <c r="E115" s="119">
        <f>'Permitted Diesel Engines'!AF60</f>
        <v>0</v>
      </c>
      <c r="I115" s="2" t="s">
        <v>22</v>
      </c>
      <c r="J115" s="350" t="s">
        <v>308</v>
      </c>
      <c r="K115" s="351"/>
      <c r="L115" s="119">
        <f>'Permitted Diesel Engines'!AF61</f>
        <v>0</v>
      </c>
    </row>
    <row r="116" spans="1:13" ht="14.25" customHeight="1" x14ac:dyDescent="0.25">
      <c r="B116" s="2" t="s">
        <v>5</v>
      </c>
      <c r="C116" s="350" t="s">
        <v>309</v>
      </c>
      <c r="D116" s="351"/>
      <c r="E116" s="119">
        <f>'Permitted Diesel Engines'!AI60</f>
        <v>0</v>
      </c>
      <c r="I116" s="2" t="s">
        <v>5</v>
      </c>
      <c r="J116" s="350" t="s">
        <v>309</v>
      </c>
      <c r="K116" s="351"/>
      <c r="L116" s="119">
        <f>'Permitted Diesel Engines'!AI61</f>
        <v>0</v>
      </c>
    </row>
    <row r="117" spans="1:13" ht="14.25" customHeight="1" x14ac:dyDescent="0.25">
      <c r="B117" s="2" t="s">
        <v>6</v>
      </c>
      <c r="C117" s="350" t="s">
        <v>310</v>
      </c>
      <c r="D117" s="351"/>
      <c r="E117" s="119">
        <f>'Permitted Diesel Engines'!AJ60</f>
        <v>0</v>
      </c>
      <c r="I117" s="2" t="s">
        <v>6</v>
      </c>
      <c r="J117" s="350" t="s">
        <v>310</v>
      </c>
      <c r="K117" s="351"/>
      <c r="L117" s="119">
        <f>'Permitted Diesel Engines'!AJ61</f>
        <v>0</v>
      </c>
    </row>
    <row r="118" spans="1:13" ht="14.25" customHeight="1" x14ac:dyDescent="0.25">
      <c r="B118" s="2" t="s">
        <v>7</v>
      </c>
      <c r="C118" s="350"/>
      <c r="D118" s="352"/>
      <c r="E118" s="119"/>
      <c r="I118" s="2" t="s">
        <v>7</v>
      </c>
      <c r="J118" s="350"/>
      <c r="K118" s="352"/>
      <c r="L118" s="119"/>
    </row>
    <row r="119" spans="1:13" ht="14.25" customHeight="1" x14ac:dyDescent="0.25">
      <c r="B119" s="2" t="s">
        <v>8</v>
      </c>
      <c r="C119" s="350" t="s">
        <v>311</v>
      </c>
      <c r="D119" s="351"/>
      <c r="E119" s="119">
        <f>'Permitted Diesel Engines'!AM60</f>
        <v>0</v>
      </c>
      <c r="I119" s="2" t="s">
        <v>8</v>
      </c>
      <c r="J119" s="350" t="s">
        <v>311</v>
      </c>
      <c r="K119" s="351"/>
      <c r="L119" s="119">
        <f>'Permitted Diesel Engines'!AM61</f>
        <v>0</v>
      </c>
    </row>
    <row r="120" spans="1:13" ht="14.25" customHeight="1" x14ac:dyDescent="0.25">
      <c r="B120" s="34" t="s">
        <v>60</v>
      </c>
      <c r="C120" s="353" t="s">
        <v>312</v>
      </c>
      <c r="D120" s="354"/>
      <c r="E120" s="120">
        <f>'Permitted Diesel Engines'!AN60</f>
        <v>0</v>
      </c>
      <c r="I120" s="34" t="s">
        <v>60</v>
      </c>
      <c r="J120" s="353" t="s">
        <v>312</v>
      </c>
      <c r="K120" s="354"/>
      <c r="L120" s="120">
        <f>'Permitted Diesel Engines'!AN61</f>
        <v>0</v>
      </c>
    </row>
    <row r="121" spans="1:13" ht="14.25" customHeight="1" thickBot="1" x14ac:dyDescent="0.3">
      <c r="B121" s="3" t="s">
        <v>23</v>
      </c>
      <c r="C121" s="355"/>
      <c r="D121" s="356"/>
      <c r="E121" s="121">
        <f>SUM(E119:E120)</f>
        <v>0</v>
      </c>
      <c r="I121" s="3" t="s">
        <v>23</v>
      </c>
      <c r="J121" s="355"/>
      <c r="K121" s="356"/>
      <c r="L121" s="121">
        <f>SUM(L119:L120)</f>
        <v>0</v>
      </c>
    </row>
    <row r="122" spans="1:13" ht="9.75" customHeight="1" thickBot="1" x14ac:dyDescent="0.3"/>
    <row r="123" spans="1:13" ht="14.25" hidden="1" customHeight="1" thickBot="1" x14ac:dyDescent="0.3">
      <c r="A123" s="122" t="s">
        <v>167</v>
      </c>
      <c r="B123" s="341" t="s">
        <v>294</v>
      </c>
      <c r="C123" s="342"/>
      <c r="D123" s="342"/>
      <c r="E123" s="343"/>
      <c r="H123" s="122" t="s">
        <v>168</v>
      </c>
      <c r="I123" s="341" t="s">
        <v>294</v>
      </c>
      <c r="J123" s="342"/>
      <c r="K123" s="342"/>
      <c r="L123" s="343"/>
    </row>
    <row r="124" spans="1:13" ht="14.25" hidden="1" customHeight="1" x14ac:dyDescent="0.25">
      <c r="B124" s="4" t="s">
        <v>18</v>
      </c>
      <c r="C124" s="359" t="s">
        <v>313</v>
      </c>
      <c r="D124" s="246"/>
      <c r="E124" s="5" t="s">
        <v>19</v>
      </c>
      <c r="I124" s="4" t="s">
        <v>18</v>
      </c>
      <c r="J124" s="357" t="s">
        <v>313</v>
      </c>
      <c r="K124" s="358"/>
      <c r="L124" s="5" t="s">
        <v>19</v>
      </c>
    </row>
    <row r="125" spans="1:13" ht="14.25" hidden="1" customHeight="1" x14ac:dyDescent="0.25">
      <c r="B125" s="1" t="s">
        <v>20</v>
      </c>
      <c r="C125" s="346" t="s">
        <v>305</v>
      </c>
      <c r="D125" s="347"/>
      <c r="E125" s="119">
        <f ca="1">IF('Limestone Plant (LP-9)'!G10&gt;0,SUM('Limestone Plant (LP-9)'!G10,'Limestone Plant (LP-9)'!R39,'Haul Roads'!AL17,'Permitted Diesel Engines'!Z62),SUM('Limestone Plant (LP-9)'!R20:R27,'Limestone Plant (LP-9)'!R39,'Haul Roads'!AL17,'Permitted Diesel Engines'!Z62))</f>
        <v>0</v>
      </c>
      <c r="F125" s="123"/>
      <c r="I125" s="1" t="s">
        <v>20</v>
      </c>
      <c r="J125" s="346" t="s">
        <v>305</v>
      </c>
      <c r="K125" s="347"/>
      <c r="L125" s="119">
        <f ca="1">IF('Limestone Plant (LP-9)'!G10&gt;0,SUM('Limestone Plant (LP-9)'!G10,'Limestone Plant (LP-9)'!R39,'Haul Roads'!AL18,'Permitted Diesel Engines'!Z63),SUM('Limestone Plant (LP-9)'!R20:R27,'Limestone Plant (LP-9)'!R39,'Haul Roads'!AL18,'Permitted Diesel Engines'!Z63))</f>
        <v>0</v>
      </c>
      <c r="M125" s="123"/>
    </row>
    <row r="126" spans="1:13" ht="14.25" hidden="1" customHeight="1" x14ac:dyDescent="0.25">
      <c r="B126" s="2" t="s">
        <v>21</v>
      </c>
      <c r="C126" s="348" t="s">
        <v>306</v>
      </c>
      <c r="D126" s="349"/>
      <c r="E126" s="119">
        <f ca="1">IF('Limestone Plant (LP-9)'!G11&gt;0,SUM('Limestone Plant (LP-9)'!G11,'Limestone Plant (LP-9)'!R39,'Haul Roads'!AN17,'Permitted Diesel Engines'!AC62),SUM('Limestone Plant (LP-9)'!R29:R36,'Limestone Plant (LP-9)'!R39,'Haul Roads'!AN17,'Permitted Diesel Engines'!AC62))</f>
        <v>0</v>
      </c>
      <c r="F126" s="123"/>
      <c r="I126" s="2" t="s">
        <v>21</v>
      </c>
      <c r="J126" s="348" t="s">
        <v>306</v>
      </c>
      <c r="K126" s="349"/>
      <c r="L126" s="119">
        <f ca="1">IF('Limestone Plant (LP-9)'!G11&gt;0,SUM('Limestone Plant (LP-9)'!G11,'Limestone Plant (LP-9)'!R39,'Haul Roads'!AN18,'Permitted Diesel Engines'!AC63),SUM('Limestone Plant (LP-9)'!R29:R36,'Limestone Plant (LP-9)'!R39,'Haul Roads'!AN18,'Permitted Diesel Engines'!AC63))</f>
        <v>0</v>
      </c>
      <c r="M126" s="123"/>
    </row>
    <row r="127" spans="1:13" ht="14.25" hidden="1" customHeight="1" x14ac:dyDescent="0.25">
      <c r="B127" s="2" t="s">
        <v>3</v>
      </c>
      <c r="C127" s="350" t="s">
        <v>307</v>
      </c>
      <c r="D127" s="351"/>
      <c r="E127" s="119">
        <f>IF('Limestone Plant (LP-9)'!G12&gt;0,'Limestone Plant (LP-9)'!G12,'Permitted Diesel Engines'!AD62)</f>
        <v>0</v>
      </c>
      <c r="F127" s="123" t="str">
        <f>IF(E127&gt;100,"Thresholds exceeded, contact DNR for assistance.","")</f>
        <v/>
      </c>
      <c r="I127" s="2" t="s">
        <v>3</v>
      </c>
      <c r="J127" s="350" t="s">
        <v>307</v>
      </c>
      <c r="K127" s="351"/>
      <c r="L127" s="119">
        <f>IF('Limestone Plant (LP-9)'!G12&gt;0,'Limestone Plant (LP-9)'!G12,'Permitted Diesel Engines'!AD63)</f>
        <v>0</v>
      </c>
      <c r="M127" s="123" t="str">
        <f>IF(L127&gt;100,"Thresholds exceeded, contact DNR for assistance.","")</f>
        <v/>
      </c>
    </row>
    <row r="128" spans="1:13" ht="14.25" hidden="1" customHeight="1" x14ac:dyDescent="0.25">
      <c r="B128" s="2" t="s">
        <v>22</v>
      </c>
      <c r="C128" s="350" t="s">
        <v>308</v>
      </c>
      <c r="D128" s="351"/>
      <c r="E128" s="119">
        <f>IF('Limestone Plant (LP-9)'!G13&gt;0,'Limestone Plant (LP-9)'!G13,'Permitted Diesel Engines'!AG62)</f>
        <v>0</v>
      </c>
      <c r="F128" s="123" t="str">
        <f>IF(E128&gt;100,"Thresholds exceeded, contact DNR for assistance.","")</f>
        <v/>
      </c>
      <c r="I128" s="2" t="s">
        <v>22</v>
      </c>
      <c r="J128" s="350" t="s">
        <v>308</v>
      </c>
      <c r="K128" s="351"/>
      <c r="L128" s="119">
        <f>IF('Limestone Plant (LP-9)'!G13&gt;0,'Limestone Plant (LP-9)'!G13,'Permitted Diesel Engines'!AG63)</f>
        <v>0</v>
      </c>
      <c r="M128" s="123" t="str">
        <f>IF(L128&gt;100,"Thresholds exceeded, contact DNR for assistance.","")</f>
        <v/>
      </c>
    </row>
    <row r="129" spans="1:13" ht="14.25" hidden="1" customHeight="1" x14ac:dyDescent="0.25">
      <c r="B129" s="2" t="s">
        <v>5</v>
      </c>
      <c r="C129" s="350" t="s">
        <v>309</v>
      </c>
      <c r="D129" s="351"/>
      <c r="E129" s="119">
        <f>IF('Limestone Plant (LP-9)'!G14&gt;0,'Limestone Plant (LP-9)'!G14,'Permitted Diesel Engines'!AH62)</f>
        <v>0</v>
      </c>
      <c r="F129" s="123" t="str">
        <f>IF(E129&gt;100,"Thresholds exceeded, contact DNR for assistance.","")</f>
        <v/>
      </c>
      <c r="I129" s="2" t="s">
        <v>5</v>
      </c>
      <c r="J129" s="350" t="s">
        <v>309</v>
      </c>
      <c r="K129" s="351"/>
      <c r="L129" s="119">
        <f>IF('Limestone Plant (LP-9)'!G14&gt;0,'Limestone Plant (LP-9)'!G14,'Permitted Diesel Engines'!AH63)</f>
        <v>0</v>
      </c>
      <c r="M129" s="123" t="str">
        <f>IF(L129&gt;100,"Thresholds exceeded, contact DNR for assistance.","")</f>
        <v/>
      </c>
    </row>
    <row r="130" spans="1:13" ht="14.25" hidden="1" customHeight="1" x14ac:dyDescent="0.25">
      <c r="B130" s="2" t="s">
        <v>6</v>
      </c>
      <c r="C130" s="350" t="s">
        <v>310</v>
      </c>
      <c r="D130" s="351"/>
      <c r="E130" s="119">
        <f>IF('Limestone Plant (LP-9)'!G15&gt;0,'Limestone Plant (LP-9)'!G15,'Permitted Diesel Engines'!AK62)</f>
        <v>0</v>
      </c>
      <c r="F130" s="123" t="str">
        <f>IF(E130&gt;100,"Thresholds exceeded, contact DNR for assistance.","")</f>
        <v/>
      </c>
      <c r="I130" s="2" t="s">
        <v>6</v>
      </c>
      <c r="J130" s="350" t="s">
        <v>310</v>
      </c>
      <c r="K130" s="351"/>
      <c r="L130" s="119">
        <f>IF('Limestone Plant (LP-9)'!G15&gt;0,'Limestone Plant (LP-9)'!G15,'Permitted Diesel Engines'!AK63)</f>
        <v>0</v>
      </c>
      <c r="M130" s="123" t="str">
        <f>IF(L130&gt;100,"Thresholds exceeded, contact DNR for assistance.","")</f>
        <v/>
      </c>
    </row>
    <row r="131" spans="1:13" ht="14.25" hidden="1" customHeight="1" x14ac:dyDescent="0.25">
      <c r="B131" s="2" t="s">
        <v>7</v>
      </c>
      <c r="C131" s="350"/>
      <c r="D131" s="352"/>
      <c r="E131" s="119"/>
      <c r="F131" s="123" t="str">
        <f>IF(E131&gt;100,"Thresholds exceeded, contact DNR for assistance.","")</f>
        <v/>
      </c>
      <c r="I131" s="2" t="s">
        <v>7</v>
      </c>
      <c r="J131" s="350"/>
      <c r="K131" s="352"/>
      <c r="L131" s="119"/>
      <c r="M131" s="123" t="str">
        <f>IF(L131&gt;100,"Thresholds exceeded, contact DNR for assistance.","")</f>
        <v/>
      </c>
    </row>
    <row r="132" spans="1:13" ht="14.25" hidden="1" customHeight="1" x14ac:dyDescent="0.25">
      <c r="B132" s="2" t="s">
        <v>8</v>
      </c>
      <c r="C132" s="350" t="s">
        <v>311</v>
      </c>
      <c r="D132" s="351"/>
      <c r="E132" s="119">
        <f>'Permitted Diesel Engines'!AL62</f>
        <v>0</v>
      </c>
      <c r="F132" s="123" t="str">
        <f>IF(E132&gt;10,"Thresholds exceeded, contact DNR for assistance.","")</f>
        <v/>
      </c>
      <c r="I132" s="2" t="s">
        <v>8</v>
      </c>
      <c r="J132" s="350" t="s">
        <v>311</v>
      </c>
      <c r="K132" s="351"/>
      <c r="L132" s="119">
        <f>'Permitted Diesel Engines'!AL63</f>
        <v>0</v>
      </c>
      <c r="M132" s="123" t="str">
        <f>IF(L132&gt;10,"Thresholds exceeded, contact DNR for assistance.","")</f>
        <v/>
      </c>
    </row>
    <row r="133" spans="1:13" ht="14.25" hidden="1" customHeight="1" x14ac:dyDescent="0.25">
      <c r="B133" s="34" t="s">
        <v>60</v>
      </c>
      <c r="C133" s="353" t="s">
        <v>312</v>
      </c>
      <c r="D133" s="354"/>
      <c r="E133" s="120">
        <f>'Permitted Diesel Engines'!AO62</f>
        <v>0</v>
      </c>
      <c r="F133" s="123" t="str">
        <f>IF(E133&gt;10,"Thresholds exceeded, contact DNR for assistance.","")</f>
        <v/>
      </c>
      <c r="I133" s="34" t="s">
        <v>60</v>
      </c>
      <c r="J133" s="353" t="s">
        <v>312</v>
      </c>
      <c r="K133" s="354"/>
      <c r="L133" s="120">
        <f>'Permitted Diesel Engines'!AO63</f>
        <v>0</v>
      </c>
      <c r="M133" s="123" t="str">
        <f>IF(L133&gt;10,"Thresholds exceeded, contact DNR for assistance.","")</f>
        <v/>
      </c>
    </row>
    <row r="134" spans="1:13" ht="14.25" hidden="1" customHeight="1" thickBot="1" x14ac:dyDescent="0.3">
      <c r="B134" s="3" t="s">
        <v>23</v>
      </c>
      <c r="C134" s="355"/>
      <c r="D134" s="356"/>
      <c r="E134" s="121">
        <f>SUM(E132:E133)</f>
        <v>0</v>
      </c>
      <c r="F134" s="123" t="str">
        <f>IF(E134&gt;25,"Thresholds exceeded, contact DNR for assistance.","")</f>
        <v/>
      </c>
      <c r="I134" s="3" t="s">
        <v>23</v>
      </c>
      <c r="J134" s="355"/>
      <c r="K134" s="356"/>
      <c r="L134" s="121">
        <f>SUM(L132:L133)</f>
        <v>0</v>
      </c>
      <c r="M134" s="123" t="str">
        <f>IF(L134&gt;25,"Thresholds exceeded, contact DNR for assistance.","")</f>
        <v/>
      </c>
    </row>
    <row r="135" spans="1:13" ht="7.5" hidden="1" customHeight="1" thickBot="1" x14ac:dyDescent="0.3"/>
    <row r="136" spans="1:13" ht="13.5" customHeight="1" thickBot="1" x14ac:dyDescent="0.3">
      <c r="A136" s="122" t="s">
        <v>167</v>
      </c>
      <c r="B136" s="341" t="s">
        <v>293</v>
      </c>
      <c r="C136" s="342"/>
      <c r="D136" s="342"/>
      <c r="E136" s="343"/>
      <c r="H136" s="122" t="s">
        <v>168</v>
      </c>
      <c r="I136" s="341" t="s">
        <v>293</v>
      </c>
      <c r="J136" s="342"/>
      <c r="K136" s="342"/>
      <c r="L136" s="343"/>
    </row>
    <row r="137" spans="1:13" ht="13.5" customHeight="1" x14ac:dyDescent="0.25">
      <c r="B137" s="4" t="s">
        <v>18</v>
      </c>
      <c r="C137" s="357" t="s">
        <v>313</v>
      </c>
      <c r="D137" s="358"/>
      <c r="E137" s="5" t="s">
        <v>19</v>
      </c>
      <c r="I137" s="4" t="s">
        <v>18</v>
      </c>
      <c r="J137" s="357" t="s">
        <v>313</v>
      </c>
      <c r="K137" s="358"/>
      <c r="L137" s="5" t="s">
        <v>19</v>
      </c>
    </row>
    <row r="138" spans="1:13" ht="13.5" customHeight="1" x14ac:dyDescent="0.25">
      <c r="B138" s="2" t="s">
        <v>20</v>
      </c>
      <c r="C138" s="346" t="s">
        <v>305</v>
      </c>
      <c r="D138" s="347"/>
      <c r="E138" s="119">
        <f ca="1">SUM('Limestone Plant (LP-9)'!S20:S27,'Limestone Plant (LP-9)'!S39,'Haul Roads'!AM17,'Permitted Diesel Engines'!AA62)</f>
        <v>0</v>
      </c>
      <c r="I138" s="2" t="s">
        <v>20</v>
      </c>
      <c r="J138" s="346" t="s">
        <v>305</v>
      </c>
      <c r="K138" s="347"/>
      <c r="L138" s="119">
        <f ca="1">SUM('Limestone Plant (LP-10)'!S20:S27,'Limestone Plant (LP-10)'!S39,'Haul Roads'!AM18,'Permitted Diesel Engines'!AA63)</f>
        <v>0</v>
      </c>
    </row>
    <row r="139" spans="1:13" ht="13.5" customHeight="1" x14ac:dyDescent="0.25">
      <c r="B139" s="2" t="s">
        <v>21</v>
      </c>
      <c r="C139" s="348" t="s">
        <v>306</v>
      </c>
      <c r="D139" s="349"/>
      <c r="E139" s="119">
        <f ca="1">SUM('Limestone Plant (LP-9)'!S29:S36,'Limestone Plant (LP-9)'!S39,'Haul Roads'!AO17,'Permitted Diesel Engines'!AB62)</f>
        <v>0</v>
      </c>
      <c r="I139" s="2" t="s">
        <v>21</v>
      </c>
      <c r="J139" s="348" t="s">
        <v>306</v>
      </c>
      <c r="K139" s="349"/>
      <c r="L139" s="119">
        <f ca="1">SUM('Limestone Plant (LP-10)'!S29:S36,'Limestone Plant (LP-10)'!S39,'Haul Roads'!AO18,'Permitted Diesel Engines'!AB63)</f>
        <v>0</v>
      </c>
    </row>
    <row r="140" spans="1:13" ht="13.5" customHeight="1" x14ac:dyDescent="0.25">
      <c r="B140" s="2" t="s">
        <v>3</v>
      </c>
      <c r="C140" s="350" t="s">
        <v>307</v>
      </c>
      <c r="D140" s="351"/>
      <c r="E140" s="119">
        <f>'Permitted Diesel Engines'!AE62</f>
        <v>0</v>
      </c>
      <c r="I140" s="2" t="s">
        <v>3</v>
      </c>
      <c r="J140" s="350" t="s">
        <v>307</v>
      </c>
      <c r="K140" s="351"/>
      <c r="L140" s="119">
        <f>'Permitted Diesel Engines'!AE63</f>
        <v>0</v>
      </c>
    </row>
    <row r="141" spans="1:13" ht="13.5" customHeight="1" x14ac:dyDescent="0.25">
      <c r="B141" s="2" t="s">
        <v>22</v>
      </c>
      <c r="C141" s="350" t="s">
        <v>308</v>
      </c>
      <c r="D141" s="351"/>
      <c r="E141" s="119">
        <f>'Permitted Diesel Engines'!AF62</f>
        <v>0</v>
      </c>
      <c r="I141" s="2" t="s">
        <v>22</v>
      </c>
      <c r="J141" s="350" t="s">
        <v>308</v>
      </c>
      <c r="K141" s="351"/>
      <c r="L141" s="119">
        <f>'Permitted Diesel Engines'!AF63</f>
        <v>0</v>
      </c>
    </row>
    <row r="142" spans="1:13" ht="13.5" customHeight="1" x14ac:dyDescent="0.25">
      <c r="B142" s="2" t="s">
        <v>5</v>
      </c>
      <c r="C142" s="350" t="s">
        <v>309</v>
      </c>
      <c r="D142" s="351"/>
      <c r="E142" s="119">
        <f>'Permitted Diesel Engines'!AI62</f>
        <v>0</v>
      </c>
      <c r="I142" s="2" t="s">
        <v>5</v>
      </c>
      <c r="J142" s="350" t="s">
        <v>309</v>
      </c>
      <c r="K142" s="351"/>
      <c r="L142" s="119">
        <f>'Permitted Diesel Engines'!AI63</f>
        <v>0</v>
      </c>
    </row>
    <row r="143" spans="1:13" ht="13.5" customHeight="1" x14ac:dyDescent="0.25">
      <c r="B143" s="2" t="s">
        <v>6</v>
      </c>
      <c r="C143" s="350" t="s">
        <v>310</v>
      </c>
      <c r="D143" s="351"/>
      <c r="E143" s="119">
        <f>'Permitted Diesel Engines'!AJ62</f>
        <v>0</v>
      </c>
      <c r="I143" s="2" t="s">
        <v>6</v>
      </c>
      <c r="J143" s="350" t="s">
        <v>310</v>
      </c>
      <c r="K143" s="351"/>
      <c r="L143" s="119">
        <f>'Permitted Diesel Engines'!AJ63</f>
        <v>0</v>
      </c>
    </row>
    <row r="144" spans="1:13" ht="13.5" customHeight="1" x14ac:dyDescent="0.25">
      <c r="B144" s="2" t="s">
        <v>7</v>
      </c>
      <c r="C144" s="350"/>
      <c r="D144" s="352"/>
      <c r="E144" s="119"/>
      <c r="I144" s="2" t="s">
        <v>7</v>
      </c>
      <c r="J144" s="350"/>
      <c r="K144" s="352"/>
      <c r="L144" s="119"/>
    </row>
    <row r="145" spans="2:12" ht="13.5" customHeight="1" x14ac:dyDescent="0.25">
      <c r="B145" s="2" t="s">
        <v>8</v>
      </c>
      <c r="C145" s="350" t="s">
        <v>311</v>
      </c>
      <c r="D145" s="351"/>
      <c r="E145" s="119">
        <f>'Permitted Diesel Engines'!AM62</f>
        <v>0</v>
      </c>
      <c r="I145" s="2" t="s">
        <v>8</v>
      </c>
      <c r="J145" s="350" t="s">
        <v>311</v>
      </c>
      <c r="K145" s="351"/>
      <c r="L145" s="119">
        <f>'Permitted Diesel Engines'!AM63</f>
        <v>0</v>
      </c>
    </row>
    <row r="146" spans="2:12" ht="13.5" customHeight="1" x14ac:dyDescent="0.25">
      <c r="B146" s="34" t="s">
        <v>60</v>
      </c>
      <c r="C146" s="353" t="s">
        <v>312</v>
      </c>
      <c r="D146" s="354"/>
      <c r="E146" s="120">
        <f>'Permitted Diesel Engines'!AN62</f>
        <v>0</v>
      </c>
      <c r="I146" s="34" t="s">
        <v>60</v>
      </c>
      <c r="J146" s="353" t="s">
        <v>312</v>
      </c>
      <c r="K146" s="354"/>
      <c r="L146" s="120">
        <f>'Permitted Diesel Engines'!AN63</f>
        <v>0</v>
      </c>
    </row>
    <row r="147" spans="2:12" ht="13.5" customHeight="1" thickBot="1" x14ac:dyDescent="0.3">
      <c r="B147" s="3" t="s">
        <v>23</v>
      </c>
      <c r="C147" s="355"/>
      <c r="D147" s="356"/>
      <c r="E147" s="121">
        <f>SUM(E145:E146)</f>
        <v>0</v>
      </c>
      <c r="I147" s="3" t="s">
        <v>23</v>
      </c>
      <c r="J147" s="355"/>
      <c r="K147" s="356"/>
      <c r="L147" s="121"/>
    </row>
  </sheetData>
  <sheetProtection algorithmName="SHA-512" hashValue="H90dG4eYfLNpxHDg4SWNiHE1dqOP5vSiFGh/zNDTmLJmUzaCVbS44lliqCdpSKCBpyNN/+RWVuvrLtUCkcA74g==" saltValue="OgCYJEq5X/1MHhEluDyMcA==" spinCount="100000" sheet="1" objects="1" scenarios="1"/>
  <pageMargins left="0.7" right="0.7" top="0.75" bottom="0.75" header="0.3" footer="0.3"/>
  <pageSetup scale="71" fitToHeight="0" orientation="portrait" verticalDpi="3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S45"/>
  <sheetViews>
    <sheetView workbookViewId="0"/>
  </sheetViews>
  <sheetFormatPr defaultColWidth="8.85546875" defaultRowHeight="15" x14ac:dyDescent="0.25"/>
  <cols>
    <col min="1" max="1" width="31.42578125" style="18" customWidth="1"/>
    <col min="2" max="2" width="9.140625" style="18" customWidth="1"/>
    <col min="3" max="3" width="10" style="18" bestFit="1" customWidth="1"/>
    <col min="4" max="4" width="8.85546875" style="18"/>
    <col min="5" max="5" width="16.28515625" style="18" bestFit="1" customWidth="1"/>
    <col min="6" max="6" width="8.85546875" style="18"/>
    <col min="7" max="7" width="16.140625" style="18" customWidth="1"/>
    <col min="8" max="8" width="6.85546875" style="18" customWidth="1"/>
    <col min="9" max="9" width="16.42578125" style="18" customWidth="1"/>
    <col min="10" max="10" width="8.85546875" style="18"/>
    <col min="11" max="11" width="16.28515625" style="18" bestFit="1" customWidth="1"/>
    <col min="12" max="12" width="8.85546875" style="18"/>
    <col min="13" max="13" width="16.28515625" style="18" bestFit="1" customWidth="1"/>
    <col min="14" max="14" width="8.85546875" style="18"/>
    <col min="15" max="15" width="16.28515625" style="18" bestFit="1" customWidth="1"/>
    <col min="16" max="16" width="14" style="18" bestFit="1" customWidth="1"/>
    <col min="17" max="17" width="16.28515625" style="18" bestFit="1" customWidth="1"/>
    <col min="18" max="18" width="8.85546875" style="18"/>
    <col min="19" max="19" width="16.28515625" style="18" bestFit="1" customWidth="1"/>
    <col min="20" max="16384" width="8.85546875" style="18"/>
  </cols>
  <sheetData>
    <row r="1" spans="1:7" ht="18.75" x14ac:dyDescent="0.3">
      <c r="A1" s="35" t="s">
        <v>76</v>
      </c>
    </row>
    <row r="2" spans="1:7" x14ac:dyDescent="0.25">
      <c r="B2" s="19" t="s">
        <v>50</v>
      </c>
    </row>
    <row r="3" spans="1:7" x14ac:dyDescent="0.25">
      <c r="A3" s="23" t="s">
        <v>35</v>
      </c>
      <c r="B3" s="64"/>
      <c r="C3" s="64"/>
      <c r="D3" s="64"/>
      <c r="E3" s="64"/>
      <c r="F3" s="64"/>
      <c r="G3" s="64"/>
    </row>
    <row r="4" spans="1:7" x14ac:dyDescent="0.25">
      <c r="A4" s="17" t="s">
        <v>0</v>
      </c>
      <c r="B4" s="17" t="s">
        <v>9</v>
      </c>
      <c r="C4" s="17"/>
      <c r="D4" s="17" t="s">
        <v>45</v>
      </c>
      <c r="E4" s="17" t="s">
        <v>2</v>
      </c>
      <c r="F4" s="17" t="s">
        <v>46</v>
      </c>
      <c r="G4" s="17" t="s">
        <v>2</v>
      </c>
    </row>
    <row r="5" spans="1:7" x14ac:dyDescent="0.25">
      <c r="A5" s="18" t="s">
        <v>43</v>
      </c>
      <c r="B5" s="18">
        <v>30502006</v>
      </c>
      <c r="D5" s="18">
        <v>4.4999999999999999E-4</v>
      </c>
      <c r="E5" s="18" t="s">
        <v>47</v>
      </c>
      <c r="F5" s="18">
        <v>1.1000000000000001E-3</v>
      </c>
      <c r="G5" s="18" t="s">
        <v>47</v>
      </c>
    </row>
    <row r="6" spans="1:7" x14ac:dyDescent="0.25">
      <c r="A6" s="18" t="s">
        <v>40</v>
      </c>
      <c r="B6" s="18">
        <v>30502005</v>
      </c>
      <c r="D6" s="18">
        <v>1.17E-2</v>
      </c>
      <c r="E6" s="18" t="s">
        <v>47</v>
      </c>
      <c r="F6" s="18">
        <v>1.4999999999999999E-2</v>
      </c>
      <c r="G6" s="18" t="s">
        <v>47</v>
      </c>
    </row>
    <row r="7" spans="1:7" x14ac:dyDescent="0.25">
      <c r="A7" s="18" t="s">
        <v>41</v>
      </c>
      <c r="B7" s="18">
        <v>30502021</v>
      </c>
      <c r="D7" s="18">
        <v>7.1999999999999995E-2</v>
      </c>
      <c r="E7" s="18" t="s">
        <v>47</v>
      </c>
      <c r="F7" s="18">
        <v>7.1999999999999995E-2</v>
      </c>
      <c r="G7" s="18" t="s">
        <v>47</v>
      </c>
    </row>
    <row r="8" spans="1:7" x14ac:dyDescent="0.25">
      <c r="A8" s="18" t="s">
        <v>38</v>
      </c>
      <c r="B8" s="18">
        <v>30502001</v>
      </c>
      <c r="D8" s="18">
        <v>8.0999999999999996E-4</v>
      </c>
      <c r="E8" s="18" t="s">
        <v>47</v>
      </c>
      <c r="F8" s="18">
        <v>2.3999999999999998E-3</v>
      </c>
      <c r="G8" s="18" t="s">
        <v>47</v>
      </c>
    </row>
    <row r="9" spans="1:7" x14ac:dyDescent="0.25">
      <c r="A9" s="18" t="s">
        <v>36</v>
      </c>
      <c r="B9" s="18">
        <v>30502004</v>
      </c>
      <c r="D9" s="18">
        <v>3.7499999999999999E-3</v>
      </c>
      <c r="E9" s="18" t="s">
        <v>47</v>
      </c>
      <c r="F9" s="18">
        <v>8.6999999999999994E-3</v>
      </c>
      <c r="G9" s="18" t="s">
        <v>47</v>
      </c>
    </row>
    <row r="10" spans="1:7" x14ac:dyDescent="0.25">
      <c r="A10" s="18" t="s">
        <v>37</v>
      </c>
      <c r="B10" s="18">
        <v>30502002</v>
      </c>
      <c r="D10" s="18">
        <v>8.0999999999999996E-4</v>
      </c>
      <c r="E10" s="18" t="s">
        <v>47</v>
      </c>
      <c r="F10" s="18">
        <v>2.3999999999999998E-3</v>
      </c>
      <c r="G10" s="18" t="s">
        <v>47</v>
      </c>
    </row>
    <row r="11" spans="1:7" x14ac:dyDescent="0.25">
      <c r="A11" s="18" t="s">
        <v>44</v>
      </c>
      <c r="B11" s="18">
        <v>30502507</v>
      </c>
      <c r="D11" s="18">
        <v>3.64</v>
      </c>
      <c r="E11" s="18" t="s">
        <v>49</v>
      </c>
      <c r="F11" s="18">
        <v>3.64</v>
      </c>
      <c r="G11" s="18" t="s">
        <v>49</v>
      </c>
    </row>
    <row r="12" spans="1:7" x14ac:dyDescent="0.25">
      <c r="A12" s="18" t="s">
        <v>39</v>
      </c>
      <c r="B12" s="18">
        <v>30502003</v>
      </c>
      <c r="D12" s="18">
        <v>8.0999999999999996E-4</v>
      </c>
      <c r="E12" s="18" t="s">
        <v>47</v>
      </c>
      <c r="F12" s="18">
        <v>2.3999999999999998E-3</v>
      </c>
      <c r="G12" s="18" t="s">
        <v>47</v>
      </c>
    </row>
    <row r="13" spans="1:7" x14ac:dyDescent="0.25">
      <c r="A13" s="18" t="s">
        <v>42</v>
      </c>
      <c r="B13" s="18">
        <v>30502010</v>
      </c>
      <c r="D13" s="18">
        <v>8.0000000000000007E-5</v>
      </c>
      <c r="E13" s="18" t="s">
        <v>47</v>
      </c>
      <c r="F13" s="18">
        <v>8.0000000000000007E-5</v>
      </c>
      <c r="G13" s="18" t="s">
        <v>47</v>
      </c>
    </row>
    <row r="15" spans="1:7" x14ac:dyDescent="0.25">
      <c r="A15" s="23" t="s">
        <v>48</v>
      </c>
    </row>
    <row r="16" spans="1:7" x14ac:dyDescent="0.25">
      <c r="A16" s="17" t="s">
        <v>0</v>
      </c>
      <c r="B16" s="17" t="s">
        <v>9</v>
      </c>
      <c r="C16" s="17"/>
      <c r="D16" s="17" t="s">
        <v>45</v>
      </c>
      <c r="E16" s="17" t="s">
        <v>2</v>
      </c>
      <c r="F16" s="17" t="s">
        <v>46</v>
      </c>
      <c r="G16" s="17" t="s">
        <v>2</v>
      </c>
    </row>
    <row r="17" spans="1:19" x14ac:dyDescent="0.25">
      <c r="A17" s="18" t="s">
        <v>43</v>
      </c>
      <c r="B17" s="18">
        <v>30502006</v>
      </c>
      <c r="D17" s="18">
        <v>1.2999999999999999E-5</v>
      </c>
      <c r="E17" s="18" t="s">
        <v>47</v>
      </c>
      <c r="F17" s="18">
        <v>4.6E-5</v>
      </c>
      <c r="G17" s="18" t="s">
        <v>47</v>
      </c>
    </row>
    <row r="18" spans="1:19" x14ac:dyDescent="0.25">
      <c r="A18" s="18" t="s">
        <v>40</v>
      </c>
      <c r="B18" s="18">
        <v>30502005</v>
      </c>
      <c r="D18" s="18">
        <v>6.9999999999999994E-5</v>
      </c>
      <c r="E18" s="18" t="s">
        <v>47</v>
      </c>
      <c r="F18" s="18">
        <v>1.1999999999999999E-3</v>
      </c>
      <c r="G18" s="18" t="s">
        <v>47</v>
      </c>
    </row>
    <row r="19" spans="1:19" x14ac:dyDescent="0.25">
      <c r="A19" s="18" t="s">
        <v>41</v>
      </c>
      <c r="B19" s="18">
        <v>30502021</v>
      </c>
      <c r="D19" s="18">
        <v>1.08E-3</v>
      </c>
      <c r="E19" s="18" t="s">
        <v>47</v>
      </c>
      <c r="F19" s="18">
        <v>2.2000000000000001E-3</v>
      </c>
      <c r="G19" s="18" t="s">
        <v>47</v>
      </c>
      <c r="I19" s="22"/>
      <c r="J19" s="21"/>
      <c r="K19" s="22"/>
    </row>
    <row r="20" spans="1:19" x14ac:dyDescent="0.25">
      <c r="A20" s="18" t="s">
        <v>38</v>
      </c>
      <c r="B20" s="18">
        <v>30502001</v>
      </c>
      <c r="D20" s="18">
        <v>1E-4</v>
      </c>
      <c r="E20" s="18" t="s">
        <v>47</v>
      </c>
      <c r="F20" s="18">
        <v>5.4000000000000001E-4</v>
      </c>
      <c r="G20" s="18" t="s">
        <v>47</v>
      </c>
    </row>
    <row r="21" spans="1:19" x14ac:dyDescent="0.25">
      <c r="A21" s="18" t="s">
        <v>36</v>
      </c>
      <c r="B21" s="18">
        <v>30502004</v>
      </c>
      <c r="D21" s="18">
        <v>5.0000000000000002E-5</v>
      </c>
      <c r="E21" s="18" t="s">
        <v>47</v>
      </c>
      <c r="F21" s="18">
        <v>7.3999999999999999E-4</v>
      </c>
      <c r="G21" s="18" t="s">
        <v>47</v>
      </c>
    </row>
    <row r="22" spans="1:19" x14ac:dyDescent="0.25">
      <c r="A22" s="18" t="s">
        <v>37</v>
      </c>
      <c r="B22" s="18">
        <v>30502002</v>
      </c>
      <c r="D22" s="18">
        <v>1E-4</v>
      </c>
      <c r="E22" s="18" t="s">
        <v>47</v>
      </c>
      <c r="F22" s="18">
        <v>5.4000000000000001E-4</v>
      </c>
      <c r="G22" s="18" t="s">
        <v>47</v>
      </c>
      <c r="H22" s="64"/>
      <c r="I22" s="64"/>
      <c r="J22" s="64"/>
      <c r="K22" s="64"/>
    </row>
    <row r="23" spans="1:19" x14ac:dyDescent="0.25">
      <c r="A23" s="18" t="s">
        <v>44</v>
      </c>
      <c r="B23" s="18">
        <v>30502507</v>
      </c>
      <c r="D23" s="18">
        <v>3.64</v>
      </c>
      <c r="E23" s="18" t="s">
        <v>49</v>
      </c>
      <c r="F23" s="18">
        <v>3.64</v>
      </c>
      <c r="G23" s="18" t="s">
        <v>49</v>
      </c>
    </row>
    <row r="24" spans="1:19" x14ac:dyDescent="0.25">
      <c r="A24" s="18" t="s">
        <v>39</v>
      </c>
      <c r="B24" s="18">
        <v>30502003</v>
      </c>
      <c r="D24" s="18">
        <v>1E-4</v>
      </c>
      <c r="E24" s="18" t="s">
        <v>47</v>
      </c>
      <c r="F24" s="18">
        <v>5.4000000000000001E-4</v>
      </c>
      <c r="G24" s="18" t="s">
        <v>47</v>
      </c>
    </row>
    <row r="25" spans="1:19" x14ac:dyDescent="0.25">
      <c r="A25" s="18" t="s">
        <v>42</v>
      </c>
      <c r="B25" s="18">
        <v>30502010</v>
      </c>
      <c r="D25" s="18">
        <v>8.0000000000000007E-5</v>
      </c>
      <c r="E25" s="18" t="s">
        <v>47</v>
      </c>
      <c r="F25" s="18">
        <v>8.0000000000000007E-5</v>
      </c>
      <c r="G25" s="18" t="s">
        <v>47</v>
      </c>
    </row>
    <row r="27" spans="1:19" x14ac:dyDescent="0.25">
      <c r="A27" s="24" t="s">
        <v>64</v>
      </c>
    </row>
    <row r="28" spans="1:19" x14ac:dyDescent="0.25">
      <c r="A28" s="20" t="s">
        <v>27</v>
      </c>
      <c r="B28" s="18">
        <v>30205054</v>
      </c>
      <c r="N28" s="21"/>
      <c r="O28" s="22"/>
      <c r="P28" s="21"/>
      <c r="Q28" s="22"/>
      <c r="R28" s="21"/>
      <c r="S28" s="22"/>
    </row>
    <row r="29" spans="1:19" x14ac:dyDescent="0.25">
      <c r="A29" s="12"/>
      <c r="B29" s="12" t="s">
        <v>80</v>
      </c>
      <c r="C29" s="12"/>
      <c r="D29" s="12"/>
      <c r="E29" s="12"/>
      <c r="F29" s="13"/>
      <c r="G29" s="22"/>
      <c r="H29" s="21"/>
      <c r="I29" s="22"/>
      <c r="J29" s="21"/>
      <c r="K29" s="22"/>
      <c r="N29" s="21"/>
      <c r="O29" s="22"/>
      <c r="P29" s="21"/>
      <c r="Q29" s="22"/>
      <c r="R29" s="21"/>
      <c r="S29" s="22"/>
    </row>
    <row r="30" spans="1:19" x14ac:dyDescent="0.25">
      <c r="A30" s="12"/>
      <c r="B30" s="12"/>
      <c r="C30" s="12"/>
      <c r="E30" s="12"/>
      <c r="G30" s="12" t="s">
        <v>29</v>
      </c>
      <c r="H30" s="21"/>
      <c r="I30" s="22"/>
      <c r="J30" s="21"/>
      <c r="K30" s="22"/>
      <c r="N30" s="21"/>
      <c r="O30" s="22"/>
      <c r="P30" s="21"/>
      <c r="Q30" s="22"/>
      <c r="R30" s="21"/>
      <c r="S30" s="22"/>
    </row>
    <row r="31" spans="1:19" x14ac:dyDescent="0.25">
      <c r="A31" s="12"/>
      <c r="B31" s="12"/>
      <c r="C31" s="12"/>
      <c r="E31" s="12"/>
      <c r="G31" s="12" t="s">
        <v>30</v>
      </c>
      <c r="H31" s="21"/>
      <c r="I31" s="22"/>
      <c r="J31" s="21"/>
      <c r="K31" s="22"/>
    </row>
    <row r="32" spans="1:19" x14ac:dyDescent="0.25">
      <c r="A32" s="12"/>
      <c r="B32" s="12"/>
      <c r="C32" s="12"/>
      <c r="E32" s="12"/>
      <c r="G32" s="12" t="s">
        <v>31</v>
      </c>
    </row>
    <row r="33" spans="1:19" x14ac:dyDescent="0.25">
      <c r="A33" s="12"/>
      <c r="B33" s="12"/>
      <c r="C33" s="12"/>
      <c r="E33" s="12"/>
      <c r="G33" s="16" t="s">
        <v>69</v>
      </c>
    </row>
    <row r="34" spans="1:19" x14ac:dyDescent="0.25">
      <c r="A34" s="12" t="s">
        <v>79</v>
      </c>
      <c r="B34" s="12">
        <v>30205054</v>
      </c>
      <c r="C34" s="12"/>
      <c r="E34" s="12"/>
      <c r="G34" s="16"/>
    </row>
    <row r="35" spans="1:19" x14ac:dyDescent="0.25">
      <c r="A35" s="12"/>
      <c r="B35" s="12" t="s">
        <v>81</v>
      </c>
      <c r="C35" s="12"/>
      <c r="E35" s="12"/>
      <c r="G35" s="16"/>
    </row>
    <row r="36" spans="1:19" x14ac:dyDescent="0.25">
      <c r="A36" s="12"/>
      <c r="B36" s="12"/>
      <c r="C36" s="12"/>
      <c r="E36" s="12"/>
      <c r="G36" s="12" t="s">
        <v>82</v>
      </c>
    </row>
    <row r="37" spans="1:19" x14ac:dyDescent="0.25">
      <c r="A37" s="12"/>
      <c r="B37" s="12"/>
      <c r="C37" s="12"/>
      <c r="E37" s="12"/>
      <c r="G37" s="12" t="s">
        <v>83</v>
      </c>
    </row>
    <row r="38" spans="1:19" x14ac:dyDescent="0.25">
      <c r="A38" s="12"/>
      <c r="B38" s="12"/>
      <c r="C38" s="12"/>
      <c r="E38" s="12"/>
      <c r="G38" s="12" t="s">
        <v>31</v>
      </c>
    </row>
    <row r="39" spans="1:19" x14ac:dyDescent="0.25">
      <c r="A39" s="12"/>
      <c r="B39" s="12"/>
      <c r="C39" s="12"/>
      <c r="E39" s="12"/>
      <c r="G39" s="16" t="s">
        <v>69</v>
      </c>
    </row>
    <row r="40" spans="1:19" x14ac:dyDescent="0.25">
      <c r="A40" s="12"/>
      <c r="B40" s="12"/>
      <c r="C40" s="12"/>
      <c r="E40" s="12"/>
      <c r="G40" s="16"/>
    </row>
    <row r="41" spans="1:19" x14ac:dyDescent="0.25">
      <c r="A41" s="19" t="s">
        <v>51</v>
      </c>
    </row>
    <row r="42" spans="1:19" x14ac:dyDescent="0.25">
      <c r="A42" s="17" t="s">
        <v>0</v>
      </c>
      <c r="B42" s="17" t="s">
        <v>9</v>
      </c>
      <c r="C42" s="17" t="s">
        <v>2</v>
      </c>
      <c r="D42" s="17" t="s">
        <v>45</v>
      </c>
      <c r="E42" s="17" t="s">
        <v>54</v>
      </c>
      <c r="F42" s="17" t="s">
        <v>46</v>
      </c>
      <c r="G42" s="17" t="s">
        <v>54</v>
      </c>
      <c r="H42" s="17" t="s">
        <v>3</v>
      </c>
      <c r="I42" s="17" t="s">
        <v>56</v>
      </c>
      <c r="J42" s="17" t="s">
        <v>4</v>
      </c>
      <c r="K42" s="17" t="s">
        <v>54</v>
      </c>
      <c r="L42" s="17" t="s">
        <v>5</v>
      </c>
      <c r="M42" s="17" t="s">
        <v>54</v>
      </c>
      <c r="N42" s="17" t="s">
        <v>6</v>
      </c>
      <c r="O42" s="17" t="s">
        <v>54</v>
      </c>
      <c r="P42" s="17" t="s">
        <v>8</v>
      </c>
      <c r="Q42" s="17" t="s">
        <v>54</v>
      </c>
      <c r="R42" s="17" t="s">
        <v>60</v>
      </c>
      <c r="S42" s="17" t="s">
        <v>54</v>
      </c>
    </row>
    <row r="43" spans="1:19" x14ac:dyDescent="0.25">
      <c r="A43" s="18" t="s">
        <v>72</v>
      </c>
      <c r="B43" s="18">
        <v>20100102</v>
      </c>
      <c r="C43" s="18" t="s">
        <v>52</v>
      </c>
      <c r="D43" s="18">
        <v>0.31</v>
      </c>
      <c r="E43" s="18" t="s">
        <v>55</v>
      </c>
      <c r="F43" s="18">
        <v>0.31</v>
      </c>
      <c r="G43" s="18" t="s">
        <v>55</v>
      </c>
      <c r="H43" s="18">
        <v>0.28999999999999998</v>
      </c>
      <c r="I43" s="18" t="s">
        <v>55</v>
      </c>
      <c r="J43" s="18">
        <v>4.41</v>
      </c>
      <c r="K43" s="18" t="s">
        <v>55</v>
      </c>
      <c r="L43" s="18">
        <v>0.35</v>
      </c>
      <c r="M43" s="18" t="s">
        <v>55</v>
      </c>
      <c r="N43" s="18">
        <v>0.95</v>
      </c>
      <c r="O43" s="18" t="s">
        <v>55</v>
      </c>
      <c r="P43" s="18">
        <v>1.1800000000000001E-3</v>
      </c>
      <c r="Q43" s="18" t="s">
        <v>57</v>
      </c>
      <c r="R43" s="18">
        <v>9.3300000000000002E-4</v>
      </c>
      <c r="S43" s="18" t="s">
        <v>57</v>
      </c>
    </row>
    <row r="44" spans="1:19" x14ac:dyDescent="0.25">
      <c r="A44" s="18" t="s">
        <v>73</v>
      </c>
      <c r="B44" s="18">
        <v>20200401</v>
      </c>
      <c r="C44" s="18" t="s">
        <v>52</v>
      </c>
      <c r="D44" s="18">
        <v>5.3900000000000003E-2</v>
      </c>
      <c r="E44" s="18" t="s">
        <v>61</v>
      </c>
      <c r="F44" s="18">
        <v>0.14000000000000001</v>
      </c>
      <c r="G44" s="18" t="s">
        <v>53</v>
      </c>
      <c r="H44" s="18">
        <v>1.01</v>
      </c>
      <c r="I44" s="18" t="s">
        <v>58</v>
      </c>
      <c r="J44" s="18">
        <v>3.2</v>
      </c>
      <c r="K44" s="18" t="s">
        <v>58</v>
      </c>
      <c r="L44" s="18">
        <v>8.2000000000000003E-2</v>
      </c>
      <c r="M44" s="18" t="s">
        <v>58</v>
      </c>
      <c r="N44" s="18">
        <v>0.85</v>
      </c>
      <c r="O44" s="18" t="s">
        <v>58</v>
      </c>
      <c r="P44" s="18">
        <v>7.8899999999999993E-5</v>
      </c>
      <c r="Q44" s="18" t="s">
        <v>59</v>
      </c>
      <c r="R44" s="18">
        <v>7.76E-4</v>
      </c>
      <c r="S44" s="18" t="s">
        <v>59</v>
      </c>
    </row>
    <row r="45" spans="1:19" x14ac:dyDescent="0.25">
      <c r="M45" s="27" t="s">
        <v>70</v>
      </c>
    </row>
  </sheetData>
  <sheetProtection algorithmName="SHA-512" hashValue="sw6lcKHYjyXwIBVrVDrejTzgav9BkS/WGYWr2aiEhLp+i/qhpmu0rpdwqWGpgk+SFUv/DS14YiMiFP0as+LXtQ==" saltValue="TOz6QN4fSSGJzghflF18FA==" spinCount="100000" sheet="1" objects="1" scenarios="1"/>
  <pageMargins left="0.7" right="0.7" top="0.75" bottom="0.75" header="0.3" footer="0.3"/>
  <pageSetup scale="48" fitToHeight="0" orientation="landscape"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Facility Information</vt:lpstr>
      <vt:lpstr>Limestone Plant (LP-1)</vt:lpstr>
      <vt:lpstr>Limestone Plant (LP-2)</vt:lpstr>
      <vt:lpstr>Limestone Plant (LP-3)</vt:lpstr>
      <vt:lpstr>Limestone Plant (LP-4)</vt:lpstr>
      <vt:lpstr>Limestone Plant (LP-5)</vt:lpstr>
      <vt:lpstr>Limestone Plant (LP-6)</vt:lpstr>
      <vt:lpstr>Limestone Plant (LP-7)</vt:lpstr>
      <vt:lpstr>Limestone Plant (LP-8)</vt:lpstr>
      <vt:lpstr>Limestone Plant (LP-9)</vt:lpstr>
      <vt:lpstr>Limestone Plant (LP-10)</vt:lpstr>
      <vt:lpstr>Haul Roads</vt:lpstr>
      <vt:lpstr>Permitted Diesel Engines</vt:lpstr>
      <vt:lpstr>Emission Calculations</vt:lpstr>
      <vt:lpstr>Facility Wide Emissions</vt:lpstr>
      <vt:lpstr>Emission Factors</vt:lpstr>
      <vt:lpstr>'Limestone Plant (LP-10)'!CHECK</vt:lpstr>
      <vt:lpstr>'Limestone Plant (LP-2)'!CHECK</vt:lpstr>
      <vt:lpstr>'Limestone Plant (LP-3)'!CHECK</vt:lpstr>
      <vt:lpstr>'Limestone Plant (LP-4)'!CHECK</vt:lpstr>
      <vt:lpstr>'Limestone Plant (LP-5)'!CHECK</vt:lpstr>
      <vt:lpstr>'Limestone Plant (LP-6)'!CHECK</vt:lpstr>
      <vt:lpstr>'Limestone Plant (LP-7)'!CHECK</vt:lpstr>
      <vt:lpstr>'Limestone Plant (LP-8)'!CHECK</vt:lpstr>
      <vt:lpstr>'Limestone Plant (LP-9)'!CHECK</vt:lpstr>
      <vt:lpstr>CHECK</vt:lpstr>
      <vt:lpstr>control</vt:lpstr>
      <vt:lpstr>Gen</vt:lpstr>
      <vt:lpstr>NoEmploy</vt:lpstr>
      <vt:lpstr>'Emission Calculations'!Print_Area</vt:lpstr>
      <vt:lpstr>'Facility Information'!Print_Area</vt:lpstr>
      <vt:lpstr>'Facility Wide Emissions'!Print_Area</vt:lpstr>
      <vt:lpstr>'Haul Roads'!Print_Area</vt:lpstr>
      <vt:lpstr>'Permitted Diesel Engines'!Print_Area</vt:lpstr>
      <vt:lpstr>'Limestone Plant (LP-10)'!process</vt:lpstr>
      <vt:lpstr>'Limestone Plant (LP-2)'!process</vt:lpstr>
      <vt:lpstr>'Limestone Plant (LP-3)'!process</vt:lpstr>
      <vt:lpstr>'Limestone Plant (LP-4)'!process</vt:lpstr>
      <vt:lpstr>'Limestone Plant (LP-5)'!process</vt:lpstr>
      <vt:lpstr>'Limestone Plant (LP-6)'!process</vt:lpstr>
      <vt:lpstr>'Limestone Plant (LP-7)'!process</vt:lpstr>
      <vt:lpstr>'Limestone Plant (LP-8)'!process</vt:lpstr>
      <vt:lpstr>'Limestone Plant (LP-9)'!process</vt:lpstr>
      <vt:lpstr>process</vt:lpstr>
      <vt:lpstr>RoadType</vt:lpstr>
      <vt:lpstr>stack</vt:lpstr>
      <vt:lpstr>Submit</vt:lpstr>
    </vt:vector>
  </TitlesOfParts>
  <Company>IWRC University of Northern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Wittenburg</dc:creator>
  <cp:lastModifiedBy>Jennifer L Wittenburg</cp:lastModifiedBy>
  <cp:lastPrinted>2021-01-20T20:54:33Z</cp:lastPrinted>
  <dcterms:created xsi:type="dcterms:W3CDTF">2011-11-02T19:41:52Z</dcterms:created>
  <dcterms:modified xsi:type="dcterms:W3CDTF">2023-01-13T16:59:16Z</dcterms:modified>
</cp:coreProperties>
</file>