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owa.gov.state.ia.us\data\DNR_AQ_Shared\Prog Dev\Modeling\Modeler's Guide\Tools\Volume Source Tool\"/>
    </mc:Choice>
  </mc:AlternateContent>
  <bookViews>
    <workbookView xWindow="360" yWindow="105" windowWidth="14220" windowHeight="12465" activeTab="1"/>
  </bookViews>
  <sheets>
    <sheet name="Instructions" sheetId="3" r:id="rId1"/>
    <sheet name="Volume Source Determination" sheetId="1" r:id="rId2"/>
    <sheet name="Calculations" sheetId="2" r:id="rId3"/>
  </sheets>
  <definedNames>
    <definedName name="_Xr1">Calculations!$B$48</definedName>
    <definedName name="_Xr2">Calculations!$B$54</definedName>
    <definedName name="_Yr1">Calculations!$B$51</definedName>
    <definedName name="_Yr2">Calculations!$B$57</definedName>
    <definedName name="Corner1_X">'Volume Source Determination'!$B$6</definedName>
    <definedName name="Corner1_Y">'Volume Source Determination'!$C$6</definedName>
    <definedName name="Corner2_X">'Volume Source Determination'!$B$7</definedName>
    <definedName name="Corner2_Y">'Volume Source Determination'!$C$7</definedName>
    <definedName name="Corner3_X">'Volume Source Determination'!$B$8</definedName>
    <definedName name="Corner3_Y">'Volume Source Determination'!$C$8</definedName>
    <definedName name="Corner4_X">'Volume Source Determination'!$B$9</definedName>
    <definedName name="Corner4_Y">'Volume Source Determination'!$C$9</definedName>
    <definedName name="Elevation">'Volume Source Determination'!$A$12</definedName>
    <definedName name="Enc_Credit">'Volume Source Determination'!$A$21</definedName>
    <definedName name="Height">'Volume Source Determination'!$A$15</definedName>
    <definedName name="N">Calculations!$B$14</definedName>
    <definedName name="_xlnm.Print_Area" localSheetId="2">Calculations!$A$1:$U$58</definedName>
    <definedName name="_xlnm.Print_Area" localSheetId="1">'Volume Source Determination'!$A$1:$I$47</definedName>
    <definedName name="Q">'Volume Source Determination'!$A$18</definedName>
    <definedName name="Sigma_Y">Calculations!$B$33</definedName>
    <definedName name="X_1">Calculations!$B$36</definedName>
    <definedName name="X_2">Calculations!$B$42</definedName>
    <definedName name="Xg_X">Calculations!$B$25</definedName>
    <definedName name="Xg_Y">Calculations!$B$26</definedName>
    <definedName name="Xo_X">Calculations!$B$17</definedName>
    <definedName name="Xo_Y">Calculations!$B$18</definedName>
    <definedName name="XrT">Calculations!$B$8</definedName>
    <definedName name="XT">Calculations!$B$2</definedName>
    <definedName name="Y_1">Calculations!$B$39</definedName>
    <definedName name="Y_2">Calculations!$B$45</definedName>
    <definedName name="Yg_X">Calculations!$B$29</definedName>
    <definedName name="Yg_Y">Calculations!$B$30</definedName>
    <definedName name="Yo_X">Calculations!$B$21</definedName>
    <definedName name="Yo_Y">Calculations!$B$22</definedName>
    <definedName name="YrT">Calculations!$B$11</definedName>
    <definedName name="YT">Calculations!$B$5</definedName>
  </definedNames>
  <calcPr calcId="162913"/>
</workbook>
</file>

<file path=xl/calcChain.xml><?xml version="1.0" encoding="utf-8"?>
<calcChain xmlns="http://schemas.openxmlformats.org/spreadsheetml/2006/main">
  <c r="E26" i="3" l="1"/>
  <c r="E24" i="3" l="1"/>
  <c r="E25" i="3"/>
  <c r="E28" i="3"/>
  <c r="E27" i="3"/>
  <c r="E23" i="3"/>
  <c r="E21" i="3"/>
  <c r="E28" i="1"/>
  <c r="E29" i="1" s="1"/>
  <c r="E30" i="1" s="1"/>
  <c r="E31" i="1" s="1"/>
  <c r="E32" i="1" s="1"/>
  <c r="E33" i="1" s="1"/>
  <c r="E34" i="1" s="1"/>
  <c r="E35" i="1" s="1"/>
  <c r="E36" i="1" s="1"/>
  <c r="E37" i="1" s="1"/>
  <c r="F62" i="2"/>
  <c r="G62" i="2" s="1"/>
  <c r="H62" i="2" s="1"/>
  <c r="I62" i="2" s="1"/>
  <c r="J62" i="2" s="1"/>
  <c r="K62" i="2" s="1"/>
  <c r="L62" i="2" s="1"/>
  <c r="M62" i="2" s="1"/>
  <c r="N62" i="2" s="1"/>
  <c r="O62" i="2" s="1"/>
  <c r="F53" i="2"/>
  <c r="G53" i="2" s="1"/>
  <c r="F60" i="2"/>
  <c r="G60" i="2" s="1"/>
  <c r="H60" i="2" s="1"/>
  <c r="I60" i="2" s="1"/>
  <c r="J60" i="2" s="1"/>
  <c r="K60" i="2" s="1"/>
  <c r="L60" i="2" s="1"/>
  <c r="M60" i="2" s="1"/>
  <c r="N60" i="2" s="1"/>
  <c r="O60" i="2" s="1"/>
  <c r="F51" i="2"/>
  <c r="G51" i="2" s="1"/>
  <c r="B2" i="2"/>
  <c r="B14" i="2" s="1"/>
  <c r="F59" i="2" s="1"/>
  <c r="G59" i="2" s="1"/>
  <c r="H59" i="2" s="1"/>
  <c r="I59" i="2" s="1"/>
  <c r="J59" i="2" s="1"/>
  <c r="K59" i="2" s="1"/>
  <c r="L59" i="2" s="1"/>
  <c r="M59" i="2" s="1"/>
  <c r="N59" i="2" s="1"/>
  <c r="O59" i="2" s="1"/>
  <c r="B5" i="2"/>
  <c r="B17" i="2"/>
  <c r="B18" i="2"/>
  <c r="B21" i="2"/>
  <c r="B22" i="2"/>
  <c r="B25" i="2"/>
  <c r="B26" i="2"/>
  <c r="B29" i="2"/>
  <c r="B30" i="2"/>
  <c r="E2" i="3"/>
  <c r="E3" i="3"/>
  <c r="E4" i="3"/>
  <c r="E5" i="3"/>
  <c r="E6" i="3"/>
  <c r="E7" i="3"/>
  <c r="E8" i="3"/>
  <c r="E13" i="3"/>
  <c r="E14" i="3"/>
  <c r="E15" i="3"/>
  <c r="E16" i="3"/>
  <c r="E17" i="3"/>
  <c r="E18" i="3"/>
  <c r="E19" i="3"/>
  <c r="E20" i="3"/>
  <c r="E22" i="3"/>
  <c r="E29" i="3"/>
  <c r="E30" i="3"/>
  <c r="I28" i="1" l="1"/>
  <c r="I29" i="1" s="1"/>
  <c r="I30" i="1" s="1"/>
  <c r="I31" i="1" s="1"/>
  <c r="I32" i="1" s="1"/>
  <c r="I33" i="1" s="1"/>
  <c r="I34" i="1" s="1"/>
  <c r="I35" i="1" s="1"/>
  <c r="I36" i="1" s="1"/>
  <c r="I37" i="1" s="1"/>
  <c r="F28" i="1"/>
  <c r="F29" i="1" s="1"/>
  <c r="F30" i="1" s="1"/>
  <c r="F31" i="1" s="1"/>
  <c r="F32" i="1" s="1"/>
  <c r="F33" i="1" s="1"/>
  <c r="F34" i="1" s="1"/>
  <c r="F35" i="1" s="1"/>
  <c r="F36" i="1" s="1"/>
  <c r="F37" i="1" s="1"/>
  <c r="G28" i="1"/>
  <c r="G29" i="1" s="1"/>
  <c r="G30" i="1" s="1"/>
  <c r="G31" i="1" s="1"/>
  <c r="G32" i="1" s="1"/>
  <c r="G33" i="1" s="1"/>
  <c r="G34" i="1" s="1"/>
  <c r="G35" i="1" s="1"/>
  <c r="G36" i="1" s="1"/>
  <c r="G37" i="1" s="1"/>
  <c r="F50" i="2"/>
  <c r="B45" i="2"/>
  <c r="B8" i="2"/>
  <c r="B39" i="2"/>
  <c r="H53" i="2"/>
  <c r="H51" i="2"/>
  <c r="B42" i="2"/>
  <c r="B36" i="2"/>
  <c r="B33" i="2"/>
  <c r="F52" i="2" s="1"/>
  <c r="A25" i="1"/>
  <c r="B11" i="2"/>
  <c r="B35" i="1" l="1"/>
  <c r="A35" i="1"/>
  <c r="B34" i="1"/>
  <c r="A34" i="1"/>
  <c r="B33" i="1"/>
  <c r="A33" i="1"/>
  <c r="B32" i="1"/>
  <c r="B30" i="1"/>
  <c r="A30" i="1"/>
  <c r="B37" i="1"/>
  <c r="B36" i="1"/>
  <c r="A32" i="1"/>
  <c r="B31" i="1"/>
  <c r="A31" i="1"/>
  <c r="A37" i="1"/>
  <c r="A36" i="1"/>
  <c r="B28" i="1"/>
  <c r="B29" i="1"/>
  <c r="A29" i="1"/>
  <c r="A28" i="1"/>
  <c r="F61" i="2"/>
  <c r="G61" i="2" s="1"/>
  <c r="H61" i="2" s="1"/>
  <c r="I61" i="2" s="1"/>
  <c r="J61" i="2" s="1"/>
  <c r="K61" i="2" s="1"/>
  <c r="L61" i="2" s="1"/>
  <c r="M61" i="2" s="1"/>
  <c r="N61" i="2" s="1"/>
  <c r="O61" i="2" s="1"/>
  <c r="H28" i="1"/>
  <c r="H29" i="1" s="1"/>
  <c r="H30" i="1" s="1"/>
  <c r="H31" i="1" s="1"/>
  <c r="H32" i="1" s="1"/>
  <c r="H33" i="1" s="1"/>
  <c r="H34" i="1" s="1"/>
  <c r="H35" i="1" s="1"/>
  <c r="H36" i="1" s="1"/>
  <c r="H37" i="1" s="1"/>
  <c r="B25" i="1"/>
  <c r="I53" i="2"/>
  <c r="G52" i="2"/>
  <c r="B51" i="2"/>
  <c r="F49" i="2" s="1"/>
  <c r="B57" i="2"/>
  <c r="B48" i="2"/>
  <c r="F48" i="2" s="1"/>
  <c r="C28" i="1" s="1"/>
  <c r="B54" i="2"/>
  <c r="G50" i="2"/>
  <c r="I51" i="2"/>
  <c r="F58" i="2" l="1"/>
  <c r="D28" i="1"/>
  <c r="F57" i="2"/>
  <c r="G49" i="2"/>
  <c r="J51" i="2"/>
  <c r="H50" i="2"/>
  <c r="H52" i="2"/>
  <c r="G48" i="2"/>
  <c r="J53" i="2"/>
  <c r="G58" i="2" l="1"/>
  <c r="D29" i="1"/>
  <c r="G57" i="2"/>
  <c r="C29" i="1"/>
  <c r="H48" i="2"/>
  <c r="I52" i="2"/>
  <c r="I50" i="2"/>
  <c r="K53" i="2"/>
  <c r="K51" i="2"/>
  <c r="H49" i="2"/>
  <c r="H58" i="2" l="1"/>
  <c r="D30" i="1"/>
  <c r="H57" i="2"/>
  <c r="C30" i="1"/>
  <c r="J52" i="2"/>
  <c r="L51" i="2"/>
  <c r="I49" i="2"/>
  <c r="I48" i="2"/>
  <c r="L53" i="2"/>
  <c r="J50" i="2"/>
  <c r="I58" i="2" l="1"/>
  <c r="D31" i="1"/>
  <c r="I57" i="2"/>
  <c r="C31" i="1"/>
  <c r="J48" i="2"/>
  <c r="M51" i="2"/>
  <c r="K52" i="2"/>
  <c r="J49" i="2"/>
  <c r="K50" i="2"/>
  <c r="M53" i="2"/>
  <c r="J58" i="2" l="1"/>
  <c r="D32" i="1"/>
  <c r="J57" i="2"/>
  <c r="C32" i="1"/>
  <c r="N53" i="2"/>
  <c r="N51" i="2"/>
  <c r="K49" i="2"/>
  <c r="L52" i="2"/>
  <c r="L50" i="2"/>
  <c r="K48" i="2"/>
  <c r="C33" i="1" s="1"/>
  <c r="K58" i="2" l="1"/>
  <c r="D33" i="1"/>
  <c r="K57" i="2"/>
  <c r="L49" i="2"/>
  <c r="M52" i="2"/>
  <c r="L48" i="2"/>
  <c r="C34" i="1" s="1"/>
  <c r="O51" i="2"/>
  <c r="M50" i="2"/>
  <c r="O53" i="2"/>
  <c r="L58" i="2" l="1"/>
  <c r="D34" i="1"/>
  <c r="L57" i="2"/>
  <c r="M48" i="2"/>
  <c r="C35" i="1" s="1"/>
  <c r="M49" i="2"/>
  <c r="N52" i="2"/>
  <c r="N50" i="2"/>
  <c r="M58" i="2" l="1"/>
  <c r="D35" i="1"/>
  <c r="M57" i="2"/>
  <c r="O50" i="2"/>
  <c r="O52" i="2"/>
  <c r="N49" i="2"/>
  <c r="N48" i="2"/>
  <c r="C36" i="1" s="1"/>
  <c r="N58" i="2" l="1"/>
  <c r="D36" i="1"/>
  <c r="N57" i="2"/>
  <c r="O49" i="2"/>
  <c r="D37" i="1" s="1"/>
  <c r="O48" i="2"/>
  <c r="C37" i="1" s="1"/>
  <c r="O58" i="2" l="1"/>
  <c r="O57" i="2"/>
</calcChain>
</file>

<file path=xl/sharedStrings.xml><?xml version="1.0" encoding="utf-8"?>
<sst xmlns="http://schemas.openxmlformats.org/spreadsheetml/2006/main" count="108" uniqueCount="100">
  <si>
    <t>X (m)</t>
  </si>
  <si>
    <t>Y (m)</t>
  </si>
  <si>
    <t>Results:</t>
  </si>
  <si>
    <t>Enter source and building parameters:</t>
  </si>
  <si>
    <t>Volume Source #:</t>
  </si>
  <si>
    <t>X Coordinate (m)</t>
  </si>
  <si>
    <t>Y Coordinate (m)</t>
  </si>
  <si>
    <t>Emission rate (lb/hr)</t>
  </si>
  <si>
    <t>Horizontal dimension (m)</t>
  </si>
  <si>
    <t>Notes:</t>
  </si>
  <si>
    <t>XrT</t>
  </si>
  <si>
    <t>YrT</t>
  </si>
  <si>
    <t>XT</t>
  </si>
  <si>
    <t>YT</t>
  </si>
  <si>
    <t>Xo</t>
  </si>
  <si>
    <t>Yo</t>
  </si>
  <si>
    <t>Xg</t>
  </si>
  <si>
    <t>Yg</t>
  </si>
  <si>
    <t>X:</t>
  </si>
  <si>
    <t>Y:</t>
  </si>
  <si>
    <t>N</t>
  </si>
  <si>
    <t>If X-dimension is greater</t>
  </si>
  <si>
    <t>If Y-dimension is greater</t>
  </si>
  <si>
    <t>X1</t>
  </si>
  <si>
    <t>Y1</t>
  </si>
  <si>
    <t>X2</t>
  </si>
  <si>
    <t>Y2</t>
  </si>
  <si>
    <t>Sigma-y</t>
  </si>
  <si>
    <t>Xr1</t>
  </si>
  <si>
    <t>Yr1</t>
  </si>
  <si>
    <t>Xr2</t>
  </si>
  <si>
    <t>Yr2</t>
  </si>
  <si>
    <t>Building Height (feet)</t>
  </si>
  <si>
    <t>1st Corner</t>
  </si>
  <si>
    <t>2nd Corner</t>
  </si>
  <si>
    <t>3rd Corner</t>
  </si>
  <si>
    <t>4th Corner</t>
  </si>
  <si>
    <t>* While it does not matter which corner is listed first, they must be listed in order of their occurance around the building.</t>
  </si>
  <si>
    <t>This spreadsheet also has only limited usefullnes for complex-shaped buildings.</t>
  </si>
  <si>
    <t>Description</t>
  </si>
  <si>
    <t>X Coordinate</t>
  </si>
  <si>
    <t>Y Coordinate</t>
  </si>
  <si>
    <t>Elevation</t>
  </si>
  <si>
    <t>Emission Rate</t>
  </si>
  <si>
    <t>Release Height</t>
  </si>
  <si>
    <t>Init. Lat. Dim.</t>
  </si>
  <si>
    <t>Init. Vert. Dim.</t>
  </si>
  <si>
    <t>Building Corners*</t>
  </si>
  <si>
    <t>Building Base Elevation (meters)</t>
  </si>
  <si>
    <t>Instructions</t>
  </si>
  <si>
    <t>Step 1:</t>
  </si>
  <si>
    <t>Collect the following data:</t>
  </si>
  <si>
    <t>Step 2:</t>
  </si>
  <si>
    <t>Input the required data into the sheet labeled "Volume Source Determination" (be sure to use the correct units).</t>
  </si>
  <si>
    <t>"Building Corners"</t>
  </si>
  <si>
    <t>"Building Base Elevation"</t>
  </si>
  <si>
    <t>"Building Height"</t>
  </si>
  <si>
    <t>"Emission Rate"</t>
  </si>
  <si>
    <t>"Applicable Enclosure Credit"</t>
  </si>
  <si>
    <t>"Notes"</t>
  </si>
  <si>
    <t>Step 3:</t>
  </si>
  <si>
    <t>View the results and input the data into the model.</t>
  </si>
  <si>
    <t>1) Open your model input file in Breeze</t>
  </si>
  <si>
    <t>Building or Source ID (Optional)</t>
  </si>
  <si>
    <t>"Building or Source ID"</t>
  </si>
  <si>
    <t>Simply read the variables listed for each volume source and type them into the model input file accordingly.</t>
  </si>
  <si>
    <t>8) Type in the number of volume sources needed and then paste the copied data into the cells provided.</t>
  </si>
  <si>
    <t>Note: Only the highlighted fields can be modified.</t>
  </si>
  <si>
    <t>Applicable enclosure credit (% i.e. 50, 75, etc.) **</t>
  </si>
  <si>
    <t>Number of sources:</t>
  </si>
  <si>
    <t>ID</t>
  </si>
  <si>
    <t>X Coordinate (ft)</t>
  </si>
  <si>
    <t>Y Coordinate (ft)</t>
  </si>
  <si>
    <t>Emission rate (g/s)</t>
  </si>
  <si>
    <t>lb/hr</t>
  </si>
  <si>
    <t>Release height (m)</t>
  </si>
  <si>
    <t>Vertical dimension (m)</t>
  </si>
  <si>
    <t>English Units</t>
  </si>
  <si>
    <t>Metric Units</t>
  </si>
  <si>
    <t>Horizontal dimension (ft)</t>
  </si>
  <si>
    <t>Vertical dimension (ft)</t>
  </si>
  <si>
    <t>Release height (ft)</t>
  </si>
  <si>
    <t>meters</t>
  </si>
  <si>
    <t>feet</t>
  </si>
  <si>
    <t>g/s</t>
  </si>
  <si>
    <t>If you use Trinity's "Breeze" software you may import the data directly using the following method:</t>
  </si>
  <si>
    <t>2) In Breeze, go to the "Data" tab</t>
  </si>
  <si>
    <t>4) In this workbook select the "Volume Source Determination" tab</t>
  </si>
  <si>
    <t>5) Verify that the units for each variable in this spreadsheet match those in Breeze (if not, change them so that they match)</t>
  </si>
  <si>
    <t>7) In Breeze's Data window select "Edit Objects" menu and select "Add Object(s)"</t>
  </si>
  <si>
    <t>9) In Breeze's Data window select "Apply Changes"</t>
  </si>
  <si>
    <t>3) In Breeze's Data window select "Volume" on the left side</t>
  </si>
  <si>
    <t>6) Copy the data in the "Results" section of the  "Volume Source Determination" sheet, note how many volume sources are needed</t>
  </si>
  <si>
    <t>** The maximum allowed enclosure credit for PM10 is 95% (with DNR approval, 75% otherwise). No enclosure credit allowed for PM2.5 or other</t>
  </si>
  <si>
    <t xml:space="preserve">     pollutants. Enclosure credit is only applicable for modeling purposes and should not be used to calculate PTE.</t>
  </si>
  <si>
    <t>This spreadsheet was designed to be used as a tool and should not be relied upon as 100% accurate.  The user should verify the data before it</t>
  </si>
  <si>
    <t>is used in the model.  If you discover an error in this spreadsheet or have questions about its use, please contact Brad Ashton at the IDNR Air</t>
  </si>
  <si>
    <t>Quality Bureau at (515) 725-9527, or by email at Brad.Ashton@dnr.iowa.gov.</t>
  </si>
  <si>
    <t xml:space="preserve">             should be evenly dispersed within the building.</t>
  </si>
  <si>
    <t>Note: Volume source boxes may not appear to be rotated in model, but centroids of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</si>
</sst>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22"/>
      </right>
      <top style="dotted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tted">
        <color indexed="64"/>
      </top>
      <bottom style="thin">
        <color indexed="22"/>
      </bottom>
      <diagonal/>
    </border>
    <border>
      <left style="thin">
        <color indexed="22"/>
      </left>
      <right style="dotted">
        <color indexed="64"/>
      </right>
      <top style="dotted">
        <color indexed="64"/>
      </top>
      <bottom style="thin">
        <color indexed="22"/>
      </bottom>
      <diagonal/>
    </border>
    <border>
      <left style="thin">
        <color indexed="22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1" xfId="0" applyFont="1" applyFill="1" applyBorder="1" applyProtection="1"/>
    <xf numFmtId="0" fontId="3" fillId="2" borderId="11" xfId="0" applyFont="1" applyFill="1" applyBorder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3" fillId="3" borderId="16" xfId="0" applyFont="1" applyFill="1" applyBorder="1" applyProtection="1">
      <protection locked="0"/>
    </xf>
    <xf numFmtId="0" fontId="4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3" fillId="2" borderId="2" xfId="0" applyFont="1" applyFill="1" applyBorder="1" applyProtection="1"/>
    <xf numFmtId="1" fontId="3" fillId="2" borderId="0" xfId="0" applyNumberFormat="1" applyFont="1" applyFill="1" applyProtection="1"/>
    <xf numFmtId="0" fontId="6" fillId="2" borderId="0" xfId="0" applyFont="1" applyFill="1" applyProtection="1"/>
    <xf numFmtId="0" fontId="3" fillId="2" borderId="0" xfId="0" applyFont="1" applyFill="1" applyAlignment="1" applyProtection="1"/>
    <xf numFmtId="0" fontId="7" fillId="2" borderId="0" xfId="0" applyFont="1" applyFill="1" applyProtection="1"/>
    <xf numFmtId="0" fontId="8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2" fontId="9" fillId="2" borderId="0" xfId="0" applyNumberFormat="1" applyFont="1" applyFill="1" applyAlignment="1" applyProtection="1">
      <alignment horizontal="left"/>
    </xf>
    <xf numFmtId="1" fontId="9" fillId="2" borderId="0" xfId="0" applyNumberFormat="1" applyFont="1" applyFill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9" fillId="2" borderId="4" xfId="0" applyFont="1" applyFill="1" applyBorder="1" applyAlignment="1" applyProtection="1">
      <alignment horizontal="left"/>
    </xf>
    <xf numFmtId="0" fontId="9" fillId="2" borderId="4" xfId="0" applyFont="1" applyFill="1" applyBorder="1" applyAlignment="1" applyProtection="1">
      <alignment horizontal="right"/>
    </xf>
    <xf numFmtId="0" fontId="9" fillId="2" borderId="5" xfId="0" applyFont="1" applyFill="1" applyBorder="1" applyAlignment="1" applyProtection="1">
      <alignment horizontal="left"/>
    </xf>
    <xf numFmtId="0" fontId="9" fillId="2" borderId="6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right"/>
    </xf>
    <xf numFmtId="0" fontId="9" fillId="2" borderId="7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9" fillId="2" borderId="8" xfId="0" applyFont="1" applyFill="1" applyBorder="1" applyAlignment="1" applyProtection="1">
      <alignment horizontal="left"/>
    </xf>
    <xf numFmtId="0" fontId="9" fillId="2" borderId="9" xfId="0" applyFont="1" applyFill="1" applyBorder="1" applyAlignment="1" applyProtection="1">
      <alignment horizontal="left"/>
    </xf>
    <xf numFmtId="0" fontId="9" fillId="2" borderId="9" xfId="0" applyFont="1" applyFill="1" applyBorder="1" applyAlignment="1" applyProtection="1">
      <alignment horizontal="right"/>
    </xf>
    <xf numFmtId="0" fontId="9" fillId="2" borderId="10" xfId="0" applyFont="1" applyFill="1" applyBorder="1" applyAlignment="1" applyProtection="1">
      <alignment horizontal="left"/>
    </xf>
    <xf numFmtId="0" fontId="2" fillId="2" borderId="11" xfId="0" applyFont="1" applyFill="1" applyBorder="1"/>
    <xf numFmtId="0" fontId="3" fillId="2" borderId="11" xfId="0" applyFont="1" applyFill="1" applyBorder="1"/>
    <xf numFmtId="0" fontId="3" fillId="2" borderId="0" xfId="0" applyFont="1" applyFill="1"/>
    <xf numFmtId="0" fontId="2" fillId="2" borderId="0" xfId="0" applyFont="1" applyFill="1"/>
    <xf numFmtId="0" fontId="11" fillId="2" borderId="0" xfId="0" applyFont="1" applyFill="1"/>
    <xf numFmtId="0" fontId="3" fillId="2" borderId="12" xfId="0" applyFont="1" applyFill="1" applyBorder="1" applyProtection="1"/>
    <xf numFmtId="2" fontId="3" fillId="2" borderId="13" xfId="0" applyNumberFormat="1" applyFont="1" applyFill="1" applyBorder="1" applyProtection="1"/>
    <xf numFmtId="164" fontId="3" fillId="2" borderId="13" xfId="0" applyNumberFormat="1" applyFont="1" applyFill="1" applyBorder="1" applyProtection="1"/>
    <xf numFmtId="2" fontId="3" fillId="2" borderId="14" xfId="0" applyNumberFormat="1" applyFont="1" applyFill="1" applyBorder="1" applyProtection="1"/>
    <xf numFmtId="2" fontId="3" fillId="2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2" fontId="3" fillId="2" borderId="15" xfId="0" applyNumberFormat="1" applyFont="1" applyFill="1" applyBorder="1" applyProtection="1"/>
    <xf numFmtId="0" fontId="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6" fmlaLink="$C$27" fmlaRange="Calculations!$P$54:$P$55" noThreeD="1" sel="1" val="0"/>
</file>

<file path=xl/ctrlProps/ctrlProp2.xml><?xml version="1.0" encoding="utf-8"?>
<formControlPr xmlns="http://schemas.microsoft.com/office/spreadsheetml/2009/9/main" objectType="Drop" dropLines="2" dropStyle="combo" dx="16" fmlaLink="$D$27" fmlaRange="Calculations!$P$54:$P$55" noThreeD="1" sel="1" val="0"/>
</file>

<file path=xl/ctrlProps/ctrlProp3.xml><?xml version="1.0" encoding="utf-8"?>
<formControlPr xmlns="http://schemas.microsoft.com/office/spreadsheetml/2009/9/main" objectType="Drop" dropLines="2" dropStyle="combo" dx="16" fmlaLink="$E$27" fmlaRange="Calculations!$P$54:$P$55" noThreeD="1" sel="1" val="0"/>
</file>

<file path=xl/ctrlProps/ctrlProp4.xml><?xml version="1.0" encoding="utf-8"?>
<formControlPr xmlns="http://schemas.microsoft.com/office/spreadsheetml/2009/9/main" objectType="Drop" dropLines="2" dropStyle="combo" dx="16" fmlaLink="$F$27" fmlaRange="Calculations!$Q$54:$Q$55" noThreeD="1" sel="2" val="0"/>
</file>

<file path=xl/ctrlProps/ctrlProp5.xml><?xml version="1.0" encoding="utf-8"?>
<formControlPr xmlns="http://schemas.microsoft.com/office/spreadsheetml/2009/9/main" objectType="Drop" dropLines="2" dropStyle="combo" dx="16" fmlaLink="$G$27" fmlaRange="Calculations!$P$54:$P$55" noThreeD="1" sel="2" val="0"/>
</file>

<file path=xl/ctrlProps/ctrlProp6.xml><?xml version="1.0" encoding="utf-8"?>
<formControlPr xmlns="http://schemas.microsoft.com/office/spreadsheetml/2009/9/main" objectType="Drop" dropLines="2" dropStyle="combo" dx="16" fmlaLink="$H$27" fmlaRange="Calculations!$P$54:$P$55" noThreeD="1" sel="1" val="0"/>
</file>

<file path=xl/ctrlProps/ctrlProp7.xml><?xml version="1.0" encoding="utf-8"?>
<formControlPr xmlns="http://schemas.microsoft.com/office/spreadsheetml/2009/9/main" objectType="Drop" dropLines="2" dropStyle="combo" dx="16" fmlaLink="$I$27" fmlaRange="Calculations!$P$54:$P$55" noThreeD="1" sel="2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28575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</xdr:rowOff>
        </xdr:from>
        <xdr:to>
          <xdr:col>4</xdr:col>
          <xdr:colOff>9525</xdr:colOff>
          <xdr:row>27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5</xdr:col>
          <xdr:colOff>9525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28575</xdr:rowOff>
        </xdr:from>
        <xdr:to>
          <xdr:col>6</xdr:col>
          <xdr:colOff>9525</xdr:colOff>
          <xdr:row>27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28575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28575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28575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9525</xdr:rowOff>
    </xdr:from>
    <xdr:to>
      <xdr:col>11</xdr:col>
      <xdr:colOff>314325</xdr:colOff>
      <xdr:row>27</xdr:row>
      <xdr:rowOff>76200</xdr:rowOff>
    </xdr:to>
    <xdr:pic>
      <xdr:nvPicPr>
        <xdr:cNvPr id="10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4572000" cy="5019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1</xdr:row>
      <xdr:rowOff>9525</xdr:rowOff>
    </xdr:from>
    <xdr:to>
      <xdr:col>20</xdr:col>
      <xdr:colOff>371475</xdr:colOff>
      <xdr:row>25</xdr:row>
      <xdr:rowOff>9525</xdr:rowOff>
    </xdr:to>
    <xdr:pic>
      <xdr:nvPicPr>
        <xdr:cNvPr id="10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1450"/>
          <a:ext cx="5238750" cy="457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workbookViewId="0"/>
  </sheetViews>
  <sheetFormatPr defaultRowHeight="12.75" x14ac:dyDescent="0.2"/>
  <cols>
    <col min="1" max="1" width="9.140625" style="37"/>
    <col min="2" max="16384" width="9.140625" style="36"/>
  </cols>
  <sheetData>
    <row r="1" spans="1:13" ht="13.5" thickBot="1" x14ac:dyDescent="0.25">
      <c r="A1" s="34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3.5" thickTop="1" x14ac:dyDescent="0.2">
      <c r="A2" s="37" t="s">
        <v>50</v>
      </c>
      <c r="B2" s="36" t="s">
        <v>51</v>
      </c>
      <c r="E2" s="36" t="str">
        <f>"- Total emission rate for the pollutant in question from all sources in the building that the volume"</f>
        <v>- Total emission rate for the pollutant in question from all sources in the building that the volume</v>
      </c>
    </row>
    <row r="3" spans="1:13" x14ac:dyDescent="0.2">
      <c r="E3" s="36" t="str">
        <f>"  source(s) will represent"</f>
        <v xml:space="preserve">  source(s) will represent</v>
      </c>
    </row>
    <row r="4" spans="1:13" x14ac:dyDescent="0.2">
      <c r="E4" s="36" t="str">
        <f>"- The UTM coordinates for each of the building's four corners (only that part of the building into which"</f>
        <v>- The UTM coordinates for each of the building's four corners (only that part of the building into which</v>
      </c>
    </row>
    <row r="5" spans="1:13" x14ac:dyDescent="0.2">
      <c r="E5" s="36" t="str">
        <f>"  the emissions can spread...i.e. if there is a solid wall that splits the building in half, only use that"</f>
        <v xml:space="preserve">  the emissions can spread...i.e. if there is a solid wall that splits the building in half, only use that</v>
      </c>
    </row>
    <row r="6" spans="1:13" x14ac:dyDescent="0.2">
      <c r="E6" s="36" t="str">
        <f>"  half of the building into which the emissions vent to calculate the volume source parameters)"</f>
        <v xml:space="preserve">  half of the building into which the emissions vent to calculate the volume source parameters)</v>
      </c>
    </row>
    <row r="7" spans="1:13" x14ac:dyDescent="0.2">
      <c r="E7" s="36" t="str">
        <f>"- The building's peak height"</f>
        <v>- The building's peak height</v>
      </c>
    </row>
    <row r="8" spans="1:13" x14ac:dyDescent="0.2">
      <c r="E8" s="36" t="str">
        <f>"- The building's base elevation"</f>
        <v>- The building's base elevation</v>
      </c>
    </row>
    <row r="10" spans="1:13" x14ac:dyDescent="0.2">
      <c r="A10" s="37" t="s">
        <v>52</v>
      </c>
      <c r="B10" s="36" t="s">
        <v>53</v>
      </c>
    </row>
    <row r="11" spans="1:13" x14ac:dyDescent="0.2">
      <c r="B11" s="38" t="s">
        <v>67</v>
      </c>
    </row>
    <row r="13" spans="1:13" x14ac:dyDescent="0.2">
      <c r="B13" s="36" t="s">
        <v>64</v>
      </c>
      <c r="E13" s="36" t="str">
        <f>"- This is optional and will only be used to describe the source"</f>
        <v>- This is optional and will only be used to describe the source</v>
      </c>
    </row>
    <row r="14" spans="1:13" x14ac:dyDescent="0.2">
      <c r="B14" s="36" t="s">
        <v>54</v>
      </c>
      <c r="E14" s="36" t="str">
        <f>"- These are the UTM coordinates for each of the building's four corners…if the building has more"</f>
        <v>- These are the UTM coordinates for each of the building's four corners…if the building has more</v>
      </c>
    </row>
    <row r="15" spans="1:13" x14ac:dyDescent="0.2">
      <c r="E15" s="36" t="str">
        <f>"  than four corners you may not be able to use this spreadsheet"</f>
        <v xml:space="preserve">  than four corners you may not be able to use this spreadsheet</v>
      </c>
    </row>
    <row r="16" spans="1:13" x14ac:dyDescent="0.2">
      <c r="B16" s="36" t="s">
        <v>55</v>
      </c>
      <c r="E16" s="36" t="str">
        <f>"- The height above sea level at which the foundation of the building sits"</f>
        <v>- The height above sea level at which the foundation of the building sits</v>
      </c>
    </row>
    <row r="17" spans="1:5" x14ac:dyDescent="0.2">
      <c r="B17" s="36" t="s">
        <v>56</v>
      </c>
      <c r="E17" s="36" t="str">
        <f>"- The height from the building's base elevation to the highest point on its roof (note that this is only"</f>
        <v>- The height from the building's base elevation to the highest point on its roof (note that this is only</v>
      </c>
    </row>
    <row r="18" spans="1:5" x14ac:dyDescent="0.2">
      <c r="E18" s="36" t="str">
        <f>"  applicable for a single-tiered building, if there are multiple tiers you will need to find the weighted"</f>
        <v xml:space="preserve">  applicable for a single-tiered building, if there are multiple tiers you will need to find the weighted</v>
      </c>
    </row>
    <row r="19" spans="1:5" x14ac:dyDescent="0.2">
      <c r="E19" s="36" t="str">
        <f>"  average peak height by determining how much surface area each tier's roof comprises of the total"</f>
        <v xml:space="preserve">  average peak height by determining how much surface area each tier's roof comprises of the total</v>
      </c>
    </row>
    <row r="20" spans="1:5" x14ac:dyDescent="0.2">
      <c r="E20" s="36" t="str">
        <f>"  area and weighting the corresponding height into an average height accordingly). As a conservative"</f>
        <v xml:space="preserve">  area and weighting the corresponding height into an average height accordingly). As a conservative</v>
      </c>
    </row>
    <row r="21" spans="1:5" x14ac:dyDescent="0.2">
      <c r="E21" s="36" t="str">
        <f>"  estimate, the minimum peak height for a multi-tiered building may be used."</f>
        <v xml:space="preserve">  estimate, the minimum peak height for a multi-tiered building may be used.</v>
      </c>
    </row>
    <row r="22" spans="1:5" x14ac:dyDescent="0.2">
      <c r="B22" s="36" t="s">
        <v>57</v>
      </c>
      <c r="E22" s="36" t="str">
        <f>"- The total emissions from all sources that vent inside the building"</f>
        <v>- The total emissions from all sources that vent inside the building</v>
      </c>
    </row>
    <row r="23" spans="1:5" x14ac:dyDescent="0.2">
      <c r="B23" s="36" t="s">
        <v>58</v>
      </c>
      <c r="E23" s="36" t="str">
        <f>"- Percentage of emissions that will not be considered in the modeling analysis (PM10 only)"</f>
        <v>- Percentage of emissions that will not be considered in the modeling analysis (PM10 only)</v>
      </c>
    </row>
    <row r="24" spans="1:5" x14ac:dyDescent="0.2">
      <c r="E24" s="36" t="str">
        <f>"  This is case-by-case, and can be somewhat subjective. One method for determining this is to"</f>
        <v xml:space="preserve">  This is case-by-case, and can be somewhat subjective. One method for determining this is to</v>
      </c>
    </row>
    <row r="25" spans="1:5" x14ac:dyDescent="0.2">
      <c r="E25" s="36" t="str">
        <f>"  calculate the ratio of walls and ceilings to doors and windows (i.e. what portion will likely be"</f>
        <v xml:space="preserve">  calculate the ratio of walls and ceilings to doors and windows (i.e. what portion will likely be</v>
      </c>
    </row>
    <row r="26" spans="1:5" x14ac:dyDescent="0.2">
      <c r="E26" s="36" t="str">
        <f>"  contained by the building.  If the building is a cube and is open at two ends then you can assume"</f>
        <v xml:space="preserve">  contained by the building.  If the building is a cube and is open at two ends then you can assume</v>
      </c>
    </row>
    <row r="27" spans="1:5" x14ac:dyDescent="0.2">
      <c r="E27" s="36" t="str">
        <f>"  that three of its 5 sides, 4 walls and a ceiling, will not allow the pollutant to escape.  However, the"</f>
        <v xml:space="preserve">  that three of its 5 sides, 4 walls and a ceiling, will not allow the pollutant to escape.  However, the</v>
      </c>
    </row>
    <row r="28" spans="1:5" x14ac:dyDescent="0.2">
      <c r="E28" s="36" t="str">
        <f>"  other two sides will allow the pollutant to escape, so your enclosure credit would be 3/5 or 60%)"</f>
        <v xml:space="preserve">  other two sides will allow the pollutant to escape, so your enclosure credit would be 3/5 or 60%)</v>
      </c>
    </row>
    <row r="29" spans="1:5" x14ac:dyDescent="0.2">
      <c r="B29" s="36" t="s">
        <v>59</v>
      </c>
      <c r="E29" s="36" t="str">
        <f>"- This space is optional and is only provided so that notes on the specifics of each source can be"</f>
        <v>- This space is optional and is only provided so that notes on the specifics of each source can be</v>
      </c>
    </row>
    <row r="30" spans="1:5" x14ac:dyDescent="0.2">
      <c r="E30" s="36" t="str">
        <f>"  included"</f>
        <v xml:space="preserve">  included</v>
      </c>
    </row>
    <row r="32" spans="1:5" x14ac:dyDescent="0.2">
      <c r="A32" s="37" t="s">
        <v>60</v>
      </c>
      <c r="B32" s="36" t="s">
        <v>61</v>
      </c>
    </row>
    <row r="34" spans="2:2" x14ac:dyDescent="0.2">
      <c r="B34" s="36" t="s">
        <v>65</v>
      </c>
    </row>
    <row r="36" spans="2:2" x14ac:dyDescent="0.2">
      <c r="B36" s="36" t="s">
        <v>85</v>
      </c>
    </row>
    <row r="38" spans="2:2" x14ac:dyDescent="0.2">
      <c r="B38" s="36" t="s">
        <v>62</v>
      </c>
    </row>
    <row r="39" spans="2:2" x14ac:dyDescent="0.2">
      <c r="B39" s="36" t="s">
        <v>86</v>
      </c>
    </row>
    <row r="40" spans="2:2" x14ac:dyDescent="0.2">
      <c r="B40" s="36" t="s">
        <v>91</v>
      </c>
    </row>
    <row r="41" spans="2:2" x14ac:dyDescent="0.2">
      <c r="B41" s="36" t="s">
        <v>87</v>
      </c>
    </row>
    <row r="42" spans="2:2" x14ac:dyDescent="0.2">
      <c r="B42" s="36" t="s">
        <v>88</v>
      </c>
    </row>
    <row r="43" spans="2:2" x14ac:dyDescent="0.2">
      <c r="B43" s="36" t="s">
        <v>92</v>
      </c>
    </row>
    <row r="44" spans="2:2" x14ac:dyDescent="0.2">
      <c r="B44" s="36" t="s">
        <v>89</v>
      </c>
    </row>
    <row r="45" spans="2:2" x14ac:dyDescent="0.2">
      <c r="B45" s="36" t="s">
        <v>66</v>
      </c>
    </row>
    <row r="46" spans="2:2" x14ac:dyDescent="0.2">
      <c r="B46" s="36" t="s">
        <v>90</v>
      </c>
    </row>
  </sheetData>
  <sheetProtection sheet="1" objects="1" scenarios="1"/>
  <phoneticPr fontId="1" type="noConversion"/>
  <pageMargins left="0.75" right="0.75" top="1" bottom="1" header="0.5" footer="0.5"/>
  <pageSetup scale="76" orientation="portrait" r:id="rId1"/>
  <headerFooter alignWithMargins="0">
    <oddFooter>&amp;R&amp;F -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A3" sqref="A3"/>
    </sheetView>
  </sheetViews>
  <sheetFormatPr defaultRowHeight="12.75" x14ac:dyDescent="0.2"/>
  <cols>
    <col min="1" max="1" width="15" style="3" customWidth="1"/>
    <col min="2" max="9" width="10.7109375" style="3" customWidth="1"/>
    <col min="10" max="16384" width="9.140625" style="3"/>
  </cols>
  <sheetData>
    <row r="1" spans="1:9" ht="13.5" thickBo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</row>
    <row r="2" spans="1:9" ht="13.5" thickTop="1" x14ac:dyDescent="0.2">
      <c r="A2" s="4" t="s">
        <v>63</v>
      </c>
      <c r="B2" s="4"/>
      <c r="C2" s="4"/>
      <c r="D2" s="4"/>
      <c r="E2" s="4"/>
      <c r="F2" s="4"/>
      <c r="G2" s="4"/>
      <c r="H2" s="4"/>
      <c r="I2" s="4"/>
    </row>
    <row r="3" spans="1:9" x14ac:dyDescent="0.2">
      <c r="A3" s="5"/>
      <c r="B3" s="4"/>
      <c r="C3" s="4"/>
      <c r="D3" s="4"/>
      <c r="E3" s="4"/>
      <c r="F3" s="4"/>
      <c r="G3" s="4"/>
      <c r="H3" s="4"/>
      <c r="I3" s="4"/>
    </row>
    <row r="4" spans="1:9" x14ac:dyDescent="0.2">
      <c r="A4" s="4"/>
      <c r="B4" s="4"/>
      <c r="C4" s="4"/>
      <c r="D4" s="4"/>
      <c r="E4" s="4"/>
      <c r="F4" s="4"/>
      <c r="G4" s="4"/>
      <c r="H4" s="4"/>
      <c r="I4" s="4"/>
    </row>
    <row r="5" spans="1:9" x14ac:dyDescent="0.2">
      <c r="A5" s="6" t="s">
        <v>47</v>
      </c>
      <c r="B5" s="7" t="s">
        <v>0</v>
      </c>
      <c r="C5" s="7" t="s">
        <v>1</v>
      </c>
      <c r="E5" s="3" t="s">
        <v>9</v>
      </c>
    </row>
    <row r="6" spans="1:9" x14ac:dyDescent="0.2">
      <c r="A6" s="8" t="s">
        <v>33</v>
      </c>
      <c r="B6" s="5"/>
      <c r="C6" s="5"/>
      <c r="E6" s="48"/>
      <c r="F6" s="49"/>
      <c r="G6" s="49"/>
      <c r="H6" s="49"/>
      <c r="I6" s="50"/>
    </row>
    <row r="7" spans="1:9" x14ac:dyDescent="0.2">
      <c r="A7" s="8" t="s">
        <v>34</v>
      </c>
      <c r="B7" s="5"/>
      <c r="C7" s="5"/>
      <c r="E7" s="51"/>
      <c r="F7" s="52"/>
      <c r="G7" s="52"/>
      <c r="H7" s="52"/>
      <c r="I7" s="53"/>
    </row>
    <row r="8" spans="1:9" x14ac:dyDescent="0.2">
      <c r="A8" s="8" t="s">
        <v>35</v>
      </c>
      <c r="B8" s="5"/>
      <c r="C8" s="5"/>
      <c r="E8" s="51"/>
      <c r="F8" s="52"/>
      <c r="G8" s="52"/>
      <c r="H8" s="52"/>
      <c r="I8" s="53"/>
    </row>
    <row r="9" spans="1:9" x14ac:dyDescent="0.2">
      <c r="A9" s="8" t="s">
        <v>36</v>
      </c>
      <c r="B9" s="5"/>
      <c r="C9" s="5"/>
      <c r="E9" s="51"/>
      <c r="F9" s="52"/>
      <c r="G9" s="52"/>
      <c r="H9" s="52"/>
      <c r="I9" s="53"/>
    </row>
    <row r="10" spans="1:9" x14ac:dyDescent="0.2">
      <c r="A10" s="4"/>
      <c r="B10" s="4"/>
      <c r="C10" s="4"/>
      <c r="D10" s="4"/>
      <c r="E10" s="51"/>
      <c r="F10" s="52"/>
      <c r="G10" s="52"/>
      <c r="H10" s="52"/>
      <c r="I10" s="53"/>
    </row>
    <row r="11" spans="1:9" x14ac:dyDescent="0.2">
      <c r="A11" s="4" t="s">
        <v>48</v>
      </c>
      <c r="B11" s="4"/>
      <c r="C11" s="4"/>
      <c r="D11" s="4"/>
      <c r="E11" s="51"/>
      <c r="F11" s="52"/>
      <c r="G11" s="52"/>
      <c r="H11" s="52"/>
      <c r="I11" s="53"/>
    </row>
    <row r="12" spans="1:9" x14ac:dyDescent="0.2">
      <c r="A12" s="5"/>
      <c r="B12" s="4"/>
      <c r="C12" s="4"/>
      <c r="D12" s="4"/>
      <c r="E12" s="51"/>
      <c r="F12" s="52"/>
      <c r="G12" s="52"/>
      <c r="H12" s="52"/>
      <c r="I12" s="53"/>
    </row>
    <row r="13" spans="1:9" x14ac:dyDescent="0.2">
      <c r="A13" s="9"/>
      <c r="E13" s="51"/>
      <c r="F13" s="52"/>
      <c r="G13" s="52"/>
      <c r="H13" s="52"/>
      <c r="I13" s="53"/>
    </row>
    <row r="14" spans="1:9" x14ac:dyDescent="0.2">
      <c r="A14" s="3" t="s">
        <v>32</v>
      </c>
      <c r="E14" s="51"/>
      <c r="F14" s="52"/>
      <c r="G14" s="52"/>
      <c r="H14" s="52"/>
      <c r="I14" s="53"/>
    </row>
    <row r="15" spans="1:9" x14ac:dyDescent="0.2">
      <c r="A15" s="5"/>
      <c r="E15" s="51"/>
      <c r="F15" s="52"/>
      <c r="G15" s="52"/>
      <c r="H15" s="52"/>
      <c r="I15" s="53"/>
    </row>
    <row r="16" spans="1:9" x14ac:dyDescent="0.2">
      <c r="B16" s="10"/>
      <c r="E16" s="51"/>
      <c r="F16" s="52"/>
      <c r="G16" s="52"/>
      <c r="H16" s="52"/>
      <c r="I16" s="53"/>
    </row>
    <row r="17" spans="1:9" x14ac:dyDescent="0.2">
      <c r="A17" s="3" t="s">
        <v>7</v>
      </c>
      <c r="E17" s="51"/>
      <c r="F17" s="52"/>
      <c r="G17" s="52"/>
      <c r="H17" s="52"/>
      <c r="I17" s="53"/>
    </row>
    <row r="18" spans="1:9" x14ac:dyDescent="0.2">
      <c r="A18" s="5"/>
      <c r="E18" s="51"/>
      <c r="F18" s="52"/>
      <c r="G18" s="52"/>
      <c r="H18" s="52"/>
      <c r="I18" s="53"/>
    </row>
    <row r="19" spans="1:9" x14ac:dyDescent="0.2">
      <c r="E19" s="51"/>
      <c r="F19" s="52"/>
      <c r="G19" s="52"/>
      <c r="H19" s="52"/>
      <c r="I19" s="53"/>
    </row>
    <row r="20" spans="1:9" x14ac:dyDescent="0.2">
      <c r="A20" s="3" t="s">
        <v>68</v>
      </c>
      <c r="E20" s="51"/>
      <c r="F20" s="52"/>
      <c r="G20" s="52"/>
      <c r="H20" s="52"/>
      <c r="I20" s="53"/>
    </row>
    <row r="21" spans="1:9" x14ac:dyDescent="0.2">
      <c r="A21" s="5"/>
      <c r="E21" s="54"/>
      <c r="F21" s="55"/>
      <c r="G21" s="55"/>
      <c r="H21" s="55"/>
      <c r="I21" s="56"/>
    </row>
    <row r="23" spans="1:9" ht="13.5" thickBot="1" x14ac:dyDescent="0.25">
      <c r="A23" s="11" t="s">
        <v>2</v>
      </c>
    </row>
    <row r="24" spans="1:9" ht="13.5" thickTop="1" x14ac:dyDescent="0.2">
      <c r="A24" s="12" t="s">
        <v>69</v>
      </c>
      <c r="B24" s="12"/>
      <c r="C24" s="12"/>
      <c r="D24" s="12"/>
      <c r="E24" s="12"/>
      <c r="F24" s="12"/>
      <c r="G24" s="12"/>
      <c r="H24" s="12"/>
      <c r="I24" s="12"/>
    </row>
    <row r="25" spans="1:9" x14ac:dyDescent="0.2">
      <c r="A25" s="13">
        <f>Calculations!B14</f>
        <v>0</v>
      </c>
      <c r="B25" s="14" t="str">
        <f>IF(A25&gt;10,"    This tool is only good for up to 10 volume sources, remainder not shown","")</f>
        <v/>
      </c>
    </row>
    <row r="26" spans="1:9" s="15" customFormat="1" ht="25.5" customHeight="1" x14ac:dyDescent="0.2">
      <c r="A26" s="47" t="s">
        <v>70</v>
      </c>
      <c r="B26" s="47" t="s">
        <v>39</v>
      </c>
      <c r="C26" s="47" t="s">
        <v>40</v>
      </c>
      <c r="D26" s="47" t="s">
        <v>41</v>
      </c>
      <c r="E26" s="47" t="s">
        <v>42</v>
      </c>
      <c r="F26" s="47" t="s">
        <v>43</v>
      </c>
      <c r="G26" s="47" t="s">
        <v>44</v>
      </c>
      <c r="H26" s="47" t="s">
        <v>45</v>
      </c>
      <c r="I26" s="47" t="s">
        <v>46</v>
      </c>
    </row>
    <row r="27" spans="1:9" ht="17.25" customHeight="1" x14ac:dyDescent="0.2">
      <c r="B27" s="10"/>
      <c r="C27" s="46">
        <v>1</v>
      </c>
      <c r="D27" s="46">
        <v>1</v>
      </c>
      <c r="E27" s="46">
        <v>1</v>
      </c>
      <c r="F27" s="46">
        <v>2</v>
      </c>
      <c r="G27" s="46">
        <v>2</v>
      </c>
      <c r="H27" s="46">
        <v>1</v>
      </c>
      <c r="I27" s="46">
        <v>2</v>
      </c>
    </row>
    <row r="28" spans="1:9" x14ac:dyDescent="0.2">
      <c r="A28" s="39" t="str">
        <f>IF('Volume Source Determination'!$A$25=1,"V"&amp;LEFT('Volume Source Determination'!$A$3,7),"V"&amp;LEFT('Volume Source Determination'!$A$3,6)&amp;"A")</f>
        <v>VA</v>
      </c>
      <c r="B28" s="39" t="str">
        <f>IF(ISBLANK($A$3),"",IF('Volume Source Determination'!$A$25=1,'Volume Source Determination'!$A$3,'Volume Source Determination'!$A$3&amp;" - A"))</f>
        <v/>
      </c>
      <c r="C28" s="40" t="e">
        <f>IF($C$27=1,Calculations!$F$48,Calculations!$F$57)</f>
        <v>#DIV/0!</v>
      </c>
      <c r="D28" s="40" t="e">
        <f>IF($D$27=1,Calculations!$F$49,Calculations!$F$58)</f>
        <v>#DIV/0!</v>
      </c>
      <c r="E28" s="40">
        <f>IF($E$27=1,Elevation,Elevation*3.28083)</f>
        <v>0</v>
      </c>
      <c r="F28" s="41" t="e">
        <f>IF($F$27=1,Calculations!$F$50,Calculations!$F$59)</f>
        <v>#DIV/0!</v>
      </c>
      <c r="G28" s="40">
        <f>IF($G$27=1,Calculations!$F$51,Calculations!$F$60)</f>
        <v>0</v>
      </c>
      <c r="H28" s="40" t="e">
        <f>IF($H$27=1,Calculations!$F$52,Calculations!$F$61)</f>
        <v>#DIV/0!</v>
      </c>
      <c r="I28" s="42">
        <f>IF($I$27=1,Calculations!$F$53,Calculations!$F$62)</f>
        <v>0</v>
      </c>
    </row>
    <row r="29" spans="1:9" x14ac:dyDescent="0.2">
      <c r="A29" s="39" t="str">
        <f>IF('Volume Source Determination'!$A$25&gt;=2,"V"&amp;LEFT('Volume Source Determination'!$A$3,6)&amp;"B","")</f>
        <v/>
      </c>
      <c r="B29" s="39" t="str">
        <f>IF(ISBLANK($A$3),"",IF('Volume Source Determination'!$A$25&gt;=2,'Volume Source Determination'!$A$3&amp;" - B",""))</f>
        <v/>
      </c>
      <c r="C29" s="43" t="e">
        <f>IF($C$27=1,Calculations!$G$48,Calculations!$G$57)</f>
        <v>#DIV/0!</v>
      </c>
      <c r="D29" s="43" t="e">
        <f>IF($D$27=1,Calculations!$G$49,Calculations!$G$58)</f>
        <v>#DIV/0!</v>
      </c>
      <c r="E29" s="43">
        <f>E28</f>
        <v>0</v>
      </c>
      <c r="F29" s="44" t="e">
        <f>F28</f>
        <v>#DIV/0!</v>
      </c>
      <c r="G29" s="43">
        <f>G28</f>
        <v>0</v>
      </c>
      <c r="H29" s="43" t="e">
        <f>H28</f>
        <v>#DIV/0!</v>
      </c>
      <c r="I29" s="45">
        <f>I28</f>
        <v>0</v>
      </c>
    </row>
    <row r="30" spans="1:9" x14ac:dyDescent="0.2">
      <c r="A30" s="39" t="str">
        <f>IF('Volume Source Determination'!$A$25&gt;=3,"V"&amp;LEFT('Volume Source Determination'!$A$3,6)&amp;"C","")</f>
        <v/>
      </c>
      <c r="B30" s="39" t="str">
        <f>IF(ISBLANK($A$3),"",IF('Volume Source Determination'!$A$25&gt;=3,'Volume Source Determination'!$A$3&amp;" - C",""))</f>
        <v/>
      </c>
      <c r="C30" s="43" t="e">
        <f>IF($C$27=1,Calculations!$H$48,Calculations!$H$57)</f>
        <v>#DIV/0!</v>
      </c>
      <c r="D30" s="43" t="e">
        <f>IF($D$27=1,Calculations!$H$49,Calculations!$H$58)</f>
        <v>#DIV/0!</v>
      </c>
      <c r="E30" s="43">
        <f t="shared" ref="E30:I37" si="0">E29</f>
        <v>0</v>
      </c>
      <c r="F30" s="44" t="e">
        <f t="shared" si="0"/>
        <v>#DIV/0!</v>
      </c>
      <c r="G30" s="43">
        <f t="shared" si="0"/>
        <v>0</v>
      </c>
      <c r="H30" s="43" t="e">
        <f t="shared" si="0"/>
        <v>#DIV/0!</v>
      </c>
      <c r="I30" s="45">
        <f t="shared" si="0"/>
        <v>0</v>
      </c>
    </row>
    <row r="31" spans="1:9" x14ac:dyDescent="0.2">
      <c r="A31" s="39" t="str">
        <f>IF('Volume Source Determination'!$A$25&gt;=4,"V"&amp;LEFT('Volume Source Determination'!$A$3,6)&amp;"D","")</f>
        <v/>
      </c>
      <c r="B31" s="39" t="str">
        <f>IF(ISBLANK($A$3),"",IF('Volume Source Determination'!$A$25&gt;=4,'Volume Source Determination'!$A$3&amp;" - D",""))</f>
        <v/>
      </c>
      <c r="C31" s="43" t="e">
        <f>IF($C$27=1,Calculations!$I$48,Calculations!$I$57)</f>
        <v>#DIV/0!</v>
      </c>
      <c r="D31" s="43" t="e">
        <f>IF($D$27=1,Calculations!$I$49,Calculations!$I$58)</f>
        <v>#DIV/0!</v>
      </c>
      <c r="E31" s="43">
        <f t="shared" si="0"/>
        <v>0</v>
      </c>
      <c r="F31" s="44" t="e">
        <f t="shared" si="0"/>
        <v>#DIV/0!</v>
      </c>
      <c r="G31" s="43">
        <f t="shared" si="0"/>
        <v>0</v>
      </c>
      <c r="H31" s="43" t="e">
        <f t="shared" si="0"/>
        <v>#DIV/0!</v>
      </c>
      <c r="I31" s="45">
        <f t="shared" si="0"/>
        <v>0</v>
      </c>
    </row>
    <row r="32" spans="1:9" x14ac:dyDescent="0.2">
      <c r="A32" s="39" t="str">
        <f>IF('Volume Source Determination'!$A$25&gt;=5,"V"&amp;LEFT('Volume Source Determination'!$A$3,6)&amp;"E","")</f>
        <v/>
      </c>
      <c r="B32" s="39" t="str">
        <f>IF(ISBLANK($A$3),"",IF('Volume Source Determination'!$A$25&gt;=5,'Volume Source Determination'!$A$3&amp;" - E",""))</f>
        <v/>
      </c>
      <c r="C32" s="43" t="e">
        <f>IF($C$27=1,Calculations!$J$48,Calculations!$J$57)</f>
        <v>#DIV/0!</v>
      </c>
      <c r="D32" s="43" t="e">
        <f>IF($D$27=1,Calculations!$J$49,Calculations!$J$58)</f>
        <v>#DIV/0!</v>
      </c>
      <c r="E32" s="43">
        <f t="shared" si="0"/>
        <v>0</v>
      </c>
      <c r="F32" s="44" t="e">
        <f t="shared" si="0"/>
        <v>#DIV/0!</v>
      </c>
      <c r="G32" s="43">
        <f t="shared" si="0"/>
        <v>0</v>
      </c>
      <c r="H32" s="43" t="e">
        <f t="shared" si="0"/>
        <v>#DIV/0!</v>
      </c>
      <c r="I32" s="45">
        <f t="shared" si="0"/>
        <v>0</v>
      </c>
    </row>
    <row r="33" spans="1:9" x14ac:dyDescent="0.2">
      <c r="A33" s="39" t="str">
        <f>IF('Volume Source Determination'!$A$25&gt;=6,"V"&amp;LEFT('Volume Source Determination'!$A$3,6)&amp;"F","")</f>
        <v/>
      </c>
      <c r="B33" s="39" t="str">
        <f>IF(ISBLANK($A$3),"",IF('Volume Source Determination'!$A$25&gt;=6,'Volume Source Determination'!$A$3&amp;" - F",""))</f>
        <v/>
      </c>
      <c r="C33" s="43" t="e">
        <f>IF($C$27=1,Calculations!$K$48,Calculations!$K$57)</f>
        <v>#DIV/0!</v>
      </c>
      <c r="D33" s="43" t="e">
        <f>IF($D$27=1,Calculations!$K$49,Calculations!$K$58)</f>
        <v>#DIV/0!</v>
      </c>
      <c r="E33" s="43">
        <f t="shared" si="0"/>
        <v>0</v>
      </c>
      <c r="F33" s="44" t="e">
        <f t="shared" si="0"/>
        <v>#DIV/0!</v>
      </c>
      <c r="G33" s="43">
        <f t="shared" si="0"/>
        <v>0</v>
      </c>
      <c r="H33" s="43" t="e">
        <f t="shared" si="0"/>
        <v>#DIV/0!</v>
      </c>
      <c r="I33" s="45">
        <f t="shared" si="0"/>
        <v>0</v>
      </c>
    </row>
    <row r="34" spans="1:9" x14ac:dyDescent="0.2">
      <c r="A34" s="39" t="str">
        <f>IF('Volume Source Determination'!$A$25&gt;=7,"V"&amp;LEFT('Volume Source Determination'!$A$3,6)&amp;"G","")</f>
        <v/>
      </c>
      <c r="B34" s="39" t="str">
        <f>IF(ISBLANK($A$3),"",IF('Volume Source Determination'!$A$25&gt;=7,'Volume Source Determination'!$A$3&amp;" - G",""))</f>
        <v/>
      </c>
      <c r="C34" s="43" t="e">
        <f>IF($C$27=1,Calculations!$L$48,Calculations!$L$57)</f>
        <v>#DIV/0!</v>
      </c>
      <c r="D34" s="43" t="e">
        <f>IF($D$27=1,Calculations!$L$49,Calculations!$L$58)</f>
        <v>#DIV/0!</v>
      </c>
      <c r="E34" s="43">
        <f t="shared" si="0"/>
        <v>0</v>
      </c>
      <c r="F34" s="44" t="e">
        <f t="shared" si="0"/>
        <v>#DIV/0!</v>
      </c>
      <c r="G34" s="43">
        <f t="shared" si="0"/>
        <v>0</v>
      </c>
      <c r="H34" s="43" t="e">
        <f t="shared" si="0"/>
        <v>#DIV/0!</v>
      </c>
      <c r="I34" s="45">
        <f t="shared" si="0"/>
        <v>0</v>
      </c>
    </row>
    <row r="35" spans="1:9" x14ac:dyDescent="0.2">
      <c r="A35" s="39" t="str">
        <f>IF('Volume Source Determination'!$A$25&gt;=8,"V"&amp;LEFT('Volume Source Determination'!$A$3,6)&amp;"H","")</f>
        <v/>
      </c>
      <c r="B35" s="39" t="str">
        <f>IF(ISBLANK($A$3),"",IF('Volume Source Determination'!$A$25&gt;=8,'Volume Source Determination'!$A$3&amp;" - H",""))</f>
        <v/>
      </c>
      <c r="C35" s="43" t="e">
        <f>IF($C$27=1,Calculations!$M$48,Calculations!$M$57)</f>
        <v>#DIV/0!</v>
      </c>
      <c r="D35" s="43" t="e">
        <f>IF($D$27=1,Calculations!$M$49,Calculations!$M$58)</f>
        <v>#DIV/0!</v>
      </c>
      <c r="E35" s="43">
        <f t="shared" si="0"/>
        <v>0</v>
      </c>
      <c r="F35" s="44" t="e">
        <f t="shared" si="0"/>
        <v>#DIV/0!</v>
      </c>
      <c r="G35" s="43">
        <f t="shared" si="0"/>
        <v>0</v>
      </c>
      <c r="H35" s="43" t="e">
        <f t="shared" si="0"/>
        <v>#DIV/0!</v>
      </c>
      <c r="I35" s="45">
        <f t="shared" si="0"/>
        <v>0</v>
      </c>
    </row>
    <row r="36" spans="1:9" x14ac:dyDescent="0.2">
      <c r="A36" s="39" t="str">
        <f>IF('Volume Source Determination'!$A$25&gt;=9,"V"&amp;LEFT('Volume Source Determination'!$A$3,6)&amp;"I","")</f>
        <v/>
      </c>
      <c r="B36" s="39" t="str">
        <f>IF(ISBLANK($A$3),"",IF('Volume Source Determination'!$A$25&gt;=9,'Volume Source Determination'!$A$3&amp;" - I",""))</f>
        <v/>
      </c>
      <c r="C36" s="43" t="e">
        <f>IF($C$27=1,Calculations!$N$48,Calculations!$N$57)</f>
        <v>#DIV/0!</v>
      </c>
      <c r="D36" s="43" t="e">
        <f>IF($D$27=1,Calculations!$N$49,Calculations!$N$58)</f>
        <v>#DIV/0!</v>
      </c>
      <c r="E36" s="43">
        <f t="shared" si="0"/>
        <v>0</v>
      </c>
      <c r="F36" s="44" t="e">
        <f t="shared" si="0"/>
        <v>#DIV/0!</v>
      </c>
      <c r="G36" s="43">
        <f t="shared" si="0"/>
        <v>0</v>
      </c>
      <c r="H36" s="43" t="e">
        <f t="shared" si="0"/>
        <v>#DIV/0!</v>
      </c>
      <c r="I36" s="45">
        <f t="shared" si="0"/>
        <v>0</v>
      </c>
    </row>
    <row r="37" spans="1:9" x14ac:dyDescent="0.2">
      <c r="A37" s="39" t="str">
        <f>IF('Volume Source Determination'!$A$25=10,"V"&amp;LEFT('Volume Source Determination'!$A$3,6)&amp;"J","")</f>
        <v/>
      </c>
      <c r="B37" s="39" t="str">
        <f>IF(ISBLANK($A$3),"",IF('Volume Source Determination'!$A$25&gt;=10,'Volume Source Determination'!$A$3&amp;" - J",""))</f>
        <v/>
      </c>
      <c r="C37" s="43" t="e">
        <f>IF($C$27=1,Calculations!$O$48,Calculations!$O$57)</f>
        <v>#DIV/0!</v>
      </c>
      <c r="D37" s="43" t="e">
        <f>IF($D$27=1,Calculations!$O$49,Calculations!$O$58)</f>
        <v>#DIV/0!</v>
      </c>
      <c r="E37" s="43">
        <f t="shared" si="0"/>
        <v>0</v>
      </c>
      <c r="F37" s="44" t="e">
        <f t="shared" si="0"/>
        <v>#DIV/0!</v>
      </c>
      <c r="G37" s="43">
        <f t="shared" si="0"/>
        <v>0</v>
      </c>
      <c r="H37" s="43" t="e">
        <f t="shared" si="0"/>
        <v>#DIV/0!</v>
      </c>
      <c r="I37" s="45">
        <f t="shared" si="0"/>
        <v>0</v>
      </c>
    </row>
    <row r="38" spans="1:9" ht="13.5" thickBot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s="16" customFormat="1" ht="12" thickTop="1" x14ac:dyDescent="0.2">
      <c r="A39" s="16" t="s">
        <v>37</v>
      </c>
    </row>
    <row r="40" spans="1:9" s="16" customFormat="1" ht="11.25" x14ac:dyDescent="0.2">
      <c r="A40" s="16" t="s">
        <v>93</v>
      </c>
    </row>
    <row r="41" spans="1:9" s="16" customFormat="1" ht="11.25" x14ac:dyDescent="0.2">
      <c r="A41" s="16" t="s">
        <v>94</v>
      </c>
    </row>
    <row r="42" spans="1:9" s="16" customFormat="1" ht="11.25" x14ac:dyDescent="0.2"/>
    <row r="43" spans="1:9" s="16" customFormat="1" ht="11.25" x14ac:dyDescent="0.2">
      <c r="A43" s="16" t="s">
        <v>38</v>
      </c>
    </row>
    <row r="44" spans="1:9" s="16" customFormat="1" ht="11.25" x14ac:dyDescent="0.2"/>
    <row r="45" spans="1:9" s="16" customFormat="1" ht="11.25" x14ac:dyDescent="0.2">
      <c r="A45" s="16" t="s">
        <v>95</v>
      </c>
    </row>
    <row r="46" spans="1:9" s="16" customFormat="1" ht="11.25" x14ac:dyDescent="0.2">
      <c r="A46" s="16" t="s">
        <v>96</v>
      </c>
    </row>
    <row r="47" spans="1:9" s="16" customFormat="1" ht="11.25" x14ac:dyDescent="0.2">
      <c r="A47" s="16" t="s">
        <v>97</v>
      </c>
    </row>
  </sheetData>
  <sheetProtection sheet="1" objects="1" scenarios="1"/>
  <mergeCells count="1">
    <mergeCell ref="E6:I21"/>
  </mergeCells>
  <phoneticPr fontId="1" type="noConversion"/>
  <conditionalFormatting sqref="B28:I28">
    <cfRule type="expression" dxfId="12" priority="15" stopIfTrue="1">
      <formula>$A$25&lt;1</formula>
    </cfRule>
  </conditionalFormatting>
  <conditionalFormatting sqref="C29:I29">
    <cfRule type="expression" dxfId="11" priority="16" stopIfTrue="1">
      <formula>$A$25&lt;2</formula>
    </cfRule>
  </conditionalFormatting>
  <conditionalFormatting sqref="C30:I30">
    <cfRule type="expression" dxfId="10" priority="17" stopIfTrue="1">
      <formula>$A$25&lt;3</formula>
    </cfRule>
  </conditionalFormatting>
  <conditionalFormatting sqref="C31:I31">
    <cfRule type="expression" dxfId="9" priority="18" stopIfTrue="1">
      <formula>$A$25&lt;4</formula>
    </cfRule>
  </conditionalFormatting>
  <conditionalFormatting sqref="C32:I32">
    <cfRule type="expression" dxfId="8" priority="19" stopIfTrue="1">
      <formula>$A$25&lt;5</formula>
    </cfRule>
  </conditionalFormatting>
  <conditionalFormatting sqref="C33:I33">
    <cfRule type="expression" dxfId="7" priority="20" stopIfTrue="1">
      <formula>$A$25&lt;6</formula>
    </cfRule>
  </conditionalFormatting>
  <conditionalFormatting sqref="C34:I34">
    <cfRule type="expression" dxfId="6" priority="21" stopIfTrue="1">
      <formula>$A$25&lt;7</formula>
    </cfRule>
  </conditionalFormatting>
  <conditionalFormatting sqref="C35:I35">
    <cfRule type="expression" dxfId="5" priority="22" stopIfTrue="1">
      <formula>$A$25&lt;8</formula>
    </cfRule>
  </conditionalFormatting>
  <conditionalFormatting sqref="C36:I36">
    <cfRule type="expression" dxfId="4" priority="23" stopIfTrue="1">
      <formula>$A$25&lt;9</formula>
    </cfRule>
  </conditionalFormatting>
  <conditionalFormatting sqref="C37:I37">
    <cfRule type="expression" dxfId="3" priority="24" stopIfTrue="1">
      <formula>$A$25&lt;10</formula>
    </cfRule>
  </conditionalFormatting>
  <conditionalFormatting sqref="A28">
    <cfRule type="expression" dxfId="2" priority="5" stopIfTrue="1">
      <formula>$A$25&lt;1</formula>
    </cfRule>
  </conditionalFormatting>
  <conditionalFormatting sqref="A29:A37">
    <cfRule type="expression" dxfId="1" priority="2" stopIfTrue="1">
      <formula>$A$25&lt;1</formula>
    </cfRule>
  </conditionalFormatting>
  <conditionalFormatting sqref="B29:B37">
    <cfRule type="expression" dxfId="0" priority="1" stopIfTrue="1">
      <formula>$A$25&lt;1</formula>
    </cfRule>
  </conditionalFormatting>
  <pageMargins left="0.5" right="0.5" top="0.75" bottom="0.75" header="0.5" footer="0.5"/>
  <pageSetup scale="93" orientation="landscape" r:id="rId1"/>
  <headerFooter alignWithMargins="0">
    <oddFooter>&amp;R&amp;F - &amp;A</oddFooter>
  </headerFooter>
  <ignoredErrors>
    <ignoredError sqref="C28:H3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28575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9525</xdr:colOff>
                    <xdr:row>26</xdr:row>
                    <xdr:rowOff>28575</xdr:rowOff>
                  </from>
                  <to>
                    <xdr:col>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Drop Down 5">
              <controlPr defaultSize="0" autoLine="0" autoPict="0">
                <anchor moveWithCells="1">
                  <from>
                    <xdr:col>5</xdr:col>
                    <xdr:colOff>9525</xdr:colOff>
                    <xdr:row>26</xdr:row>
                    <xdr:rowOff>28575</xdr:rowOff>
                  </from>
                  <to>
                    <xdr:col>6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Drop Down 6">
              <controlPr defaultSize="0" autoLine="0" autoPict="0">
                <anchor moveWithCells="1">
                  <from>
                    <xdr:col>6</xdr:col>
                    <xdr:colOff>0</xdr:colOff>
                    <xdr:row>26</xdr:row>
                    <xdr:rowOff>28575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Drop Down 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28575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28575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opLeftCell="A34" zoomScaleNormal="100" workbookViewId="0"/>
  </sheetViews>
  <sheetFormatPr defaultRowHeight="15" x14ac:dyDescent="0.25"/>
  <cols>
    <col min="1" max="1" width="2.85546875" style="18" customWidth="1"/>
    <col min="2" max="2" width="11.85546875" style="18" customWidth="1"/>
    <col min="3" max="16384" width="9.140625" style="18"/>
  </cols>
  <sheetData>
    <row r="1" spans="2:15" x14ac:dyDescent="0.25">
      <c r="B1" s="17" t="s">
        <v>12</v>
      </c>
      <c r="C1" s="17"/>
      <c r="G1" s="17" t="s">
        <v>22</v>
      </c>
      <c r="O1" s="17" t="s">
        <v>21</v>
      </c>
    </row>
    <row r="2" spans="2:15" x14ac:dyDescent="0.25">
      <c r="B2" s="19">
        <f>AVERAGE(SQRT((Corner2_X-Corner1_X)^2+(Corner2_Y-Corner1_Y)^2),SQRT((Corner3_X-Corner4_X)^2+(Corner3_Y-Corner4_Y)^2))</f>
        <v>0</v>
      </c>
    </row>
    <row r="4" spans="2:15" x14ac:dyDescent="0.25">
      <c r="B4" s="17" t="s">
        <v>13</v>
      </c>
    </row>
    <row r="5" spans="2:15" x14ac:dyDescent="0.25">
      <c r="B5" s="19">
        <f>AVERAGE(SQRT((Corner4_X-Corner1_X)^2+(Corner4_Y-Corner1_Y)^2),SQRT((Corner3_X-Corner2_X)^2+(Corner3_Y-Corner2_Y)^2))</f>
        <v>0</v>
      </c>
    </row>
    <row r="7" spans="2:15" x14ac:dyDescent="0.25">
      <c r="B7" s="17" t="s">
        <v>10</v>
      </c>
    </row>
    <row r="8" spans="2:15" x14ac:dyDescent="0.25">
      <c r="B8" s="19">
        <f>IF(XT&lt;YT,AVERAGE(Corner4_X-Corner1_X,Corner3_X-Corner2_X),AVERAGE(Corner2_X-Corner1_X,Corner3_X-Corner4_X))</f>
        <v>0</v>
      </c>
    </row>
    <row r="10" spans="2:15" x14ac:dyDescent="0.25">
      <c r="B10" s="17" t="s">
        <v>11</v>
      </c>
    </row>
    <row r="11" spans="2:15" x14ac:dyDescent="0.25">
      <c r="B11" s="19">
        <f>IF(XT&lt;YT,AVERAGE(Corner4_Y-Corner1_Y,Corner3_Y-Corner2_Y),AVERAGE(Corner4_Y-Corner3_Y,Corner1_Y-Corner2_Y))</f>
        <v>0</v>
      </c>
    </row>
    <row r="13" spans="2:15" x14ac:dyDescent="0.25">
      <c r="B13" s="17" t="s">
        <v>20</v>
      </c>
    </row>
    <row r="14" spans="2:15" x14ac:dyDescent="0.25">
      <c r="B14" s="18">
        <f>IF(OR(ISBLANK(Corner1_X)=TRUE,ISBLANK(Corner1_Y)=TRUE,ISBLANK(Corner2_X)=TRUE,ISBLANK(Corner2_Y)=TRUE,ISBLANK(Corner3_X)=TRUE,ISBLANK(Corner3_Y)=TRUE,ISBLANK(Corner4_X)=TRUE,ISBLANK(Corner4_Y)=TRUE)=TRUE,0,ROUND(MAX(XT/YT,YT/XT),0))</f>
        <v>0</v>
      </c>
    </row>
    <row r="16" spans="2:15" x14ac:dyDescent="0.25">
      <c r="B16" s="17" t="s">
        <v>14</v>
      </c>
    </row>
    <row r="17" spans="1:13" x14ac:dyDescent="0.25">
      <c r="A17" s="18" t="s">
        <v>18</v>
      </c>
      <c r="B17" s="18">
        <f>Corner1_X+(0.5*(Corner2_X-Corner1_X))</f>
        <v>0</v>
      </c>
      <c r="E17" s="19"/>
    </row>
    <row r="18" spans="1:13" x14ac:dyDescent="0.25">
      <c r="A18" s="18" t="s">
        <v>19</v>
      </c>
      <c r="B18" s="18">
        <f>Corner1_Y+(0.5*(Corner2_Y-Corner1_Y))</f>
        <v>0</v>
      </c>
      <c r="E18" s="19"/>
    </row>
    <row r="19" spans="1:13" x14ac:dyDescent="0.25">
      <c r="E19" s="19"/>
    </row>
    <row r="20" spans="1:13" x14ac:dyDescent="0.25">
      <c r="B20" s="17" t="s">
        <v>15</v>
      </c>
    </row>
    <row r="21" spans="1:13" x14ac:dyDescent="0.25">
      <c r="A21" s="18" t="s">
        <v>18</v>
      </c>
      <c r="B21" s="18">
        <f>Corner1_X+(0.5*(Corner4_X-Corner1_X))</f>
        <v>0</v>
      </c>
    </row>
    <row r="22" spans="1:13" x14ac:dyDescent="0.25">
      <c r="A22" s="18" t="s">
        <v>19</v>
      </c>
      <c r="B22" s="18">
        <f>Corner1_Y+(0.5*(Corner4_Y-Corner1_Y))</f>
        <v>0</v>
      </c>
    </row>
    <row r="24" spans="1:13" x14ac:dyDescent="0.25">
      <c r="B24" s="17" t="s">
        <v>16</v>
      </c>
    </row>
    <row r="25" spans="1:13" x14ac:dyDescent="0.25">
      <c r="A25" s="18" t="s">
        <v>18</v>
      </c>
      <c r="B25" s="18">
        <f>Corner4_X+(0.5*(Corner3_X-Corner4_X))</f>
        <v>0</v>
      </c>
    </row>
    <row r="26" spans="1:13" x14ac:dyDescent="0.25">
      <c r="A26" s="18" t="s">
        <v>19</v>
      </c>
      <c r="B26" s="18">
        <f>Corner4_Y+(0.5*(Corner3_Y-Corner4_Y))</f>
        <v>0</v>
      </c>
    </row>
    <row r="28" spans="1:13" x14ac:dyDescent="0.25">
      <c r="B28" s="17" t="s">
        <v>17</v>
      </c>
    </row>
    <row r="29" spans="1:13" x14ac:dyDescent="0.25">
      <c r="A29" s="18" t="s">
        <v>18</v>
      </c>
      <c r="B29" s="18">
        <f>Corner2_X+(0.5*(Corner3_X-Corner2_X))</f>
        <v>0</v>
      </c>
    </row>
    <row r="30" spans="1:13" x14ac:dyDescent="0.25">
      <c r="A30" s="18" t="s">
        <v>19</v>
      </c>
      <c r="B30" s="18">
        <f>Corner2_Y+(0.5*(Corner3_Y-Corner2_Y))</f>
        <v>0</v>
      </c>
    </row>
    <row r="32" spans="1:13" x14ac:dyDescent="0.25">
      <c r="B32" s="17" t="s">
        <v>27</v>
      </c>
      <c r="M32" s="18" t="s">
        <v>99</v>
      </c>
    </row>
    <row r="33" spans="2:15" x14ac:dyDescent="0.25">
      <c r="B33" s="18" t="e">
        <f>IF(N=1,(SQRT(XT*YT))/4.3,(SQRT((MIN(XT,YT))*((MAX(XT,YT))/N)))/2.15)</f>
        <v>#DIV/0!</v>
      </c>
      <c r="M33" s="18" t="s">
        <v>98</v>
      </c>
    </row>
    <row r="35" spans="2:15" x14ac:dyDescent="0.25">
      <c r="B35" s="17" t="s">
        <v>23</v>
      </c>
    </row>
    <row r="36" spans="2:15" x14ac:dyDescent="0.25">
      <c r="B36" s="18">
        <f>IF(XT&gt;YT,((XT-(N*(YT/2.15)))/(N+1))+(0.5*(YT/2.15)),0.5*XT)</f>
        <v>0</v>
      </c>
    </row>
    <row r="38" spans="2:15" x14ac:dyDescent="0.25">
      <c r="B38" s="17" t="s">
        <v>24</v>
      </c>
    </row>
    <row r="39" spans="2:15" x14ac:dyDescent="0.25">
      <c r="B39" s="18">
        <f>IF(YT&gt;XT,((YT-(N*(XT/2.15)))/(N+1))+(0.5*(XT/2.15)),0.5*YT)</f>
        <v>0</v>
      </c>
    </row>
    <row r="41" spans="2:15" x14ac:dyDescent="0.25">
      <c r="B41" s="17" t="s">
        <v>25</v>
      </c>
    </row>
    <row r="42" spans="2:15" x14ac:dyDescent="0.25">
      <c r="B42" s="18" t="str">
        <f>IF(XT&gt;YT,((XT-(N*(YT/2.15)))/(N+1))+(YT/2.15),"NA")</f>
        <v>NA</v>
      </c>
    </row>
    <row r="43" spans="2:15" x14ac:dyDescent="0.25">
      <c r="B43" s="17"/>
    </row>
    <row r="44" spans="2:15" x14ac:dyDescent="0.25">
      <c r="B44" s="17" t="s">
        <v>26</v>
      </c>
    </row>
    <row r="45" spans="2:15" x14ac:dyDescent="0.25">
      <c r="B45" s="18" t="str">
        <f>IF(YT&gt;XT,((YT-(N*(XT/2.15)))/(N+1))+(XT/2.15),"NA")</f>
        <v>NA</v>
      </c>
    </row>
    <row r="46" spans="2:15" x14ac:dyDescent="0.25">
      <c r="C46" s="18" t="s">
        <v>78</v>
      </c>
      <c r="F46" s="20"/>
    </row>
    <row r="47" spans="2:15" x14ac:dyDescent="0.25">
      <c r="B47" s="17" t="s">
        <v>28</v>
      </c>
      <c r="C47" s="21"/>
      <c r="D47" s="22"/>
      <c r="E47" s="23" t="s">
        <v>4</v>
      </c>
      <c r="F47" s="22">
        <v>1</v>
      </c>
      <c r="G47" s="22">
        <v>2</v>
      </c>
      <c r="H47" s="22">
        <v>3</v>
      </c>
      <c r="I47" s="22">
        <v>4</v>
      </c>
      <c r="J47" s="22">
        <v>5</v>
      </c>
      <c r="K47" s="22">
        <v>6</v>
      </c>
      <c r="L47" s="22">
        <v>7</v>
      </c>
      <c r="M47" s="22">
        <v>8</v>
      </c>
      <c r="N47" s="22">
        <v>9</v>
      </c>
      <c r="O47" s="24">
        <v>10</v>
      </c>
    </row>
    <row r="48" spans="2:15" x14ac:dyDescent="0.25">
      <c r="B48" s="18" t="e">
        <f>IF(X_2="NA",(XrT*Y_1)/YT,(X_1*XrT)/XT)</f>
        <v>#DIV/0!</v>
      </c>
      <c r="C48" s="25"/>
      <c r="D48" s="26"/>
      <c r="E48" s="27" t="s">
        <v>5</v>
      </c>
      <c r="F48" s="26" t="e">
        <f>IF(N=1,AVERAGE(Xo_X,Xg_X,Yo_X,Yg_X),IF(XT&lt;YT,Xo_X+_Xr1,Yo_X+_Xr1))</f>
        <v>#DIV/0!</v>
      </c>
      <c r="G48" s="26" t="e">
        <f t="shared" ref="G48:O48" si="0">F48+_Xr2</f>
        <v>#DIV/0!</v>
      </c>
      <c r="H48" s="26" t="e">
        <f t="shared" si="0"/>
        <v>#DIV/0!</v>
      </c>
      <c r="I48" s="26" t="e">
        <f t="shared" si="0"/>
        <v>#DIV/0!</v>
      </c>
      <c r="J48" s="26" t="e">
        <f t="shared" si="0"/>
        <v>#DIV/0!</v>
      </c>
      <c r="K48" s="26" t="e">
        <f t="shared" si="0"/>
        <v>#DIV/0!</v>
      </c>
      <c r="L48" s="26" t="e">
        <f t="shared" si="0"/>
        <v>#DIV/0!</v>
      </c>
      <c r="M48" s="26" t="e">
        <f t="shared" si="0"/>
        <v>#DIV/0!</v>
      </c>
      <c r="N48" s="26" t="e">
        <f t="shared" si="0"/>
        <v>#DIV/0!</v>
      </c>
      <c r="O48" s="28" t="e">
        <f t="shared" si="0"/>
        <v>#DIV/0!</v>
      </c>
    </row>
    <row r="49" spans="2:17" x14ac:dyDescent="0.25">
      <c r="C49" s="25"/>
      <c r="D49" s="26"/>
      <c r="E49" s="27" t="s">
        <v>6</v>
      </c>
      <c r="F49" s="26" t="e">
        <f>IF(N=1,AVERAGE(Xo_Y,Xg_Y,Yo_Y,Yg_Y),IF(XT&lt;YT,Xo_Y+_Yr1,Yo_Y-_Yr1))</f>
        <v>#DIV/0!</v>
      </c>
      <c r="G49" s="26" t="e">
        <f t="shared" ref="G49:O49" si="1">IF(XT&lt;YT,F49+_Yr2,F49-_Yr2)</f>
        <v>#DIV/0!</v>
      </c>
      <c r="H49" s="26" t="e">
        <f t="shared" si="1"/>
        <v>#DIV/0!</v>
      </c>
      <c r="I49" s="26" t="e">
        <f t="shared" si="1"/>
        <v>#DIV/0!</v>
      </c>
      <c r="J49" s="26" t="e">
        <f t="shared" si="1"/>
        <v>#DIV/0!</v>
      </c>
      <c r="K49" s="26" t="e">
        <f t="shared" si="1"/>
        <v>#DIV/0!</v>
      </c>
      <c r="L49" s="26" t="e">
        <f t="shared" si="1"/>
        <v>#DIV/0!</v>
      </c>
      <c r="M49" s="26" t="e">
        <f t="shared" si="1"/>
        <v>#DIV/0!</v>
      </c>
      <c r="N49" s="26" t="e">
        <f t="shared" si="1"/>
        <v>#DIV/0!</v>
      </c>
      <c r="O49" s="28" t="e">
        <f t="shared" si="1"/>
        <v>#DIV/0!</v>
      </c>
    </row>
    <row r="50" spans="2:17" x14ac:dyDescent="0.25">
      <c r="B50" s="17" t="s">
        <v>29</v>
      </c>
      <c r="C50" s="25"/>
      <c r="D50" s="26"/>
      <c r="E50" s="27" t="s">
        <v>73</v>
      </c>
      <c r="F50" s="26" t="e">
        <f>((Q*((100-Enc_Credit)/100))/N)*0.1259979</f>
        <v>#DIV/0!</v>
      </c>
      <c r="G50" s="26" t="e">
        <f>F50</f>
        <v>#DIV/0!</v>
      </c>
      <c r="H50" s="26" t="e">
        <f t="shared" ref="H50:O50" si="2">G50</f>
        <v>#DIV/0!</v>
      </c>
      <c r="I50" s="26" t="e">
        <f t="shared" si="2"/>
        <v>#DIV/0!</v>
      </c>
      <c r="J50" s="26" t="e">
        <f t="shared" si="2"/>
        <v>#DIV/0!</v>
      </c>
      <c r="K50" s="26" t="e">
        <f t="shared" si="2"/>
        <v>#DIV/0!</v>
      </c>
      <c r="L50" s="26" t="e">
        <f t="shared" si="2"/>
        <v>#DIV/0!</v>
      </c>
      <c r="M50" s="26" t="e">
        <f t="shared" si="2"/>
        <v>#DIV/0!</v>
      </c>
      <c r="N50" s="26" t="e">
        <f t="shared" si="2"/>
        <v>#DIV/0!</v>
      </c>
      <c r="O50" s="28" t="e">
        <f t="shared" si="2"/>
        <v>#DIV/0!</v>
      </c>
    </row>
    <row r="51" spans="2:17" x14ac:dyDescent="0.25">
      <c r="B51" s="18" t="e">
        <f>IF(X_2="NA",(YrT*Y_1)/YT,(X_1*YrT)/XT)</f>
        <v>#DIV/0!</v>
      </c>
      <c r="C51" s="25"/>
      <c r="D51" s="26"/>
      <c r="E51" s="27" t="s">
        <v>75</v>
      </c>
      <c r="F51" s="26">
        <f>(Height/2)/3.28083</f>
        <v>0</v>
      </c>
      <c r="G51" s="26">
        <f>F51</f>
        <v>0</v>
      </c>
      <c r="H51" s="26">
        <f t="shared" ref="H51:O51" si="3">G51</f>
        <v>0</v>
      </c>
      <c r="I51" s="26">
        <f t="shared" si="3"/>
        <v>0</v>
      </c>
      <c r="J51" s="26">
        <f t="shared" si="3"/>
        <v>0</v>
      </c>
      <c r="K51" s="26">
        <f t="shared" si="3"/>
        <v>0</v>
      </c>
      <c r="L51" s="26">
        <f t="shared" si="3"/>
        <v>0</v>
      </c>
      <c r="M51" s="26">
        <f t="shared" si="3"/>
        <v>0</v>
      </c>
      <c r="N51" s="26">
        <f t="shared" si="3"/>
        <v>0</v>
      </c>
      <c r="O51" s="28">
        <f t="shared" si="3"/>
        <v>0</v>
      </c>
    </row>
    <row r="52" spans="2:17" x14ac:dyDescent="0.25">
      <c r="B52" s="29"/>
      <c r="C52" s="25"/>
      <c r="D52" s="26"/>
      <c r="E52" s="27" t="s">
        <v>8</v>
      </c>
      <c r="F52" s="26" t="e">
        <f>Sigma_Y</f>
        <v>#DIV/0!</v>
      </c>
      <c r="G52" s="26" t="e">
        <f>F52</f>
        <v>#DIV/0!</v>
      </c>
      <c r="H52" s="26" t="e">
        <f t="shared" ref="H52:O52" si="4">G52</f>
        <v>#DIV/0!</v>
      </c>
      <c r="I52" s="26" t="e">
        <f t="shared" si="4"/>
        <v>#DIV/0!</v>
      </c>
      <c r="J52" s="26" t="e">
        <f t="shared" si="4"/>
        <v>#DIV/0!</v>
      </c>
      <c r="K52" s="26" t="e">
        <f t="shared" si="4"/>
        <v>#DIV/0!</v>
      </c>
      <c r="L52" s="26" t="e">
        <f t="shared" si="4"/>
        <v>#DIV/0!</v>
      </c>
      <c r="M52" s="26" t="e">
        <f t="shared" si="4"/>
        <v>#DIV/0!</v>
      </c>
      <c r="N52" s="26" t="e">
        <f t="shared" si="4"/>
        <v>#DIV/0!</v>
      </c>
      <c r="O52" s="28" t="e">
        <f t="shared" si="4"/>
        <v>#DIV/0!</v>
      </c>
    </row>
    <row r="53" spans="2:17" x14ac:dyDescent="0.25">
      <c r="B53" s="17" t="s">
        <v>30</v>
      </c>
      <c r="C53" s="30"/>
      <c r="D53" s="31"/>
      <c r="E53" s="32" t="s">
        <v>76</v>
      </c>
      <c r="F53" s="31">
        <f>(Height/2.15)/3.28083</f>
        <v>0</v>
      </c>
      <c r="G53" s="31">
        <f>F53</f>
        <v>0</v>
      </c>
      <c r="H53" s="31">
        <f t="shared" ref="H53:O53" si="5">G53</f>
        <v>0</v>
      </c>
      <c r="I53" s="31">
        <f t="shared" si="5"/>
        <v>0</v>
      </c>
      <c r="J53" s="31">
        <f t="shared" si="5"/>
        <v>0</v>
      </c>
      <c r="K53" s="31">
        <f t="shared" si="5"/>
        <v>0</v>
      </c>
      <c r="L53" s="31">
        <f t="shared" si="5"/>
        <v>0</v>
      </c>
      <c r="M53" s="31">
        <f t="shared" si="5"/>
        <v>0</v>
      </c>
      <c r="N53" s="31">
        <f t="shared" si="5"/>
        <v>0</v>
      </c>
      <c r="O53" s="33">
        <f t="shared" si="5"/>
        <v>0</v>
      </c>
    </row>
    <row r="54" spans="2:17" x14ac:dyDescent="0.25">
      <c r="B54" s="18" t="e">
        <f>IF(X_2="NA",(XrT*Y_2)/YT,(X_2*XrT)/XT)</f>
        <v>#VALUE!</v>
      </c>
      <c r="P54" s="18" t="s">
        <v>82</v>
      </c>
      <c r="Q54" s="18" t="s">
        <v>84</v>
      </c>
    </row>
    <row r="55" spans="2:17" x14ac:dyDescent="0.25">
      <c r="C55" s="18" t="s">
        <v>77</v>
      </c>
      <c r="P55" s="18" t="s">
        <v>83</v>
      </c>
      <c r="Q55" s="18" t="s">
        <v>74</v>
      </c>
    </row>
    <row r="56" spans="2:17" x14ac:dyDescent="0.25">
      <c r="B56" s="17" t="s">
        <v>31</v>
      </c>
      <c r="C56" s="21"/>
      <c r="D56" s="22"/>
      <c r="E56" s="23" t="s">
        <v>4</v>
      </c>
      <c r="F56" s="22">
        <v>1</v>
      </c>
      <c r="G56" s="22">
        <v>2</v>
      </c>
      <c r="H56" s="22">
        <v>3</v>
      </c>
      <c r="I56" s="22">
        <v>4</v>
      </c>
      <c r="J56" s="22">
        <v>5</v>
      </c>
      <c r="K56" s="22">
        <v>6</v>
      </c>
      <c r="L56" s="22">
        <v>7</v>
      </c>
      <c r="M56" s="22">
        <v>8</v>
      </c>
      <c r="N56" s="22">
        <v>9</v>
      </c>
      <c r="O56" s="24">
        <v>10</v>
      </c>
    </row>
    <row r="57" spans="2:17" x14ac:dyDescent="0.25">
      <c r="B57" s="18" t="e">
        <f>IF(X_2="NA",(YrT*Y_2)/YT,(X_2*YrT)/XT)</f>
        <v>#VALUE!</v>
      </c>
      <c r="C57" s="25"/>
      <c r="D57" s="26"/>
      <c r="E57" s="27" t="s">
        <v>71</v>
      </c>
      <c r="F57" s="26" t="e">
        <f>F48*3.28083</f>
        <v>#DIV/0!</v>
      </c>
      <c r="G57" s="26" t="e">
        <f t="shared" ref="G57:O57" si="6">G48*3.28083</f>
        <v>#DIV/0!</v>
      </c>
      <c r="H57" s="26" t="e">
        <f t="shared" si="6"/>
        <v>#DIV/0!</v>
      </c>
      <c r="I57" s="26" t="e">
        <f t="shared" si="6"/>
        <v>#DIV/0!</v>
      </c>
      <c r="J57" s="26" t="e">
        <f t="shared" si="6"/>
        <v>#DIV/0!</v>
      </c>
      <c r="K57" s="26" t="e">
        <f t="shared" si="6"/>
        <v>#DIV/0!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8" t="e">
        <f t="shared" si="6"/>
        <v>#DIV/0!</v>
      </c>
    </row>
    <row r="58" spans="2:17" x14ac:dyDescent="0.25">
      <c r="C58" s="25"/>
      <c r="D58" s="26"/>
      <c r="E58" s="27" t="s">
        <v>72</v>
      </c>
      <c r="F58" s="26" t="e">
        <f>F49*3.28083</f>
        <v>#DIV/0!</v>
      </c>
      <c r="G58" s="26" t="e">
        <f t="shared" ref="G58:O58" si="7">G49*3.28083</f>
        <v>#DIV/0!</v>
      </c>
      <c r="H58" s="26" t="e">
        <f t="shared" si="7"/>
        <v>#DIV/0!</v>
      </c>
      <c r="I58" s="26" t="e">
        <f t="shared" si="7"/>
        <v>#DIV/0!</v>
      </c>
      <c r="J58" s="26" t="e">
        <f t="shared" si="7"/>
        <v>#DIV/0!</v>
      </c>
      <c r="K58" s="26" t="e">
        <f t="shared" si="7"/>
        <v>#DIV/0!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8" t="e">
        <f t="shared" si="7"/>
        <v>#DIV/0!</v>
      </c>
    </row>
    <row r="59" spans="2:17" x14ac:dyDescent="0.25">
      <c r="C59" s="25"/>
      <c r="D59" s="26"/>
      <c r="E59" s="27" t="s">
        <v>7</v>
      </c>
      <c r="F59" s="26" t="e">
        <f>(Q*((100-Enc_Credit)/100))/N</f>
        <v>#DIV/0!</v>
      </c>
      <c r="G59" s="26" t="e">
        <f>F59</f>
        <v>#DIV/0!</v>
      </c>
      <c r="H59" s="26" t="e">
        <f t="shared" ref="H59:O59" si="8">G59</f>
        <v>#DIV/0!</v>
      </c>
      <c r="I59" s="26" t="e">
        <f t="shared" si="8"/>
        <v>#DIV/0!</v>
      </c>
      <c r="J59" s="26" t="e">
        <f t="shared" si="8"/>
        <v>#DIV/0!</v>
      </c>
      <c r="K59" s="26" t="e">
        <f t="shared" si="8"/>
        <v>#DIV/0!</v>
      </c>
      <c r="L59" s="26" t="e">
        <f t="shared" si="8"/>
        <v>#DIV/0!</v>
      </c>
      <c r="M59" s="26" t="e">
        <f t="shared" si="8"/>
        <v>#DIV/0!</v>
      </c>
      <c r="N59" s="26" t="e">
        <f t="shared" si="8"/>
        <v>#DIV/0!</v>
      </c>
      <c r="O59" s="28" t="e">
        <f t="shared" si="8"/>
        <v>#DIV/0!</v>
      </c>
    </row>
    <row r="60" spans="2:17" x14ac:dyDescent="0.25">
      <c r="C60" s="25"/>
      <c r="D60" s="26"/>
      <c r="E60" s="27" t="s">
        <v>81</v>
      </c>
      <c r="F60" s="26">
        <f>Height/2</f>
        <v>0</v>
      </c>
      <c r="G60" s="26">
        <f>F60</f>
        <v>0</v>
      </c>
      <c r="H60" s="26">
        <f t="shared" ref="H60:O60" si="9">G60</f>
        <v>0</v>
      </c>
      <c r="I60" s="26">
        <f t="shared" si="9"/>
        <v>0</v>
      </c>
      <c r="J60" s="26">
        <f t="shared" si="9"/>
        <v>0</v>
      </c>
      <c r="K60" s="26">
        <f t="shared" si="9"/>
        <v>0</v>
      </c>
      <c r="L60" s="26">
        <f t="shared" si="9"/>
        <v>0</v>
      </c>
      <c r="M60" s="26">
        <f t="shared" si="9"/>
        <v>0</v>
      </c>
      <c r="N60" s="26">
        <f t="shared" si="9"/>
        <v>0</v>
      </c>
      <c r="O60" s="28">
        <f t="shared" si="9"/>
        <v>0</v>
      </c>
    </row>
    <row r="61" spans="2:17" x14ac:dyDescent="0.25">
      <c r="C61" s="25"/>
      <c r="D61" s="26"/>
      <c r="E61" s="27" t="s">
        <v>79</v>
      </c>
      <c r="F61" s="26" t="e">
        <f>F52*3.28083</f>
        <v>#DIV/0!</v>
      </c>
      <c r="G61" s="26" t="e">
        <f>F61</f>
        <v>#DIV/0!</v>
      </c>
      <c r="H61" s="26" t="e">
        <f t="shared" ref="H61:O61" si="10">G61</f>
        <v>#DIV/0!</v>
      </c>
      <c r="I61" s="26" t="e">
        <f t="shared" si="10"/>
        <v>#DIV/0!</v>
      </c>
      <c r="J61" s="26" t="e">
        <f t="shared" si="10"/>
        <v>#DIV/0!</v>
      </c>
      <c r="K61" s="26" t="e">
        <f t="shared" si="10"/>
        <v>#DIV/0!</v>
      </c>
      <c r="L61" s="26" t="e">
        <f t="shared" si="10"/>
        <v>#DIV/0!</v>
      </c>
      <c r="M61" s="26" t="e">
        <f t="shared" si="10"/>
        <v>#DIV/0!</v>
      </c>
      <c r="N61" s="26" t="e">
        <f t="shared" si="10"/>
        <v>#DIV/0!</v>
      </c>
      <c r="O61" s="28" t="e">
        <f t="shared" si="10"/>
        <v>#DIV/0!</v>
      </c>
    </row>
    <row r="62" spans="2:17" x14ac:dyDescent="0.25">
      <c r="B62" s="17"/>
      <c r="C62" s="30"/>
      <c r="D62" s="31"/>
      <c r="E62" s="32" t="s">
        <v>80</v>
      </c>
      <c r="F62" s="31">
        <f>Height/2.15</f>
        <v>0</v>
      </c>
      <c r="G62" s="31">
        <f>F62</f>
        <v>0</v>
      </c>
      <c r="H62" s="31">
        <f t="shared" ref="H62:O62" si="11">G62</f>
        <v>0</v>
      </c>
      <c r="I62" s="31">
        <f t="shared" si="11"/>
        <v>0</v>
      </c>
      <c r="J62" s="31">
        <f t="shared" si="11"/>
        <v>0</v>
      </c>
      <c r="K62" s="31">
        <f t="shared" si="11"/>
        <v>0</v>
      </c>
      <c r="L62" s="31">
        <f t="shared" si="11"/>
        <v>0</v>
      </c>
      <c r="M62" s="31">
        <f t="shared" si="11"/>
        <v>0</v>
      </c>
      <c r="N62" s="31">
        <f t="shared" si="11"/>
        <v>0</v>
      </c>
      <c r="O62" s="33">
        <f t="shared" si="11"/>
        <v>0</v>
      </c>
    </row>
    <row r="64" spans="2:17" x14ac:dyDescent="0.25"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3:12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</row>
  </sheetData>
  <sheetProtection sheet="1" objects="1" scenarios="1"/>
  <phoneticPr fontId="1" type="noConversion"/>
  <pageMargins left="0.5" right="0.5" top="0.75" bottom="0.75" header="0.5" footer="0.5"/>
  <pageSetup scale="69" orientation="landscape" r:id="rId1"/>
  <headerFooter alignWithMargins="0">
    <oddFooter>&amp;R&amp;F&amp;- Calculations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Instructions</vt:lpstr>
      <vt:lpstr>Volume Source Determination</vt:lpstr>
      <vt:lpstr>Calculations</vt:lpstr>
      <vt:lpstr>_Xr1</vt:lpstr>
      <vt:lpstr>_Xr2</vt:lpstr>
      <vt:lpstr>_Yr1</vt:lpstr>
      <vt:lpstr>_Yr2</vt:lpstr>
      <vt:lpstr>Corner1_X</vt:lpstr>
      <vt:lpstr>Corner1_Y</vt:lpstr>
      <vt:lpstr>Corner2_X</vt:lpstr>
      <vt:lpstr>Corner2_Y</vt:lpstr>
      <vt:lpstr>Corner3_X</vt:lpstr>
      <vt:lpstr>Corner3_Y</vt:lpstr>
      <vt:lpstr>Corner4_X</vt:lpstr>
      <vt:lpstr>Corner4_Y</vt:lpstr>
      <vt:lpstr>Elevation</vt:lpstr>
      <vt:lpstr>Enc_Credit</vt:lpstr>
      <vt:lpstr>Height</vt:lpstr>
      <vt:lpstr>N</vt:lpstr>
      <vt:lpstr>Calculations!Print_Area</vt:lpstr>
      <vt:lpstr>'Volume Source Determination'!Print_Area</vt:lpstr>
      <vt:lpstr>Q</vt:lpstr>
      <vt:lpstr>Sigma_Y</vt:lpstr>
      <vt:lpstr>X_1</vt:lpstr>
      <vt:lpstr>X_2</vt:lpstr>
      <vt:lpstr>Xg_X</vt:lpstr>
      <vt:lpstr>Xg_Y</vt:lpstr>
      <vt:lpstr>Xo_X</vt:lpstr>
      <vt:lpstr>Xo_Y</vt:lpstr>
      <vt:lpstr>XrT</vt:lpstr>
      <vt:lpstr>XT</vt:lpstr>
      <vt:lpstr>Y_1</vt:lpstr>
      <vt:lpstr>Y_2</vt:lpstr>
      <vt:lpstr>Yg_X</vt:lpstr>
      <vt:lpstr>Yg_Y</vt:lpstr>
      <vt:lpstr>Yo_X</vt:lpstr>
      <vt:lpstr>Yo_Y</vt:lpstr>
      <vt:lpstr>YrT</vt:lpstr>
      <vt:lpstr>YT</vt:lpstr>
    </vt:vector>
  </TitlesOfParts>
  <Company>Iowa DNR - Air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Ashton</dc:creator>
  <cp:lastModifiedBy>Ashton, Brad [DNR]</cp:lastModifiedBy>
  <cp:lastPrinted>2003-05-23T13:50:15Z</cp:lastPrinted>
  <dcterms:created xsi:type="dcterms:W3CDTF">2001-08-28T13:15:26Z</dcterms:created>
  <dcterms:modified xsi:type="dcterms:W3CDTF">2023-03-28T12:39:56Z</dcterms:modified>
</cp:coreProperties>
</file>